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gkcp.sharepoint.com/sites/MDA/Shared Documents/2Q2022/"/>
    </mc:Choice>
  </mc:AlternateContent>
  <bookViews>
    <workbookView xWindow="11850" yWindow="-150" windowWidth="11190" windowHeight="9705" tabRatio="597" activeTab="5"/>
  </bookViews>
  <sheets>
    <sheet name="P&amp;L" sheetId="1" r:id="rId1"/>
    <sheet name="Segments" sheetId="2" r:id="rId2"/>
    <sheet name="Balance sheet" sheetId="3" r:id="rId3"/>
    <sheet name="Cash Flow" sheetId="4" r:id="rId4"/>
    <sheet name="Ratios" sheetId="7" r:id="rId5"/>
    <sheet name="new KPI_segment B2C&amp;B2B" sheetId="9" r:id="rId6"/>
    <sheet name="KPI TV &amp; online" sheetId="11" r:id="rId7"/>
    <sheet name="STARE KPI--&gt;" sheetId="8" r:id="rId8"/>
    <sheet name="KPI_segment B2C&amp;B2B" sheetId="5" r:id="rId9"/>
  </sheets>
  <definedNames>
    <definedName name="_xlnm.Print_Area" localSheetId="2">'Balance sheet'!$A$1:$R$83</definedName>
    <definedName name="_xlnm.Print_Area" localSheetId="3">'Cash Flow'!$A$1:$R$77</definedName>
    <definedName name="_xlnm.Print_Area" localSheetId="8">'KPI_segment B2C&amp;B2B'!$A$1:$T$38</definedName>
    <definedName name="_xlnm.Print_Area" localSheetId="5">'new KPI_segment B2C&amp;B2B'!$A$1:$B$31</definedName>
    <definedName name="_xlnm.Print_Area" localSheetId="0">'P&amp;L'!$A$4:$T$45</definedName>
    <definedName name="OLE_LINK3" localSheetId="3">'Cash Flow'!$A$22</definedName>
    <definedName name="Z_0581D693_F741_454A_848A_FCD54BC91A66_.wvu.Cols" localSheetId="2" hidden="1">'Balance sheet'!$C:$AD</definedName>
    <definedName name="Z_0581D693_F741_454A_848A_FCD54BC91A66_.wvu.Cols" localSheetId="3" hidden="1">'Cash Flow'!$C:$AH</definedName>
    <definedName name="Z_0581D693_F741_454A_848A_FCD54BC91A66_.wvu.Cols" localSheetId="6" hidden="1">'KPI TV &amp; online'!$D:$AF</definedName>
    <definedName name="Z_0581D693_F741_454A_848A_FCD54BC91A66_.wvu.Cols" localSheetId="8" hidden="1">'KPI_segment B2C&amp;B2B'!$C:$AF</definedName>
    <definedName name="Z_0581D693_F741_454A_848A_FCD54BC91A66_.wvu.Cols" localSheetId="5" hidden="1">'new KPI_segment B2C&amp;B2B'!#REF!</definedName>
    <definedName name="Z_0581D693_F741_454A_848A_FCD54BC91A66_.wvu.Cols" localSheetId="0" hidden="1">'P&amp;L'!$C:$AF</definedName>
    <definedName name="Z_0581D693_F741_454A_848A_FCD54BC91A66_.wvu.Cols" localSheetId="1" hidden="1">Segments!$C:$AL,Segments!$AR:$AV</definedName>
    <definedName name="Z_0581D693_F741_454A_848A_FCD54BC91A66_.wvu.PrintArea" localSheetId="2" hidden="1">'Balance sheet'!$A$1:$R$83</definedName>
    <definedName name="Z_0581D693_F741_454A_848A_FCD54BC91A66_.wvu.PrintArea" localSheetId="3" hidden="1">'Cash Flow'!$A$1:$R$77</definedName>
    <definedName name="Z_0581D693_F741_454A_848A_FCD54BC91A66_.wvu.PrintArea" localSheetId="8" hidden="1">'KPI_segment B2C&amp;B2B'!$A$1:$T$38</definedName>
    <definedName name="Z_0581D693_F741_454A_848A_FCD54BC91A66_.wvu.PrintArea" localSheetId="5" hidden="1">'new KPI_segment B2C&amp;B2B'!$A$1:$B$31</definedName>
    <definedName name="Z_0581D693_F741_454A_848A_FCD54BC91A66_.wvu.PrintArea" localSheetId="0" hidden="1">'P&amp;L'!$A$4:$T$45</definedName>
    <definedName name="Z_0581D693_F741_454A_848A_FCD54BC91A66_.wvu.Rows" localSheetId="8" hidden="1">'KPI_segment B2C&amp;B2B'!$14:$14</definedName>
    <definedName name="Z_0581D693_F741_454A_848A_FCD54BC91A66_.wvu.Rows" localSheetId="5" hidden="1">'new KPI_segment B2C&amp;B2B'!#REF!</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6" hidden="1">'KPI TV &amp; online'!$D:$AF</definedName>
    <definedName name="Z_634BFE77_A2AA_4FA6_8ED5_F02244B9F10C_.wvu.Cols" localSheetId="8" hidden="1">'KPI_segment B2C&amp;B2B'!$C:$AF</definedName>
    <definedName name="Z_634BFE77_A2AA_4FA6_8ED5_F02244B9F10C_.wvu.Cols" localSheetId="5" hidden="1">'new KPI_segment B2C&amp;B2B'!#REF!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sheet'!$A$1:$R$83</definedName>
    <definedName name="Z_634BFE77_A2AA_4FA6_8ED5_F02244B9F10C_.wvu.PrintArea" localSheetId="3" hidden="1">'Cash Flow'!$A$1:$R$77</definedName>
    <definedName name="Z_634BFE77_A2AA_4FA6_8ED5_F02244B9F10C_.wvu.PrintArea" localSheetId="8" hidden="1">'KPI_segment B2C&amp;B2B'!$A$1:$T$38</definedName>
    <definedName name="Z_634BFE77_A2AA_4FA6_8ED5_F02244B9F10C_.wvu.PrintArea" localSheetId="5" hidden="1">'new KPI_segment B2C&amp;B2B'!$A$1:$B$31</definedName>
    <definedName name="Z_634BFE77_A2AA_4FA6_8ED5_F02244B9F10C_.wvu.PrintArea" localSheetId="0" hidden="1">'P&amp;L'!$A$4:$T$45</definedName>
    <definedName name="Z_634BFE77_A2AA_4FA6_8ED5_F02244B9F10C_.wvu.Rows" localSheetId="8" hidden="1">'KPI_segment B2C&amp;B2B'!$14:$14</definedName>
    <definedName name="Z_634BFE77_A2AA_4FA6_8ED5_F02244B9F10C_.wvu.Rows" localSheetId="5" hidden="1">'new KPI_segment B2C&amp;B2B'!#REF!</definedName>
    <definedName name="Z_B87BD74C_18F3_4393_BF03_31B25889E08F_.wvu.Cols" localSheetId="3" hidden="1">'Cash Flow'!$C:$AH</definedName>
    <definedName name="Z_B87BD74C_18F3_4393_BF03_31B25889E08F_.wvu.Cols" localSheetId="6" hidden="1">'KPI TV &amp; online'!$D:$AF</definedName>
    <definedName name="Z_B87BD74C_18F3_4393_BF03_31B25889E08F_.wvu.Cols" localSheetId="8" hidden="1">'KPI_segment B2C&amp;B2B'!$C:$AF</definedName>
    <definedName name="Z_B87BD74C_18F3_4393_BF03_31B25889E08F_.wvu.Cols" localSheetId="5" hidden="1">'new KPI_segment B2C&amp;B2B'!#REF!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sheet'!$A$1:$R$83</definedName>
    <definedName name="Z_B87BD74C_18F3_4393_BF03_31B25889E08F_.wvu.PrintArea" localSheetId="3" hidden="1">'Cash Flow'!$A$1:$R$77</definedName>
    <definedName name="Z_B87BD74C_18F3_4393_BF03_31B25889E08F_.wvu.PrintArea" localSheetId="8" hidden="1">'KPI_segment B2C&amp;B2B'!$A$1:$T$38</definedName>
    <definedName name="Z_B87BD74C_18F3_4393_BF03_31B25889E08F_.wvu.PrintArea" localSheetId="5" hidden="1">'new KPI_segment B2C&amp;B2B'!$A$1:$B$31</definedName>
    <definedName name="Z_B87BD74C_18F3_4393_BF03_31B25889E08F_.wvu.PrintArea" localSheetId="0" hidden="1">'P&amp;L'!$A$4:$T$45</definedName>
    <definedName name="Z_B87BD74C_18F3_4393_BF03_31B25889E08F_.wvu.Rows" localSheetId="8" hidden="1">'KPI_segment B2C&amp;B2B'!$14:$14</definedName>
    <definedName name="Z_B87BD74C_18F3_4393_BF03_31B25889E08F_.wvu.Rows" localSheetId="5" hidden="1">'new KPI_segment B2C&amp;B2B'!#REF!</definedName>
    <definedName name="Z_ED9E521F_BC9B_4E88_8A9F_5288A046401B_.wvu.Cols" localSheetId="6" hidden="1">'KPI TV &amp; online'!$D:$AF</definedName>
    <definedName name="Z_ED9E521F_BC9B_4E88_8A9F_5288A046401B_.wvu.Cols" localSheetId="1" hidden="1">Segments!$C:$AL,Segments!$AR:$AV</definedName>
    <definedName name="Z_ED9E521F_BC9B_4E88_8A9F_5288A046401B_.wvu.PrintArea" localSheetId="2" hidden="1">'Balance sheet'!$A$1:$R$83</definedName>
    <definedName name="Z_ED9E521F_BC9B_4E88_8A9F_5288A046401B_.wvu.PrintArea" localSheetId="3" hidden="1">'Cash Flow'!$A$1:$R$77</definedName>
    <definedName name="Z_ED9E521F_BC9B_4E88_8A9F_5288A046401B_.wvu.PrintArea" localSheetId="8" hidden="1">'KPI_segment B2C&amp;B2B'!$A$1:$T$38</definedName>
    <definedName name="Z_ED9E521F_BC9B_4E88_8A9F_5288A046401B_.wvu.PrintArea" localSheetId="5" hidden="1">'new KPI_segment B2C&amp;B2B'!$A$1:$B$31</definedName>
    <definedName name="Z_ED9E521F_BC9B_4E88_8A9F_5288A046401B_.wvu.PrintArea" localSheetId="0" hidden="1">'P&amp;L'!$A$4:$T$45</definedName>
    <definedName name="Z_ED9E521F_BC9B_4E88_8A9F_5288A046401B_.wvu.Rows" localSheetId="8" hidden="1">'KPI_segment B2C&amp;B2B'!$14:$14</definedName>
    <definedName name="Z_ED9E521F_BC9B_4E88_8A9F_5288A046401B_.wvu.Rows" localSheetId="5" hidden="1">'new KPI_segment B2C&amp;B2B'!#REF!</definedName>
  </definedNames>
  <calcPr calcId="191028" concurrentManualCount="3"/>
  <customWorkbookViews>
    <customWorkbookView name="egieniusz - Widok osobisty" guid="{B87BD74C-18F3-4393-BF03-31B25889E08F}" mergeInterval="0" personalView="1" maximized="1" xWindow="-8" yWindow="-8" windowWidth="1936" windowHeight="1056" activeSheetId="6"/>
    <customWorkbookView name="Anna Kuchnio - Widok osobisty" guid="{0581D693-F741-454A-848A-FCD54BC91A66}" mergeInterval="0" personalView="1" xWindow="-2295" yWindow="-56" windowWidth="1251" windowHeight="1134" activeSheetId="4"/>
    <customWorkbookView name="Grzegorz Para - Widok osobisty" guid="{634BFE77-A2AA-4FA6-8ED5-F02244B9F10C}" mergeInterval="0" personalView="1" maximized="1" xWindow="-8" yWindow="-8" windowWidth="1936" windowHeight="1056" activeSheetId="1"/>
    <customWorkbookView name="Agata Wiktorow-Sobczuk - Widok osobisty" guid="{ED9E521F-BC9B-4E88-8A9F-5288A046401B}" mergeInterval="0" personalView="1" maximized="1" xWindow="1912" yWindow="2" windowWidth="1936" windowHeight="1056" tabRatio="59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Z34" i="11" l="1"/>
  <c r="AU34" i="11"/>
  <c r="AZ33" i="11"/>
  <c r="AU33" i="11"/>
  <c r="AZ32" i="11"/>
  <c r="AU32" i="11"/>
  <c r="AZ31" i="11"/>
  <c r="AU31" i="11"/>
  <c r="AZ30" i="11"/>
  <c r="AU30" i="11"/>
  <c r="BA28" i="11"/>
  <c r="AV28" i="11"/>
  <c r="AZ25" i="11"/>
  <c r="AU25" i="11"/>
  <c r="AZ24" i="11"/>
  <c r="AU24" i="11"/>
  <c r="AZ23" i="11"/>
  <c r="AU23" i="11"/>
  <c r="AZ22" i="11"/>
  <c r="AU22" i="11"/>
  <c r="AZ21" i="11"/>
  <c r="AU21" i="11"/>
  <c r="BA19" i="11"/>
  <c r="AV19" i="11"/>
  <c r="BB13" i="11"/>
  <c r="BA13" i="11"/>
  <c r="AY13" i="11"/>
  <c r="AX13" i="11"/>
  <c r="AW13" i="11"/>
  <c r="AV13" i="11"/>
  <c r="AT13" i="11"/>
  <c r="AS13" i="11"/>
  <c r="AR13" i="11"/>
  <c r="AQ13" i="11"/>
  <c r="AP13" i="11"/>
  <c r="AO13" i="11"/>
  <c r="AN13" i="11"/>
  <c r="AM13" i="11"/>
  <c r="AL13" i="11"/>
  <c r="AK13" i="11"/>
  <c r="AJ13" i="11"/>
  <c r="AI13" i="11"/>
  <c r="AH13" i="11"/>
  <c r="AG13" i="11"/>
  <c r="BE12" i="11"/>
  <c r="AZ12" i="11"/>
  <c r="BE11" i="11"/>
  <c r="AZ11" i="11"/>
  <c r="AU11" i="11"/>
  <c r="AU13" i="11" s="1"/>
  <c r="AZ9" i="11"/>
  <c r="AZ8" i="11"/>
  <c r="AZ7" i="11"/>
  <c r="AZ6" i="11"/>
  <c r="AZ5" i="11"/>
  <c r="AZ13" i="11" l="1"/>
  <c r="BE13" i="11"/>
  <c r="BM24" i="2"/>
  <c r="BM19" i="2"/>
  <c r="BM11" i="2"/>
  <c r="BP31" i="2" l="1"/>
  <c r="BM29" i="2"/>
  <c r="BM6" i="2" l="1"/>
  <c r="BM7" i="2"/>
  <c r="BM30" i="2" l="1"/>
  <c r="BN10" i="2"/>
  <c r="BO10" i="2"/>
  <c r="BL10" i="2"/>
  <c r="BP14" i="2"/>
  <c r="BL18" i="2"/>
  <c r="BP22" i="2"/>
  <c r="BP21" i="2"/>
  <c r="BP26" i="2"/>
  <c r="BP27" i="2"/>
  <c r="BM25" i="2"/>
  <c r="BM23" i="2" s="1"/>
  <c r="BM20" i="2"/>
  <c r="BM18" i="2" s="1"/>
  <c r="BM12" i="2"/>
  <c r="BM10" i="2" s="1"/>
  <c r="BP13" i="2"/>
  <c r="BP8" i="2"/>
  <c r="BM9" i="2"/>
  <c r="BM5" i="2" s="1"/>
  <c r="BO28" i="2"/>
  <c r="BN28" i="2"/>
  <c r="BL28" i="2"/>
  <c r="BO23" i="2"/>
  <c r="BN23" i="2"/>
  <c r="BL23" i="2"/>
  <c r="BO18" i="2"/>
  <c r="BN18" i="2"/>
  <c r="BL5" i="2"/>
  <c r="BM28" i="2" l="1"/>
  <c r="BM32" i="2" s="1"/>
  <c r="BP35" i="1" l="1"/>
  <c r="AR74" i="3" l="1"/>
  <c r="AR50" i="3" l="1"/>
  <c r="BM11" i="1"/>
  <c r="BP17" i="2" l="1"/>
  <c r="AQ50" i="3" l="1"/>
  <c r="AX67" i="4" l="1"/>
  <c r="AW67" i="4"/>
  <c r="AV67" i="4"/>
  <c r="AU67" i="4"/>
  <c r="AX52" i="4"/>
  <c r="AW52" i="4"/>
  <c r="AV52" i="4"/>
  <c r="AU52" i="4"/>
  <c r="AX6" i="4"/>
  <c r="AW6" i="4"/>
  <c r="AV6" i="4"/>
  <c r="AU6" i="4"/>
  <c r="BP30" i="2"/>
  <c r="BP25" i="2"/>
  <c r="BP24" i="2"/>
  <c r="BP20" i="2"/>
  <c r="BP19" i="2"/>
  <c r="BP18" i="2" s="1"/>
  <c r="BP16" i="2"/>
  <c r="BP15" i="2"/>
  <c r="BP12" i="2"/>
  <c r="BP11" i="2"/>
  <c r="BP10" i="2" s="1"/>
  <c r="BP9" i="2"/>
  <c r="BP7" i="2"/>
  <c r="BP6" i="2"/>
  <c r="BO5" i="2"/>
  <c r="BN5" i="2"/>
  <c r="AT74" i="3"/>
  <c r="AS74" i="3"/>
  <c r="AQ74" i="3"/>
  <c r="AT61" i="3"/>
  <c r="AS61" i="3"/>
  <c r="AR61" i="3"/>
  <c r="AQ61" i="3"/>
  <c r="AT50" i="3"/>
  <c r="AT52" i="3" s="1"/>
  <c r="AS50" i="3"/>
  <c r="AS52" i="3" s="1"/>
  <c r="AR52" i="3"/>
  <c r="AQ52" i="3"/>
  <c r="AT35" i="3"/>
  <c r="AS35" i="3"/>
  <c r="AR35" i="3"/>
  <c r="AQ35" i="3"/>
  <c r="BO8" i="7" s="1"/>
  <c r="AT22" i="3"/>
  <c r="AS22" i="3"/>
  <c r="AS38" i="3" s="1"/>
  <c r="AR22" i="3"/>
  <c r="AQ22" i="3"/>
  <c r="BP27" i="1"/>
  <c r="BP25" i="1"/>
  <c r="BP23" i="1"/>
  <c r="BP22" i="1"/>
  <c r="BP20" i="1"/>
  <c r="BP18" i="1"/>
  <c r="BP16" i="1"/>
  <c r="BP15" i="1"/>
  <c r="BP14" i="1"/>
  <c r="BP13" i="1"/>
  <c r="BP12" i="1"/>
  <c r="BP11" i="1"/>
  <c r="BP9" i="1"/>
  <c r="BP8" i="1"/>
  <c r="BP7" i="1"/>
  <c r="BP34" i="1"/>
  <c r="BP30" i="1"/>
  <c r="BP29" i="1"/>
  <c r="BP24" i="1"/>
  <c r="BP19" i="1"/>
  <c r="BP17" i="1"/>
  <c r="BO10" i="1"/>
  <c r="BN10" i="1"/>
  <c r="BM10" i="1"/>
  <c r="BP6" i="1"/>
  <c r="BO5" i="1"/>
  <c r="BN5" i="1"/>
  <c r="BM5" i="1"/>
  <c r="BP8" i="7" l="1"/>
  <c r="BP10" i="1"/>
  <c r="BP23" i="2"/>
  <c r="BP5" i="2"/>
  <c r="BN21" i="1"/>
  <c r="BN26" i="1" s="1"/>
  <c r="BN28" i="1" s="1"/>
  <c r="BN31" i="1" s="1"/>
  <c r="BO21" i="1"/>
  <c r="BO32" i="1" s="1"/>
  <c r="AR77" i="3"/>
  <c r="AR38" i="3"/>
  <c r="BM21" i="1"/>
  <c r="BL32" i="2"/>
  <c r="AQ38" i="3"/>
  <c r="AX31" i="4"/>
  <c r="AX34" i="4" s="1"/>
  <c r="AX68" i="4" s="1"/>
  <c r="AW31" i="4"/>
  <c r="AW34" i="4" s="1"/>
  <c r="AW68" i="4" s="1"/>
  <c r="BN32" i="2"/>
  <c r="BO32" i="2"/>
  <c r="BP29" i="2"/>
  <c r="BP28" i="2" s="1"/>
  <c r="AQ77" i="3"/>
  <c r="BO9" i="7" s="1"/>
  <c r="AS77" i="3"/>
  <c r="AS78" i="3" s="1"/>
  <c r="AT77" i="3"/>
  <c r="AT78" i="3"/>
  <c r="AT38" i="3"/>
  <c r="BL10" i="1"/>
  <c r="BL5" i="1"/>
  <c r="BP5" i="1"/>
  <c r="BP21" i="1" s="1"/>
  <c r="BM32" i="1" l="1"/>
  <c r="AR78" i="3"/>
  <c r="BP9" i="7"/>
  <c r="BO26" i="1"/>
  <c r="BO28" i="1" s="1"/>
  <c r="BO31" i="1" s="1"/>
  <c r="BN32" i="1"/>
  <c r="BN36" i="1" s="1"/>
  <c r="BN37" i="1" s="1"/>
  <c r="BM26" i="1"/>
  <c r="BP32" i="2"/>
  <c r="AQ78" i="3"/>
  <c r="BL21" i="1"/>
  <c r="BL32" i="1" s="1"/>
  <c r="BO33" i="1"/>
  <c r="BO36" i="1"/>
  <c r="BO37" i="1" s="1"/>
  <c r="V16" i="9"/>
  <c r="U16" i="9"/>
  <c r="T16" i="9"/>
  <c r="V6" i="9"/>
  <c r="U6" i="9"/>
  <c r="T6" i="9"/>
  <c r="BP26" i="1" l="1"/>
  <c r="BM36" i="1"/>
  <c r="BM28" i="1"/>
  <c r="BM33" i="1"/>
  <c r="BP5" i="7"/>
  <c r="BP7" i="7"/>
  <c r="BN33" i="1"/>
  <c r="BL33" i="1"/>
  <c r="BO4" i="7" s="1"/>
  <c r="BL36" i="1"/>
  <c r="BP32" i="1"/>
  <c r="BL26" i="1"/>
  <c r="S16" i="9"/>
  <c r="S6" i="9"/>
  <c r="BM31" i="1" l="1"/>
  <c r="BP33" i="1"/>
  <c r="BP36" i="1"/>
  <c r="BP6" i="7"/>
  <c r="BM37" i="1"/>
  <c r="BP4" i="7"/>
  <c r="BP28" i="1"/>
  <c r="BL28" i="1"/>
  <c r="AU5" i="4" s="1"/>
  <c r="BL37" i="1"/>
  <c r="AV5" i="4" l="1"/>
  <c r="BP31" i="1"/>
  <c r="BP37" i="1"/>
  <c r="BL31" i="1"/>
  <c r="BO7" i="7"/>
  <c r="BO6" i="7"/>
  <c r="BO5" i="7"/>
  <c r="AT6" i="4"/>
  <c r="AV31" i="4" l="1"/>
  <c r="AV34" i="4" s="1"/>
  <c r="BJ29" i="2"/>
  <c r="BK29" i="1" l="1"/>
  <c r="AV68" i="4" l="1"/>
  <c r="BJ30" i="2"/>
  <c r="BJ28" i="2" s="1"/>
  <c r="BJ25" i="2"/>
  <c r="BJ24" i="2"/>
  <c r="BJ20" i="2"/>
  <c r="BJ19" i="2"/>
  <c r="BJ16" i="2"/>
  <c r="BJ12" i="2"/>
  <c r="BJ11" i="2"/>
  <c r="BJ7" i="2"/>
  <c r="BJ6" i="2"/>
  <c r="BJ9" i="2"/>
  <c r="BI10" i="2"/>
  <c r="BJ10" i="2" l="1"/>
  <c r="BJ5" i="2"/>
  <c r="BK22" i="1" l="1"/>
  <c r="AP74" i="3" l="1"/>
  <c r="AP22" i="3"/>
  <c r="BK20" i="1" l="1"/>
  <c r="AP50" i="3" l="1"/>
  <c r="R16" i="9"/>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V4" i="9" s="1"/>
  <c r="I4" i="9"/>
  <c r="M4" i="9" s="1"/>
  <c r="Q4" i="9" s="1"/>
  <c r="U4" i="9" s="1"/>
  <c r="H4" i="9"/>
  <c r="L4" i="9" s="1"/>
  <c r="P4" i="9" s="1"/>
  <c r="T4" i="9" s="1"/>
  <c r="G4" i="9"/>
  <c r="K4" i="9" s="1"/>
  <c r="O4" i="9" s="1"/>
  <c r="S4" i="9" s="1"/>
  <c r="AP52" i="3" l="1"/>
  <c r="BG10" i="2"/>
  <c r="BH10" i="2" l="1"/>
  <c r="BK15" i="2" l="1"/>
  <c r="BF15" i="2"/>
  <c r="AZ25" i="5" l="1"/>
  <c r="AZ17" i="5"/>
  <c r="AZ16" i="5"/>
  <c r="AZ15" i="5"/>
  <c r="AZ12" i="5"/>
  <c r="AZ27" i="5"/>
  <c r="AZ26" i="5"/>
  <c r="AZ8" i="5"/>
  <c r="AZ11" i="5"/>
  <c r="AZ10" i="5"/>
  <c r="AZ9" i="5"/>
  <c r="AZ7" i="5" l="1"/>
  <c r="AZ24" i="5"/>
  <c r="AZ29" i="5"/>
  <c r="BK19" i="1" l="1"/>
  <c r="BC10" i="1" l="1"/>
  <c r="BG10" i="1"/>
  <c r="BH10" i="1"/>
  <c r="AN35" i="3" l="1"/>
  <c r="AM35" i="3" l="1"/>
  <c r="BG18" i="2" l="1"/>
  <c r="BH5" i="2"/>
  <c r="BI5" i="2"/>
  <c r="BG5" i="2"/>
  <c r="AM50" i="3" l="1"/>
  <c r="AV7" i="5" l="1"/>
  <c r="AY29" i="5" l="1"/>
  <c r="AX29" i="5"/>
  <c r="AW29" i="5"/>
  <c r="AV29" i="5"/>
  <c r="AY24" i="5"/>
  <c r="AX24" i="5"/>
  <c r="AV24" i="5"/>
  <c r="AY17" i="5"/>
  <c r="AX17" i="5"/>
  <c r="AW17" i="5"/>
  <c r="AV17" i="5"/>
  <c r="AY7" i="5"/>
  <c r="AX7" i="5"/>
  <c r="AW7" i="5"/>
  <c r="AS67" i="4"/>
  <c r="AS52" i="4"/>
  <c r="AT67" i="4"/>
  <c r="AR67" i="4"/>
  <c r="AQ67" i="4"/>
  <c r="AT52" i="4"/>
  <c r="AR52" i="4"/>
  <c r="AQ52" i="4"/>
  <c r="AS6" i="4"/>
  <c r="AR6" i="4"/>
  <c r="AQ6" i="4"/>
  <c r="AO74" i="3"/>
  <c r="AN74" i="3"/>
  <c r="BK8" i="7" s="1"/>
  <c r="AM74" i="3"/>
  <c r="BJ8" i="7" s="1"/>
  <c r="AP61" i="3"/>
  <c r="AO61" i="3"/>
  <c r="AN61" i="3"/>
  <c r="AM61" i="3"/>
  <c r="AO50" i="3"/>
  <c r="AO52" i="3" s="1"/>
  <c r="AN50" i="3"/>
  <c r="AN52" i="3" s="1"/>
  <c r="AM52" i="3"/>
  <c r="AP35" i="3"/>
  <c r="AO35" i="3"/>
  <c r="AO22" i="3"/>
  <c r="AN22" i="3"/>
  <c r="AN38" i="3" s="1"/>
  <c r="AM22" i="3"/>
  <c r="AM38" i="3" s="1"/>
  <c r="BK34" i="1"/>
  <c r="BK30" i="1"/>
  <c r="BK27" i="1"/>
  <c r="BK25" i="1"/>
  <c r="BK24" i="1"/>
  <c r="BK23" i="1"/>
  <c r="BK18" i="1"/>
  <c r="BK17" i="1"/>
  <c r="BK16" i="1"/>
  <c r="BK15" i="1"/>
  <c r="BK14" i="1"/>
  <c r="BK13" i="1"/>
  <c r="BK12" i="1"/>
  <c r="BK11" i="1"/>
  <c r="BJ10" i="1"/>
  <c r="BI10" i="1"/>
  <c r="BK9" i="1"/>
  <c r="BK8" i="1"/>
  <c r="BK7" i="1"/>
  <c r="BK6" i="1"/>
  <c r="BJ5" i="1"/>
  <c r="BI5" i="1"/>
  <c r="BH5" i="1"/>
  <c r="BH21" i="1" s="1"/>
  <c r="BH26" i="1" s="1"/>
  <c r="BG5" i="1"/>
  <c r="BK30" i="2"/>
  <c r="BK29" i="2"/>
  <c r="BJ32" i="2"/>
  <c r="BI28" i="2"/>
  <c r="BI32" i="2" s="1"/>
  <c r="BH28" i="2"/>
  <c r="BH32" i="2" s="1"/>
  <c r="BG28" i="2"/>
  <c r="BG32" i="2" s="1"/>
  <c r="BK25" i="2"/>
  <c r="BK24" i="2"/>
  <c r="BJ23" i="2"/>
  <c r="BI23" i="2"/>
  <c r="BH23" i="2"/>
  <c r="BG23" i="2"/>
  <c r="BK20" i="2"/>
  <c r="BK19" i="2"/>
  <c r="BJ18" i="2"/>
  <c r="BI18" i="2"/>
  <c r="BH18" i="2"/>
  <c r="BK16" i="2"/>
  <c r="BK12" i="2"/>
  <c r="BK11" i="2"/>
  <c r="BK9" i="2"/>
  <c r="BK7" i="2"/>
  <c r="BK6" i="2"/>
  <c r="BI21" i="1" l="1"/>
  <c r="BI32" i="1" s="1"/>
  <c r="BI36" i="1" s="1"/>
  <c r="BJ21" i="1"/>
  <c r="BJ32" i="1" s="1"/>
  <c r="BJ36" i="1" s="1"/>
  <c r="BN8" i="7"/>
  <c r="BM8" i="7"/>
  <c r="BK10" i="2"/>
  <c r="BL8" i="7"/>
  <c r="AN77" i="3"/>
  <c r="AM77" i="3"/>
  <c r="AO77" i="3"/>
  <c r="AO78" i="3" s="1"/>
  <c r="AP77" i="3"/>
  <c r="AO38" i="3"/>
  <c r="AP38" i="3"/>
  <c r="AX5" i="5"/>
  <c r="BK18" i="2"/>
  <c r="BG21" i="1"/>
  <c r="BG32" i="1" s="1"/>
  <c r="BG36" i="1" s="1"/>
  <c r="BG37" i="1" s="1"/>
  <c r="BK5" i="1"/>
  <c r="BK28" i="2"/>
  <c r="AY5" i="5"/>
  <c r="AV5" i="5"/>
  <c r="BK10" i="1"/>
  <c r="BH28" i="1"/>
  <c r="BH32" i="1"/>
  <c r="BK23" i="2"/>
  <c r="BK5" i="2"/>
  <c r="AM28" i="2"/>
  <c r="BI26" i="1" l="1"/>
  <c r="BI28" i="1" s="1"/>
  <c r="BL5" i="7" s="1"/>
  <c r="BH33" i="1"/>
  <c r="BK4" i="7" s="1"/>
  <c r="BH36" i="1"/>
  <c r="BH37" i="1" s="1"/>
  <c r="AP78" i="3"/>
  <c r="BN9" i="7"/>
  <c r="BM9" i="7"/>
  <c r="BK21" i="1"/>
  <c r="AN78" i="3"/>
  <c r="BK9" i="7"/>
  <c r="AM78" i="3"/>
  <c r="BJ9" i="7"/>
  <c r="BI31" i="1"/>
  <c r="BL9" i="7"/>
  <c r="BL6" i="7"/>
  <c r="BH31" i="1"/>
  <c r="BK7" i="7"/>
  <c r="BK6" i="7"/>
  <c r="BK5" i="7"/>
  <c r="BI37" i="1"/>
  <c r="BK32" i="2"/>
  <c r="BG33" i="1"/>
  <c r="BJ4" i="7" s="1"/>
  <c r="BG26" i="1"/>
  <c r="BG28" i="1" s="1"/>
  <c r="BJ26" i="1"/>
  <c r="BJ28" i="1" s="1"/>
  <c r="BJ31" i="1" s="1"/>
  <c r="BJ33" i="1"/>
  <c r="BM4" i="7" s="1"/>
  <c r="BL7" i="7" l="1"/>
  <c r="BJ5" i="7"/>
  <c r="BJ6" i="7"/>
  <c r="BJ7" i="7"/>
  <c r="BM7" i="7"/>
  <c r="BM5" i="7"/>
  <c r="BM6" i="7"/>
  <c r="BK26" i="1"/>
  <c r="BK28" i="1" s="1"/>
  <c r="BK31" i="1" s="1"/>
  <c r="BJ37" i="1"/>
  <c r="BK36" i="1"/>
  <c r="BK37" i="1" s="1"/>
  <c r="BI33" i="1"/>
  <c r="BL4" i="7" s="1"/>
  <c r="BG31" i="1"/>
  <c r="AQ5" i="4"/>
  <c r="BK32" i="1"/>
  <c r="AV32" i="2"/>
  <c r="AU32" i="2"/>
  <c r="AT32" i="2"/>
  <c r="AS32" i="2"/>
  <c r="AR32" i="2"/>
  <c r="BF30" i="2"/>
  <c r="BA30" i="2"/>
  <c r="AQ30" i="2"/>
  <c r="BF29" i="2"/>
  <c r="BA29" i="2"/>
  <c r="AQ29" i="2"/>
  <c r="BE28" i="2"/>
  <c r="BD28" i="2"/>
  <c r="BC28" i="2"/>
  <c r="BB28" i="2"/>
  <c r="AZ28" i="2"/>
  <c r="AY28" i="2"/>
  <c r="AX28" i="2"/>
  <c r="AW28" i="2"/>
  <c r="AP28" i="2"/>
  <c r="AO28" i="2"/>
  <c r="AN28" i="2"/>
  <c r="BF25" i="2"/>
  <c r="BA25" i="2"/>
  <c r="AQ25" i="2"/>
  <c r="BF24" i="2"/>
  <c r="BA24" i="2"/>
  <c r="AQ24" i="2"/>
  <c r="BE23" i="2"/>
  <c r="BD23" i="2"/>
  <c r="BC23" i="2"/>
  <c r="BB23" i="2"/>
  <c r="AZ23" i="2"/>
  <c r="AY23" i="2"/>
  <c r="AX23" i="2"/>
  <c r="AW23" i="2"/>
  <c r="AV23" i="2"/>
  <c r="AU23" i="2"/>
  <c r="AT23" i="2"/>
  <c r="AS23" i="2"/>
  <c r="AR23" i="2"/>
  <c r="AP23" i="2"/>
  <c r="AO23" i="2"/>
  <c r="AN23" i="2"/>
  <c r="AM23" i="2"/>
  <c r="BF20" i="2"/>
  <c r="BA20" i="2"/>
  <c r="AQ20" i="2"/>
  <c r="BF19" i="2"/>
  <c r="BA19" i="2"/>
  <c r="AQ19" i="2"/>
  <c r="BE18" i="2"/>
  <c r="BD18" i="2"/>
  <c r="BC18" i="2"/>
  <c r="BB18" i="2"/>
  <c r="BB10" i="2" s="1"/>
  <c r="AZ18" i="2"/>
  <c r="AY18" i="2"/>
  <c r="AX18" i="2"/>
  <c r="AW18" i="2"/>
  <c r="AP18" i="2"/>
  <c r="AO18" i="2"/>
  <c r="AN18" i="2"/>
  <c r="AM18" i="2"/>
  <c r="BF12" i="2"/>
  <c r="BF11" i="2"/>
  <c r="BE10" i="2"/>
  <c r="BD10" i="2"/>
  <c r="BC10" i="2"/>
  <c r="BF9" i="2"/>
  <c r="BA9" i="2"/>
  <c r="AQ9" i="2"/>
  <c r="BF7" i="2"/>
  <c r="BA7" i="2"/>
  <c r="AQ7" i="2"/>
  <c r="BF6" i="2"/>
  <c r="BA6" i="2"/>
  <c r="AQ6" i="2"/>
  <c r="BD5" i="2"/>
  <c r="BC5" i="2"/>
  <c r="BB5" i="2"/>
  <c r="AZ5" i="2"/>
  <c r="AY5" i="2"/>
  <c r="AX5" i="2"/>
  <c r="AW5" i="2"/>
  <c r="AP5" i="2"/>
  <c r="AO5" i="2"/>
  <c r="AN5" i="2"/>
  <c r="AM5" i="2"/>
  <c r="BN7" i="7" l="1"/>
  <c r="BN5" i="7"/>
  <c r="BN6" i="7"/>
  <c r="AT5" i="4"/>
  <c r="AT31" i="4" s="1"/>
  <c r="AQ31" i="4"/>
  <c r="AQ34" i="4" s="1"/>
  <c r="AR5" i="4"/>
  <c r="AQ23" i="2"/>
  <c r="BA5" i="2"/>
  <c r="BK33" i="1"/>
  <c r="BN4" i="7" s="1"/>
  <c r="BA23" i="2"/>
  <c r="AP32" i="2"/>
  <c r="BA18" i="2"/>
  <c r="BF18" i="2"/>
  <c r="BF28" i="2"/>
  <c r="BD32" i="2"/>
  <c r="AX32" i="2"/>
  <c r="AQ5" i="2"/>
  <c r="BB32" i="2"/>
  <c r="BF10" i="2"/>
  <c r="AY32" i="2"/>
  <c r="BF23" i="2"/>
  <c r="AZ32" i="2"/>
  <c r="AW32" i="2"/>
  <c r="BF5" i="2"/>
  <c r="AQ28" i="2"/>
  <c r="AN32" i="2"/>
  <c r="BC32" i="2"/>
  <c r="AQ18" i="2"/>
  <c r="AO32" i="2"/>
  <c r="BE5" i="2"/>
  <c r="BE32" i="2" s="1"/>
  <c r="AM32" i="2"/>
  <c r="BA28" i="2"/>
  <c r="AS5" i="4" l="1"/>
  <c r="AS31" i="4" s="1"/>
  <c r="AS34" i="4" s="1"/>
  <c r="AQ68" i="4"/>
  <c r="AR31" i="4"/>
  <c r="BA32" i="2"/>
  <c r="AQ32" i="2"/>
  <c r="BF32" i="2"/>
  <c r="AR34" i="4" l="1"/>
  <c r="AR68" i="4" s="1"/>
  <c r="AT34" i="4"/>
  <c r="AS68" i="4"/>
  <c r="AL74" i="3"/>
  <c r="AT68" i="4" l="1"/>
  <c r="AL35" i="3"/>
  <c r="BF25" i="1"/>
  <c r="BF22" i="1"/>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29" i="1"/>
  <c r="AU5" i="5" l="1"/>
  <c r="V5" i="5"/>
  <c r="AA5" i="5"/>
  <c r="AF5" i="5"/>
  <c r="L5" i="5"/>
  <c r="AN58" i="4"/>
  <c r="BF34" i="1" l="1"/>
  <c r="BF23" i="1" l="1"/>
  <c r="AN6" i="4"/>
  <c r="AN31" i="4" s="1"/>
  <c r="AN34" i="4" s="1"/>
  <c r="AO6" i="4"/>
  <c r="AO31" i="4" s="1"/>
  <c r="AP6" i="4"/>
  <c r="AP31" i="4" s="1"/>
  <c r="AP34" i="4" s="1"/>
  <c r="AN52" i="4"/>
  <c r="AP52" i="4"/>
  <c r="AN67" i="4"/>
  <c r="AP67" i="4"/>
  <c r="AM67" i="4"/>
  <c r="AM52" i="4"/>
  <c r="AM6" i="4"/>
  <c r="AK74" i="3"/>
  <c r="AJ74" i="3"/>
  <c r="AI74" i="3"/>
  <c r="AL61" i="3"/>
  <c r="AK61" i="3"/>
  <c r="AJ61" i="3"/>
  <c r="AI61" i="3"/>
  <c r="AL50" i="3"/>
  <c r="AK50" i="3"/>
  <c r="AK52" i="3" s="1"/>
  <c r="AJ50" i="3"/>
  <c r="AJ52" i="3" s="1"/>
  <c r="AI50" i="3"/>
  <c r="AI52" i="3" s="1"/>
  <c r="AK35" i="3"/>
  <c r="AJ35" i="3"/>
  <c r="AI35" i="3"/>
  <c r="AL22" i="3"/>
  <c r="AK22" i="3"/>
  <c r="AJ22" i="3"/>
  <c r="AI22" i="3"/>
  <c r="BF30" i="1"/>
  <c r="BF27" i="1"/>
  <c r="BF24" i="1"/>
  <c r="BF20" i="1"/>
  <c r="BF18" i="1"/>
  <c r="BF17" i="1"/>
  <c r="BF16" i="1"/>
  <c r="BF15" i="1"/>
  <c r="BF14" i="1"/>
  <c r="BF13" i="1"/>
  <c r="BF12" i="1"/>
  <c r="BF11" i="1"/>
  <c r="BD10" i="1"/>
  <c r="BB10" i="1"/>
  <c r="BF9" i="1"/>
  <c r="BF8" i="1"/>
  <c r="BF7" i="1"/>
  <c r="BF6" i="1"/>
  <c r="BE5" i="1"/>
  <c r="BD5" i="1"/>
  <c r="BC5" i="1"/>
  <c r="BB5" i="1"/>
  <c r="AL52" i="3" l="1"/>
  <c r="AL38" i="3"/>
  <c r="BE21" i="1"/>
  <c r="BE26" i="1" s="1"/>
  <c r="BE28" i="1" s="1"/>
  <c r="BE31" i="1" s="1"/>
  <c r="AK38" i="3"/>
  <c r="BD21" i="1"/>
  <c r="BD26" i="1" s="1"/>
  <c r="BD28" i="1" s="1"/>
  <c r="BD31" i="1" s="1"/>
  <c r="AK77" i="3"/>
  <c r="AK78" i="3" s="1"/>
  <c r="AJ77" i="3"/>
  <c r="AJ78" i="3" s="1"/>
  <c r="BC21" i="1"/>
  <c r="BC32" i="1" s="1"/>
  <c r="BF5" i="1"/>
  <c r="AP68" i="4"/>
  <c r="AO72" i="4"/>
  <c r="AN68" i="4"/>
  <c r="AN72" i="4" s="1"/>
  <c r="AI38" i="3"/>
  <c r="AJ38" i="3"/>
  <c r="AL77" i="3"/>
  <c r="AI77" i="3"/>
  <c r="AI78" i="3" s="1"/>
  <c r="BF10" i="1"/>
  <c r="BB21" i="1"/>
  <c r="BB26" i="1" s="1"/>
  <c r="BB28" i="1" s="1"/>
  <c r="BB31" i="1" s="1"/>
  <c r="AL67" i="4"/>
  <c r="AZ5" i="1"/>
  <c r="AZ10" i="1"/>
  <c r="AU10" i="1"/>
  <c r="AU5" i="1"/>
  <c r="AL78" i="3" l="1"/>
  <c r="AP72" i="4"/>
  <c r="BC33" i="1"/>
  <c r="BC36" i="1"/>
  <c r="BC37" i="1" s="1"/>
  <c r="BE32" i="1"/>
  <c r="BE36" i="1" s="1"/>
  <c r="BD32" i="1"/>
  <c r="BC26" i="1"/>
  <c r="BC28" i="1" s="1"/>
  <c r="BC31" i="1" s="1"/>
  <c r="AM5" i="4"/>
  <c r="AM31" i="4" s="1"/>
  <c r="AM34" i="4" s="1"/>
  <c r="BF21" i="1"/>
  <c r="BF26" i="1" s="1"/>
  <c r="BF28" i="1" s="1"/>
  <c r="BF31" i="1" s="1"/>
  <c r="BB32" i="1"/>
  <c r="BB33" i="1" s="1"/>
  <c r="AU21" i="1"/>
  <c r="AU32" i="1" s="1"/>
  <c r="AU33" i="1" s="1"/>
  <c r="AZ21" i="1"/>
  <c r="AZ26" i="1" s="1"/>
  <c r="AZ28" i="1" s="1"/>
  <c r="AQ69" i="4" l="1"/>
  <c r="AQ72" i="4" s="1"/>
  <c r="AT69" i="4"/>
  <c r="AT72" i="4" s="1"/>
  <c r="AS69" i="4"/>
  <c r="AS72" i="4" s="1"/>
  <c r="AR69" i="4"/>
  <c r="AR72" i="4" s="1"/>
  <c r="AM68" i="4"/>
  <c r="BE33" i="1"/>
  <c r="BE37" i="1"/>
  <c r="BD33" i="1"/>
  <c r="BD36" i="1"/>
  <c r="BD37" i="1" s="1"/>
  <c r="BF32" i="1"/>
  <c r="AU26" i="1"/>
  <c r="AU28" i="1" s="1"/>
  <c r="AZ32" i="1"/>
  <c r="AZ33" i="1" s="1"/>
  <c r="AV69" i="4" l="1"/>
  <c r="AW69" i="4"/>
  <c r="AW72" i="4" s="1"/>
  <c r="AX69" i="4"/>
  <c r="AX72" i="4" s="1"/>
  <c r="AU69" i="4"/>
  <c r="BF33" i="1"/>
  <c r="BF36" i="1"/>
  <c r="BF37" i="1" s="1"/>
  <c r="AG44" i="4"/>
  <c r="AY10" i="1"/>
  <c r="AY5" i="1"/>
  <c r="AT10" i="1"/>
  <c r="AT5" i="1"/>
  <c r="AV72" i="4" l="1"/>
  <c r="AY21" i="1"/>
  <c r="AY26" i="1" s="1"/>
  <c r="AY28" i="1" s="1"/>
  <c r="AT21" i="1"/>
  <c r="AT26" i="1" s="1"/>
  <c r="AT28" i="1" s="1"/>
  <c r="AJ67" i="4"/>
  <c r="AJ52" i="4"/>
  <c r="AJ6" i="4"/>
  <c r="AJ31" i="4" s="1"/>
  <c r="AJ34" i="4" s="1"/>
  <c r="AF67" i="4"/>
  <c r="AF52" i="4"/>
  <c r="AF6" i="4"/>
  <c r="AF31" i="4" s="1"/>
  <c r="AF34" i="4" s="1"/>
  <c r="AT32" i="1" l="1"/>
  <c r="AT33" i="1" s="1"/>
  <c r="AY32" i="1"/>
  <c r="AY33" i="1" s="1"/>
  <c r="AJ68" i="4"/>
  <c r="AF68" i="4"/>
  <c r="AX10" i="1" l="1"/>
  <c r="AX5" i="1"/>
  <c r="AX21" i="1" l="1"/>
  <c r="AX26" i="1" s="1"/>
  <c r="AX28" i="1" s="1"/>
  <c r="AS10" i="1"/>
  <c r="AS5" i="1"/>
  <c r="AX32" i="1" l="1"/>
  <c r="AX33" i="1" s="1"/>
  <c r="AS21" i="1"/>
  <c r="AS26" i="1" s="1"/>
  <c r="AS28" i="1" s="1"/>
  <c r="AK67" i="4"/>
  <c r="AI67" i="4"/>
  <c r="AL52" i="4"/>
  <c r="AK52" i="4"/>
  <c r="AI52" i="4"/>
  <c r="AL6" i="4"/>
  <c r="AL31" i="4" s="1"/>
  <c r="AL34" i="4" s="1"/>
  <c r="AK6" i="4"/>
  <c r="AK31" i="4" s="1"/>
  <c r="AK34" i="4" s="1"/>
  <c r="AI6" i="4"/>
  <c r="AI31" i="4" s="1"/>
  <c r="AI34" i="4" s="1"/>
  <c r="AL68" i="4" l="1"/>
  <c r="AK68" i="4"/>
  <c r="AS32" i="1"/>
  <c r="AS33" i="1" s="1"/>
  <c r="AI68" i="4"/>
  <c r="AI72" i="4" s="1"/>
  <c r="AW10" i="1"/>
  <c r="AE22" i="3" l="1"/>
  <c r="AC22" i="3"/>
  <c r="Z22" i="3"/>
  <c r="AA22" i="3"/>
  <c r="AR10" i="1" l="1"/>
  <c r="AQ27" i="1"/>
  <c r="AE61" i="3"/>
  <c r="AE50" i="3"/>
  <c r="AD50" i="3"/>
  <c r="AE35" i="3"/>
  <c r="AC35" i="3"/>
  <c r="AD35" i="3"/>
  <c r="AD22" i="3"/>
  <c r="AE52" i="4" l="1"/>
  <c r="AG67" i="4"/>
  <c r="AE6" i="4"/>
  <c r="AG52" i="4"/>
  <c r="AH52" i="4"/>
  <c r="AE67" i="4"/>
  <c r="AH67" i="4"/>
  <c r="AG6" i="4"/>
  <c r="AG31" i="4" s="1"/>
  <c r="AG34" i="4" s="1"/>
  <c r="AH6" i="4"/>
  <c r="AH31" i="4" s="1"/>
  <c r="AH34" i="4" s="1"/>
  <c r="AD6" i="4"/>
  <c r="AH68" i="4" l="1"/>
  <c r="AG68" i="4"/>
  <c r="AE31" i="4"/>
  <c r="AE34" i="4" l="1"/>
  <c r="AE68" i="4" l="1"/>
  <c r="AE72" i="4" l="1"/>
  <c r="AH74" i="3" l="1"/>
  <c r="AG74" i="3"/>
  <c r="AF74" i="3"/>
  <c r="AE74" i="3"/>
  <c r="AH61" i="3"/>
  <c r="AG61" i="3"/>
  <c r="AF61" i="3"/>
  <c r="AH50" i="3"/>
  <c r="AH52" i="3" s="1"/>
  <c r="AG50" i="3"/>
  <c r="AG52" i="3" s="1"/>
  <c r="AF50" i="3"/>
  <c r="AF52" i="3" s="1"/>
  <c r="AE52" i="3"/>
  <c r="AH35" i="3"/>
  <c r="AG35" i="3"/>
  <c r="AF35" i="3"/>
  <c r="AH22" i="3"/>
  <c r="AG22" i="3"/>
  <c r="AF22" i="3"/>
  <c r="BA30" i="1"/>
  <c r="BA29" i="1"/>
  <c r="BA27" i="1"/>
  <c r="BA25" i="1"/>
  <c r="BA24" i="1"/>
  <c r="BA23" i="1"/>
  <c r="BA22" i="1"/>
  <c r="BA20" i="1"/>
  <c r="BA18" i="1"/>
  <c r="BA17" i="1"/>
  <c r="BA16" i="1"/>
  <c r="BA15" i="1"/>
  <c r="BA14" i="1"/>
  <c r="BA13" i="1"/>
  <c r="BA12" i="1"/>
  <c r="BA11" i="1"/>
  <c r="BA9" i="1"/>
  <c r="BA8" i="1"/>
  <c r="BA7" i="1"/>
  <c r="BA6" i="1"/>
  <c r="AW5" i="1"/>
  <c r="AW21" i="1" s="1"/>
  <c r="AW26" i="1" s="1"/>
  <c r="AV27" i="1"/>
  <c r="AV25" i="1"/>
  <c r="AV24" i="1"/>
  <c r="AV23" i="1"/>
  <c r="AV22" i="1"/>
  <c r="AV20" i="1"/>
  <c r="AV18" i="1"/>
  <c r="AV17" i="1"/>
  <c r="AV16" i="1"/>
  <c r="AV15" i="1"/>
  <c r="AV14" i="1"/>
  <c r="AV13" i="1"/>
  <c r="AV12" i="1"/>
  <c r="AV11" i="1"/>
  <c r="AV9" i="1"/>
  <c r="AV8" i="1"/>
  <c r="AV7" i="1"/>
  <c r="AV6" i="1"/>
  <c r="AR5" i="1"/>
  <c r="AR21" i="1" s="1"/>
  <c r="AR26" i="1" s="1"/>
  <c r="BA10" i="1" l="1"/>
  <c r="AR28" i="1"/>
  <c r="AW28" i="1"/>
  <c r="AW31" i="1" s="1"/>
  <c r="BA5" i="1"/>
  <c r="AE77" i="3"/>
  <c r="AE78" i="3" s="1"/>
  <c r="AF77" i="3"/>
  <c r="AF78" i="3" s="1"/>
  <c r="AG77" i="3"/>
  <c r="AG78" i="3" s="1"/>
  <c r="AH77" i="3"/>
  <c r="AH78" i="3" s="1"/>
  <c r="AE38" i="3"/>
  <c r="AF38" i="3"/>
  <c r="AG38" i="3"/>
  <c r="AH38" i="3"/>
  <c r="AV5" i="1"/>
  <c r="AV10" i="1"/>
  <c r="BA21" i="1" l="1"/>
  <c r="AW32" i="1"/>
  <c r="AW33" i="1" s="1"/>
  <c r="AV21" i="1"/>
  <c r="AV26" i="1" s="1"/>
  <c r="AV28" i="1" s="1"/>
  <c r="AR32" i="1"/>
  <c r="AD74" i="3"/>
  <c r="BA26" i="1" l="1"/>
  <c r="BA28" i="1" s="1"/>
  <c r="BA31" i="1" s="1"/>
  <c r="BA32" i="1"/>
  <c r="BA33" i="1" s="1"/>
  <c r="AV32" i="1"/>
  <c r="AV33" i="1" s="1"/>
  <c r="AR33" i="1"/>
  <c r="AD44" i="4"/>
  <c r="AC44" i="4" l="1"/>
  <c r="AC34" i="4" l="1"/>
  <c r="AC52" i="4"/>
  <c r="AC67" i="4"/>
  <c r="AC74" i="3"/>
  <c r="AO10" i="1"/>
  <c r="AO5" i="1"/>
  <c r="AI10" i="1"/>
  <c r="AI5" i="1"/>
  <c r="AI21" i="1" l="1"/>
  <c r="AI32" i="1" s="1"/>
  <c r="AI33" i="1" s="1"/>
  <c r="AO21" i="1"/>
  <c r="AC68" i="4"/>
  <c r="AI26" i="1" l="1"/>
  <c r="AI28" i="1" s="1"/>
  <c r="AI31" i="1" s="1"/>
  <c r="AO32" i="1"/>
  <c r="AO26" i="1"/>
  <c r="AH9" i="1"/>
  <c r="AO28" i="1" l="1"/>
  <c r="AO33" i="1"/>
  <c r="AK24" i="1"/>
  <c r="AB44" i="4" l="1"/>
  <c r="AB74" i="3"/>
  <c r="AB35" i="3"/>
  <c r="AB22" i="3"/>
  <c r="AQ24" i="1" l="1"/>
  <c r="AA35" i="3" l="1"/>
  <c r="AD67" i="4" l="1"/>
  <c r="AB67" i="4"/>
  <c r="AA67" i="4"/>
  <c r="AD52" i="4"/>
  <c r="AB52" i="4"/>
  <c r="AA52" i="4"/>
  <c r="AB6" i="4"/>
  <c r="AA6" i="4"/>
  <c r="AA31" i="4" s="1"/>
  <c r="AA34" i="4" s="1"/>
  <c r="AA74" i="3"/>
  <c r="AD61" i="3"/>
  <c r="AC61" i="3"/>
  <c r="AB61" i="3"/>
  <c r="AA61" i="3"/>
  <c r="AD52" i="3"/>
  <c r="AC50" i="3"/>
  <c r="AB50" i="3"/>
  <c r="AB52" i="3" s="1"/>
  <c r="AA50" i="3"/>
  <c r="AA52" i="3" s="1"/>
  <c r="AB38" i="3"/>
  <c r="AC52" i="3" l="1"/>
  <c r="AC38" i="3"/>
  <c r="AA68" i="4"/>
  <c r="AA38" i="3"/>
  <c r="AD77" i="3"/>
  <c r="AD78" i="3" s="1"/>
  <c r="AD38" i="3"/>
  <c r="AA77" i="3"/>
  <c r="AA78" i="3" s="1"/>
  <c r="AB77" i="3"/>
  <c r="AB78" i="3" s="1"/>
  <c r="AC77" i="3"/>
  <c r="AC78" i="3" l="1"/>
  <c r="AK30" i="1"/>
  <c r="AK29" i="1"/>
  <c r="AK25" i="1"/>
  <c r="AK23" i="1"/>
  <c r="AK22" i="1"/>
  <c r="AK20" i="1"/>
  <c r="AK18" i="1"/>
  <c r="AK17" i="1"/>
  <c r="AK16" i="1"/>
  <c r="AK15" i="1"/>
  <c r="AK14" i="1"/>
  <c r="AK13" i="1"/>
  <c r="AK12" i="1"/>
  <c r="AK11" i="1"/>
  <c r="AJ10" i="1"/>
  <c r="AH10" i="1"/>
  <c r="AG10" i="1"/>
  <c r="AK9" i="1"/>
  <c r="AK8" i="1"/>
  <c r="AK7" i="1"/>
  <c r="AK6" i="1"/>
  <c r="AJ5" i="1"/>
  <c r="AH5" i="1"/>
  <c r="AG5" i="1"/>
  <c r="AQ30" i="1"/>
  <c r="AQ29" i="1"/>
  <c r="AQ25" i="1"/>
  <c r="AQ23" i="1"/>
  <c r="AQ22" i="1"/>
  <c r="AQ20" i="1"/>
  <c r="AQ18" i="1"/>
  <c r="AQ17" i="1"/>
  <c r="AQ16" i="1"/>
  <c r="AQ15" i="1"/>
  <c r="AQ14" i="1"/>
  <c r="AQ13" i="1"/>
  <c r="AQ12" i="1"/>
  <c r="AQ11" i="1"/>
  <c r="AP10" i="1"/>
  <c r="AN10" i="1"/>
  <c r="AM10" i="1"/>
  <c r="AQ9" i="1"/>
  <c r="AQ8" i="1"/>
  <c r="AQ7" i="1"/>
  <c r="AQ6" i="1"/>
  <c r="AP5" i="1"/>
  <c r="AN5" i="1"/>
  <c r="AM5" i="1"/>
  <c r="AG21" i="1" l="1"/>
  <c r="AG32" i="1" s="1"/>
  <c r="AP21" i="1"/>
  <c r="AJ21" i="1"/>
  <c r="AJ26" i="1" s="1"/>
  <c r="AN21" i="1"/>
  <c r="AQ10" i="1"/>
  <c r="AH21" i="1"/>
  <c r="AH32" i="1" s="1"/>
  <c r="AH33" i="1" s="1"/>
  <c r="AK10" i="1"/>
  <c r="AK5" i="1"/>
  <c r="AQ5" i="1"/>
  <c r="AM21" i="1"/>
  <c r="AG26" i="1" l="1"/>
  <c r="AG28" i="1" s="1"/>
  <c r="AG31" i="1" s="1"/>
  <c r="AN32" i="1"/>
  <c r="AN33" i="1" s="1"/>
  <c r="AN26" i="1"/>
  <c r="AN28" i="1" s="1"/>
  <c r="AN31" i="1" s="1"/>
  <c r="AP32" i="1"/>
  <c r="AP33" i="1" s="1"/>
  <c r="AP26" i="1"/>
  <c r="AP28" i="1" s="1"/>
  <c r="AG33" i="1"/>
  <c r="AJ32" i="1"/>
  <c r="AJ33" i="1" s="1"/>
  <c r="AQ21" i="1"/>
  <c r="AQ26" i="1" s="1"/>
  <c r="AQ28" i="1" s="1"/>
  <c r="AH26" i="1"/>
  <c r="AH28" i="1" s="1"/>
  <c r="AH31" i="1" s="1"/>
  <c r="AK21" i="1"/>
  <c r="AK32" i="1" s="1"/>
  <c r="AK33" i="1" s="1"/>
  <c r="AM32" i="1"/>
  <c r="AM26" i="1"/>
  <c r="AM28" i="1" l="1"/>
  <c r="AM33" i="1"/>
  <c r="AQ31" i="1"/>
  <c r="AB31" i="4"/>
  <c r="AB34" i="4" s="1"/>
  <c r="AB68" i="4" s="1"/>
  <c r="AQ32" i="1"/>
  <c r="AK26" i="1"/>
  <c r="AF25" i="1"/>
  <c r="AM31" i="1" l="1"/>
  <c r="AQ33" i="1"/>
  <c r="AF24" i="1"/>
  <c r="AA24" i="1"/>
  <c r="Q24" i="1"/>
  <c r="L24" i="1"/>
  <c r="G24" i="1"/>
  <c r="AD10" i="1" l="1"/>
  <c r="Z6" i="4" l="1"/>
  <c r="Z31" i="4" s="1"/>
  <c r="Z34" i="4" s="1"/>
  <c r="Z67" i="4"/>
  <c r="Z52" i="4"/>
  <c r="Z35" i="3"/>
  <c r="Z74" i="3"/>
  <c r="Z61" i="3"/>
  <c r="Z50" i="3"/>
  <c r="Z52" i="3" s="1"/>
  <c r="AF30" i="1"/>
  <c r="AF29" i="1"/>
  <c r="AF27" i="1"/>
  <c r="AF23" i="1"/>
  <c r="AF22" i="1"/>
  <c r="AF20" i="1"/>
  <c r="AF18" i="1"/>
  <c r="AF17" i="1"/>
  <c r="AF16" i="1"/>
  <c r="AF15" i="1"/>
  <c r="AF14" i="1"/>
  <c r="AF13" i="1"/>
  <c r="AF12" i="1"/>
  <c r="AF11" i="1"/>
  <c r="AF7" i="1"/>
  <c r="AF8" i="1"/>
  <c r="AF9" i="1"/>
  <c r="AF6" i="1"/>
  <c r="AE5" i="1"/>
  <c r="AE10" i="1"/>
  <c r="Z68" i="4" l="1"/>
  <c r="Z77" i="3"/>
  <c r="Z78" i="3" s="1"/>
  <c r="Z38" i="3"/>
  <c r="AF10" i="1"/>
  <c r="AE21" i="1"/>
  <c r="AE26" i="1" s="1"/>
  <c r="AF5" i="1"/>
  <c r="Y67" i="4"/>
  <c r="Y52" i="4"/>
  <c r="Y6" i="4"/>
  <c r="Y31" i="4" s="1"/>
  <c r="Y34" i="4" s="1"/>
  <c r="Y74" i="3"/>
  <c r="Y61" i="3"/>
  <c r="Y50" i="3"/>
  <c r="Y52" i="3" s="1"/>
  <c r="Y35" i="3"/>
  <c r="Y22" i="3"/>
  <c r="AD5" i="1"/>
  <c r="Y38" i="3" l="1"/>
  <c r="AE32" i="1"/>
  <c r="AE33" i="1" s="1"/>
  <c r="AE28" i="1"/>
  <c r="AE31" i="1" s="1"/>
  <c r="Y68" i="4"/>
  <c r="Y77" i="3"/>
  <c r="Y78" i="3" s="1"/>
  <c r="AF21" i="1"/>
  <c r="AF26" i="1" s="1"/>
  <c r="AD21" i="1"/>
  <c r="AD26" i="1" s="1"/>
  <c r="AF28" i="1" l="1"/>
  <c r="AD28" i="1"/>
  <c r="AD31" i="1" s="1"/>
  <c r="AD32" i="1"/>
  <c r="AD33" i="1" s="1"/>
  <c r="AF32" i="1"/>
  <c r="AF33" i="1" s="1"/>
  <c r="AF31" i="1" l="1"/>
  <c r="X67" i="4"/>
  <c r="X52" i="4"/>
  <c r="X6" i="4"/>
  <c r="X74" i="3"/>
  <c r="X61" i="3"/>
  <c r="X50" i="3"/>
  <c r="X52" i="3" s="1"/>
  <c r="X35" i="3"/>
  <c r="X22" i="3"/>
  <c r="AC10" i="1"/>
  <c r="AC5" i="1"/>
  <c r="AC21" i="1" l="1"/>
  <c r="AC26" i="1" s="1"/>
  <c r="AC28" i="1" s="1"/>
  <c r="AC31" i="1" s="1"/>
  <c r="X38" i="3"/>
  <c r="X77" i="3"/>
  <c r="X78" i="3" s="1"/>
  <c r="AC32" i="1" l="1"/>
  <c r="AC33" i="1" s="1"/>
  <c r="W64" i="4"/>
  <c r="Z10" i="1" l="1"/>
  <c r="Y10" i="1"/>
  <c r="X10" i="1"/>
  <c r="W10" i="1"/>
  <c r="V10" i="1"/>
  <c r="U10" i="1"/>
  <c r="T10" i="1"/>
  <c r="S10" i="1"/>
  <c r="R10" i="1"/>
  <c r="P10" i="1"/>
  <c r="O10" i="1"/>
  <c r="N10" i="1"/>
  <c r="M10" i="1"/>
  <c r="K10" i="1"/>
  <c r="J10" i="1"/>
  <c r="I10" i="1"/>
  <c r="H10" i="1"/>
  <c r="F10" i="1"/>
  <c r="E10" i="1"/>
  <c r="D10" i="1"/>
  <c r="C10" i="1"/>
  <c r="AB10" i="1"/>
  <c r="AA11" i="1"/>
  <c r="W67" i="4"/>
  <c r="W52" i="4"/>
  <c r="W6" i="4"/>
  <c r="W74" i="3"/>
  <c r="W61" i="3"/>
  <c r="W50" i="3"/>
  <c r="W52" i="3" s="1"/>
  <c r="W35" i="3"/>
  <c r="W22" i="3"/>
  <c r="AB5" i="1"/>
  <c r="W77" i="3" l="1"/>
  <c r="W78" i="3" s="1"/>
  <c r="W38" i="3"/>
  <c r="AB21" i="1"/>
  <c r="AB26" i="1" s="1"/>
  <c r="AB28" i="1" l="1"/>
  <c r="AB32" i="1"/>
  <c r="AB33" i="1" s="1"/>
  <c r="X31" i="4" l="1"/>
  <c r="X34" i="4" s="1"/>
  <c r="X68" i="4" s="1"/>
  <c r="AB31" i="1"/>
  <c r="W31" i="4"/>
  <c r="W34" i="4" s="1"/>
  <c r="W68" i="4" s="1"/>
  <c r="AA30" i="1"/>
  <c r="AA29" i="1"/>
  <c r="AA27" i="1"/>
  <c r="Q27" i="1"/>
  <c r="L27" i="1"/>
  <c r="G27" i="1"/>
  <c r="AA23" i="1"/>
  <c r="Q23" i="1"/>
  <c r="L23" i="1"/>
  <c r="G23" i="1"/>
  <c r="AA22" i="1"/>
  <c r="Q22" i="1"/>
  <c r="L22" i="1"/>
  <c r="G22" i="1"/>
  <c r="AA20" i="1"/>
  <c r="Q20" i="1"/>
  <c r="L20" i="1"/>
  <c r="G20"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AA10" i="1"/>
  <c r="Q10" i="1"/>
  <c r="Q21" i="1" s="1"/>
  <c r="Q26" i="1" s="1"/>
  <c r="G10" i="1"/>
  <c r="C21" i="1"/>
  <c r="C26" i="1" s="1"/>
  <c r="M21" i="1"/>
  <c r="M26" i="1" s="1"/>
  <c r="U21" i="1"/>
  <c r="U26" i="1" s="1"/>
  <c r="Z21" i="1"/>
  <c r="Z26" i="1" s="1"/>
  <c r="D21" i="1"/>
  <c r="D26" i="1" s="1"/>
  <c r="E21" i="1"/>
  <c r="E26" i="1" s="1"/>
  <c r="O21" i="1"/>
  <c r="O26" i="1" s="1"/>
  <c r="F21" i="1"/>
  <c r="F26" i="1" s="1"/>
  <c r="P21" i="1"/>
  <c r="P26" i="1" s="1"/>
  <c r="N21" i="1"/>
  <c r="N26" i="1" s="1"/>
  <c r="I21" i="1"/>
  <c r="I26" i="1" s="1"/>
  <c r="R21" i="1"/>
  <c r="R26" i="1" s="1"/>
  <c r="V21" i="1"/>
  <c r="V26" i="1" s="1"/>
  <c r="S21" i="1"/>
  <c r="S26" i="1" s="1"/>
  <c r="W21" i="1"/>
  <c r="W26" i="1" s="1"/>
  <c r="K21" i="1"/>
  <c r="K26" i="1" s="1"/>
  <c r="T21" i="1"/>
  <c r="T26" i="1" s="1"/>
  <c r="X21" i="1"/>
  <c r="X26" i="1" s="1"/>
  <c r="Y21" i="1"/>
  <c r="Y26" i="1" s="1"/>
  <c r="J21" i="1"/>
  <c r="J26" i="1" s="1"/>
  <c r="H21" i="1"/>
  <c r="H26" i="1" s="1"/>
  <c r="L21" i="1" l="1"/>
  <c r="L26" i="1" s="1"/>
  <c r="G21" i="1"/>
  <c r="G26" i="1" s="1"/>
  <c r="G28" i="1" s="1"/>
  <c r="G29" i="1" s="1"/>
  <c r="AA21" i="1"/>
  <c r="AA26" i="1" s="1"/>
  <c r="AA28" i="1" s="1"/>
  <c r="AA31" i="1" s="1"/>
  <c r="P32" i="1"/>
  <c r="P33" i="1" s="1"/>
  <c r="S32" i="1"/>
  <c r="S33" i="1" s="1"/>
  <c r="S28" i="1"/>
  <c r="S31" i="1" s="1"/>
  <c r="O32" i="1"/>
  <c r="O33" i="1" s="1"/>
  <c r="U28" i="1"/>
  <c r="K28" i="1"/>
  <c r="K31" i="1" s="1"/>
  <c r="V28" i="1"/>
  <c r="E32" i="1"/>
  <c r="E33" i="1" s="1"/>
  <c r="M32" i="1"/>
  <c r="M33" i="1" s="1"/>
  <c r="Q28" i="1"/>
  <c r="Y32" i="1"/>
  <c r="Y33" i="1" s="1"/>
  <c r="Y28" i="1"/>
  <c r="Y31" i="1" s="1"/>
  <c r="R28" i="1"/>
  <c r="P28" i="1"/>
  <c r="P31" i="1" s="1"/>
  <c r="D32" i="1"/>
  <c r="D33" i="1" s="1"/>
  <c r="D28" i="1"/>
  <c r="C28" i="1"/>
  <c r="C29" i="1" s="1"/>
  <c r="T28" i="1"/>
  <c r="N32" i="1"/>
  <c r="N33" i="1" s="1"/>
  <c r="X32" i="1"/>
  <c r="X33" i="1" s="1"/>
  <c r="W32" i="1"/>
  <c r="W33" i="1" s="1"/>
  <c r="I32" i="1"/>
  <c r="I33" i="1" s="1"/>
  <c r="F28" i="1"/>
  <c r="Z32" i="1"/>
  <c r="Z33" i="1" s="1"/>
  <c r="Z28" i="1"/>
  <c r="Z31" i="1" s="1"/>
  <c r="V32" i="1"/>
  <c r="V33" i="1" s="1"/>
  <c r="N28" i="1"/>
  <c r="N29" i="1" s="1"/>
  <c r="C32" i="1"/>
  <c r="C33" i="1" s="1"/>
  <c r="E28" i="1"/>
  <c r="E29" i="1" s="1"/>
  <c r="Q32" i="1"/>
  <c r="Q33" i="1" s="1"/>
  <c r="M28" i="1"/>
  <c r="M29" i="1" s="1"/>
  <c r="O28" i="1"/>
  <c r="O29" i="1" s="1"/>
  <c r="U32" i="1"/>
  <c r="U33" i="1" s="1"/>
  <c r="F32" i="1"/>
  <c r="F33" i="1" s="1"/>
  <c r="T32" i="1"/>
  <c r="T33" i="1" s="1"/>
  <c r="X28" i="1"/>
  <c r="X31" i="1" s="1"/>
  <c r="R32" i="1"/>
  <c r="R33" i="1" s="1"/>
  <c r="K32" i="1"/>
  <c r="K33" i="1" s="1"/>
  <c r="I28" i="1"/>
  <c r="I31" i="1" s="1"/>
  <c r="W28" i="1"/>
  <c r="L32" i="1"/>
  <c r="L33" i="1" s="1"/>
  <c r="L28" i="1"/>
  <c r="J32" i="1"/>
  <c r="J33" i="1" s="1"/>
  <c r="J28" i="1"/>
  <c r="H32" i="1"/>
  <c r="H33" i="1" s="1"/>
  <c r="H28" i="1"/>
  <c r="AA32" i="1" l="1"/>
  <c r="AA33" i="1" s="1"/>
  <c r="G32" i="1"/>
  <c r="G33" i="1" s="1"/>
  <c r="P29" i="1"/>
  <c r="K29" i="1"/>
  <c r="Q29" i="1"/>
  <c r="Q31" i="1"/>
  <c r="D29" i="1"/>
  <c r="D31" i="1"/>
  <c r="R5" i="4"/>
  <c r="V29" i="1"/>
  <c r="V31" i="1"/>
  <c r="R29" i="1"/>
  <c r="R31" i="1"/>
  <c r="T29" i="1"/>
  <c r="T31" i="1"/>
  <c r="F31" i="1"/>
  <c r="F29" i="1"/>
  <c r="U31" i="1"/>
  <c r="U29" i="1"/>
  <c r="C31" i="1"/>
  <c r="G31" i="1"/>
  <c r="E31" i="1"/>
  <c r="N31" i="1"/>
  <c r="M31" i="1"/>
  <c r="L5" i="4"/>
  <c r="O31" i="1"/>
  <c r="V5" i="4"/>
  <c r="S29" i="1"/>
  <c r="W31" i="1"/>
  <c r="T5" i="4"/>
  <c r="U5" i="4" s="1"/>
  <c r="S5" i="4"/>
  <c r="I29" i="1"/>
  <c r="Q5" i="4"/>
  <c r="H31" i="1"/>
  <c r="H29" i="1"/>
  <c r="J29" i="1"/>
  <c r="J31" i="1"/>
  <c r="L31" i="1"/>
  <c r="L29" i="1"/>
  <c r="V67" i="4" l="1"/>
  <c r="V52" i="4"/>
  <c r="V6" i="4"/>
  <c r="V74" i="3"/>
  <c r="V61" i="3"/>
  <c r="V50" i="3"/>
  <c r="V52" i="3" s="1"/>
  <c r="V35" i="3"/>
  <c r="V22" i="3"/>
  <c r="V31" i="4" l="1"/>
  <c r="V34" i="4" s="1"/>
  <c r="V68" i="4" s="1"/>
  <c r="V77" i="3"/>
  <c r="V78" i="3" s="1"/>
  <c r="V38" i="3"/>
  <c r="U67" i="4" l="1"/>
  <c r="U52" i="4"/>
  <c r="U6" i="4"/>
  <c r="U74" i="3"/>
  <c r="U61" i="3"/>
  <c r="U50" i="3"/>
  <c r="U52" i="3" s="1"/>
  <c r="U35" i="3"/>
  <c r="U22" i="3"/>
  <c r="U77" i="3" l="1"/>
  <c r="U78" i="3" s="1"/>
  <c r="U38" i="3"/>
  <c r="U31" i="4"/>
  <c r="U34" i="4" s="1"/>
  <c r="U68" i="4" s="1"/>
  <c r="T67" i="4" l="1"/>
  <c r="T52" i="4"/>
  <c r="T6" i="4"/>
  <c r="T74" i="3"/>
  <c r="T61" i="3"/>
  <c r="T50" i="3"/>
  <c r="T52" i="3" s="1"/>
  <c r="T35" i="3"/>
  <c r="T22" i="3"/>
  <c r="T77" i="3" l="1"/>
  <c r="T78" i="3" s="1"/>
  <c r="T38" i="3"/>
  <c r="C6" i="3"/>
  <c r="S67" i="4" l="1"/>
  <c r="S52" i="4"/>
  <c r="S6" i="4"/>
  <c r="S74" i="3"/>
  <c r="S61" i="3"/>
  <c r="S50" i="3"/>
  <c r="S52" i="3" s="1"/>
  <c r="S35" i="3"/>
  <c r="S22" i="3"/>
  <c r="S77" i="3" l="1"/>
  <c r="S78" i="3" s="1"/>
  <c r="S38" i="3"/>
  <c r="R67" i="4" l="1"/>
  <c r="R52" i="4"/>
  <c r="R6" i="4"/>
  <c r="R74" i="3"/>
  <c r="R61" i="3"/>
  <c r="R50" i="3"/>
  <c r="R52" i="3" s="1"/>
  <c r="R35" i="3"/>
  <c r="R22" i="3"/>
  <c r="T31" i="4" l="1"/>
  <c r="T34" i="4" s="1"/>
  <c r="T68" i="4" s="1"/>
  <c r="S31" i="4"/>
  <c r="S34" i="4" s="1"/>
  <c r="S68" i="4" s="1"/>
  <c r="R77" i="3"/>
  <c r="R78" i="3" s="1"/>
  <c r="R38" i="3"/>
  <c r="R31" i="4" l="1"/>
  <c r="R34" i="4" s="1"/>
  <c r="R68" i="4" s="1"/>
  <c r="R72" i="4" s="1"/>
  <c r="V69" i="4" l="1"/>
  <c r="V72" i="4" s="1"/>
  <c r="Y69" i="4" s="1"/>
  <c r="Z69" i="4" s="1"/>
  <c r="U69" i="4"/>
  <c r="U72" i="4" s="1"/>
  <c r="T69" i="4"/>
  <c r="T72" i="4" s="1"/>
  <c r="S69" i="4"/>
  <c r="S72" i="4" s="1"/>
  <c r="H30" i="4"/>
  <c r="I30" i="4"/>
  <c r="Z72" i="4" l="1"/>
  <c r="Y72" i="4"/>
  <c r="W69" i="4"/>
  <c r="W72" i="4" s="1"/>
  <c r="X69" i="4"/>
  <c r="X72" i="4" s="1"/>
  <c r="AA69" i="4" l="1"/>
  <c r="AA72" i="4" s="1"/>
  <c r="AC69" i="4"/>
  <c r="AD69" i="4" s="1"/>
  <c r="AB69" i="4"/>
  <c r="AC72" i="4" l="1"/>
  <c r="AB72" i="4"/>
  <c r="C67" i="4"/>
  <c r="J67" i="4"/>
  <c r="K67" i="4"/>
  <c r="L67" i="4"/>
  <c r="M67" i="4"/>
  <c r="N67" i="4"/>
  <c r="O67" i="4"/>
  <c r="P67" i="4"/>
  <c r="Q67" i="4"/>
  <c r="K73" i="3"/>
  <c r="J73" i="3"/>
  <c r="I73" i="3"/>
  <c r="H73" i="3"/>
  <c r="G73" i="3"/>
  <c r="F73" i="3"/>
  <c r="E73" i="3"/>
  <c r="D73" i="3"/>
  <c r="K72" i="3"/>
  <c r="J72" i="3"/>
  <c r="I72" i="3"/>
  <c r="H72" i="3"/>
  <c r="G72" i="3"/>
  <c r="F72" i="3"/>
  <c r="E72" i="3"/>
  <c r="D72" i="3"/>
  <c r="K71" i="3"/>
  <c r="J71" i="3"/>
  <c r="I71" i="3"/>
  <c r="H71" i="3"/>
  <c r="G71" i="3"/>
  <c r="F71" i="3"/>
  <c r="E71" i="3"/>
  <c r="D71" i="3"/>
  <c r="K67" i="3"/>
  <c r="J67" i="3"/>
  <c r="I67" i="3"/>
  <c r="H67" i="3"/>
  <c r="G67" i="3"/>
  <c r="F67" i="3"/>
  <c r="E67" i="3"/>
  <c r="D67" i="3"/>
  <c r="K64" i="3"/>
  <c r="J64" i="3"/>
  <c r="I64" i="3"/>
  <c r="H64" i="3"/>
  <c r="G64" i="3"/>
  <c r="F64" i="3"/>
  <c r="E64" i="3"/>
  <c r="D64" i="3"/>
  <c r="K63" i="3"/>
  <c r="J63" i="3"/>
  <c r="I63" i="3"/>
  <c r="H63" i="3"/>
  <c r="G63" i="3"/>
  <c r="F63" i="3"/>
  <c r="E63" i="3"/>
  <c r="D63" i="3"/>
  <c r="K62" i="3"/>
  <c r="J62" i="3"/>
  <c r="I62" i="3"/>
  <c r="H62" i="3"/>
  <c r="G62" i="3"/>
  <c r="F62" i="3"/>
  <c r="E62" i="3"/>
  <c r="D62" i="3"/>
  <c r="K59" i="3"/>
  <c r="J59" i="3"/>
  <c r="I59" i="3"/>
  <c r="H59" i="3"/>
  <c r="G59" i="3"/>
  <c r="F59" i="3"/>
  <c r="E59" i="3"/>
  <c r="D59" i="3"/>
  <c r="K58" i="3"/>
  <c r="J58" i="3"/>
  <c r="I58" i="3"/>
  <c r="H58" i="3"/>
  <c r="G58" i="3"/>
  <c r="F58" i="3"/>
  <c r="E58" i="3"/>
  <c r="D58" i="3"/>
  <c r="K57" i="3"/>
  <c r="J57" i="3"/>
  <c r="I57" i="3"/>
  <c r="H57" i="3"/>
  <c r="G57" i="3"/>
  <c r="F57" i="3"/>
  <c r="E57" i="3"/>
  <c r="D57" i="3"/>
  <c r="K55" i="3"/>
  <c r="J55" i="3"/>
  <c r="I55" i="3"/>
  <c r="H55" i="3"/>
  <c r="G55" i="3"/>
  <c r="F55" i="3"/>
  <c r="E55" i="3"/>
  <c r="D55" i="3"/>
  <c r="K54" i="3"/>
  <c r="J54" i="3"/>
  <c r="I54" i="3"/>
  <c r="H54" i="3"/>
  <c r="G54" i="3"/>
  <c r="F54" i="3"/>
  <c r="E54" i="3"/>
  <c r="D54" i="3"/>
  <c r="K53" i="3"/>
  <c r="J53" i="3"/>
  <c r="I53" i="3"/>
  <c r="H53" i="3"/>
  <c r="G53" i="3"/>
  <c r="F53" i="3"/>
  <c r="E53" i="3"/>
  <c r="D53" i="3"/>
  <c r="K48" i="3"/>
  <c r="J48" i="3"/>
  <c r="I48" i="3"/>
  <c r="H48" i="3"/>
  <c r="G48" i="3"/>
  <c r="F48" i="3"/>
  <c r="E48" i="3"/>
  <c r="D48" i="3"/>
  <c r="J47" i="3"/>
  <c r="I47" i="3"/>
  <c r="H47" i="3"/>
  <c r="G47" i="3"/>
  <c r="F47" i="3"/>
  <c r="E47" i="3"/>
  <c r="D47" i="3"/>
  <c r="K43" i="3"/>
  <c r="J43" i="3"/>
  <c r="I43" i="3"/>
  <c r="H43" i="3"/>
  <c r="G43" i="3"/>
  <c r="F43" i="3"/>
  <c r="E43" i="3"/>
  <c r="D43" i="3"/>
  <c r="K40" i="3"/>
  <c r="J40" i="3"/>
  <c r="I40" i="3"/>
  <c r="H40" i="3"/>
  <c r="G40" i="3"/>
  <c r="F40" i="3"/>
  <c r="E40" i="3"/>
  <c r="D40" i="3"/>
  <c r="K33" i="3"/>
  <c r="J33" i="3"/>
  <c r="I33" i="3"/>
  <c r="H33" i="3"/>
  <c r="G33" i="3"/>
  <c r="F33" i="3"/>
  <c r="E33" i="3"/>
  <c r="D33" i="3"/>
  <c r="K30" i="3"/>
  <c r="J30" i="3"/>
  <c r="I30" i="3"/>
  <c r="H30" i="3"/>
  <c r="G30" i="3"/>
  <c r="F30" i="3"/>
  <c r="E30" i="3"/>
  <c r="D30" i="3"/>
  <c r="K29" i="3"/>
  <c r="J29" i="3"/>
  <c r="I29" i="3"/>
  <c r="H29" i="3"/>
  <c r="G29" i="3"/>
  <c r="F29" i="3"/>
  <c r="E29" i="3"/>
  <c r="D29" i="3"/>
  <c r="K28" i="3"/>
  <c r="J28" i="3"/>
  <c r="I28" i="3"/>
  <c r="H28" i="3"/>
  <c r="G28" i="3"/>
  <c r="F28" i="3"/>
  <c r="E28" i="3"/>
  <c r="D28" i="3"/>
  <c r="K27" i="3"/>
  <c r="J27" i="3"/>
  <c r="I27" i="3"/>
  <c r="H27" i="3"/>
  <c r="G27" i="3"/>
  <c r="F27" i="3"/>
  <c r="E27" i="3"/>
  <c r="D27" i="3"/>
  <c r="K25" i="3"/>
  <c r="J25" i="3"/>
  <c r="I25" i="3"/>
  <c r="H25" i="3"/>
  <c r="G25" i="3"/>
  <c r="F25" i="3"/>
  <c r="E25" i="3"/>
  <c r="D25" i="3"/>
  <c r="K23" i="3"/>
  <c r="J23" i="3"/>
  <c r="I23" i="3"/>
  <c r="H23" i="3"/>
  <c r="G23" i="3"/>
  <c r="F23" i="3"/>
  <c r="E23" i="3"/>
  <c r="D23" i="3"/>
  <c r="K21" i="3"/>
  <c r="J21" i="3"/>
  <c r="I21" i="3"/>
  <c r="H21" i="3"/>
  <c r="G21" i="3"/>
  <c r="F21" i="3"/>
  <c r="E21" i="3"/>
  <c r="D21" i="3"/>
  <c r="K18" i="3"/>
  <c r="J18" i="3"/>
  <c r="I18" i="3"/>
  <c r="H18" i="3"/>
  <c r="G18" i="3"/>
  <c r="F18" i="3"/>
  <c r="E18" i="3"/>
  <c r="D18"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4" i="3"/>
  <c r="I32" i="3"/>
  <c r="I31" i="3"/>
  <c r="I26" i="3"/>
  <c r="H60" i="3"/>
  <c r="H56" i="3"/>
  <c r="H26" i="3"/>
  <c r="G34" i="3"/>
  <c r="G32" i="3"/>
  <c r="G31" i="3"/>
  <c r="G26" i="3"/>
  <c r="F31" i="3"/>
  <c r="F26" i="3"/>
  <c r="E60" i="3"/>
  <c r="E56" i="3"/>
  <c r="E34" i="3"/>
  <c r="E26" i="3"/>
  <c r="D60" i="3"/>
  <c r="D56" i="3"/>
  <c r="D34" i="3"/>
  <c r="D32" i="3"/>
  <c r="D31" i="3"/>
  <c r="D26" i="3"/>
  <c r="C73" i="3"/>
  <c r="C72" i="3"/>
  <c r="C71" i="3"/>
  <c r="C67" i="3"/>
  <c r="C64" i="3"/>
  <c r="C63" i="3"/>
  <c r="C62" i="3"/>
  <c r="M60" i="3"/>
  <c r="L60" i="3"/>
  <c r="C60" i="3"/>
  <c r="C59" i="3"/>
  <c r="C57" i="3"/>
  <c r="C56" i="3"/>
  <c r="C55" i="3"/>
  <c r="C54" i="3"/>
  <c r="C53" i="3"/>
  <c r="C48" i="3"/>
  <c r="C45" i="3"/>
  <c r="C44" i="3"/>
  <c r="C42" i="3"/>
  <c r="C41" i="3"/>
  <c r="C40" i="3"/>
  <c r="C33" i="3"/>
  <c r="C30" i="3"/>
  <c r="C28" i="3"/>
  <c r="C27" i="3"/>
  <c r="C26" i="3"/>
  <c r="C25" i="3"/>
  <c r="C23" i="3"/>
  <c r="C21" i="3"/>
  <c r="C18" i="3"/>
  <c r="C14" i="3"/>
  <c r="C13" i="3"/>
  <c r="C11" i="3"/>
  <c r="C10" i="3"/>
  <c r="C9" i="3"/>
  <c r="C8" i="3"/>
  <c r="C7" i="3"/>
  <c r="P35" i="3"/>
  <c r="Q35" i="3"/>
  <c r="M31" i="3"/>
  <c r="M35" i="3" s="1"/>
  <c r="L31" i="3"/>
  <c r="L35" i="3" s="1"/>
  <c r="H35" i="3" l="1"/>
  <c r="C35" i="3"/>
  <c r="C61" i="3"/>
  <c r="K35" i="3"/>
  <c r="J35" i="3"/>
  <c r="I35" i="3"/>
  <c r="G35" i="3"/>
  <c r="F35" i="3"/>
  <c r="E35" i="3"/>
  <c r="D35" i="3"/>
  <c r="Q52" i="4" l="1"/>
  <c r="Q6" i="4"/>
  <c r="Q74" i="3"/>
  <c r="Q61" i="3"/>
  <c r="Q50" i="3"/>
  <c r="Q52" i="3" s="1"/>
  <c r="Q22" i="3"/>
  <c r="Q77" i="3" l="1"/>
  <c r="Q78" i="3" s="1"/>
  <c r="Q38" i="3"/>
  <c r="P52" i="4" l="1"/>
  <c r="P6" i="4"/>
  <c r="P31" i="4" s="1"/>
  <c r="P34" i="4" s="1"/>
  <c r="P61" i="3"/>
  <c r="P74" i="3"/>
  <c r="P50" i="3"/>
  <c r="P52" i="3" s="1"/>
  <c r="P22" i="3"/>
  <c r="O74" i="3"/>
  <c r="N74" i="3"/>
  <c r="O61" i="3"/>
  <c r="N61" i="3"/>
  <c r="O22" i="3"/>
  <c r="N22" i="3"/>
  <c r="O52" i="4"/>
  <c r="O6" i="4"/>
  <c r="O31" i="4" s="1"/>
  <c r="O34" i="4" s="1"/>
  <c r="O50" i="3"/>
  <c r="O52" i="3" s="1"/>
  <c r="P77" i="3" l="1"/>
  <c r="P68" i="4"/>
  <c r="P72" i="4" s="1"/>
  <c r="P38" i="3"/>
  <c r="O68" i="4"/>
  <c r="O72" i="4" s="1"/>
  <c r="O77" i="3"/>
  <c r="N52" i="4"/>
  <c r="N6" i="4"/>
  <c r="N50" i="3"/>
  <c r="N52" i="3" s="1"/>
  <c r="P78" i="3" l="1"/>
  <c r="Q31" i="4"/>
  <c r="Q34" i="4" s="1"/>
  <c r="Q68" i="4" s="1"/>
  <c r="Q72" i="4" s="1"/>
  <c r="O78" i="3"/>
  <c r="N77" i="3"/>
  <c r="M52" i="4"/>
  <c r="M6" i="4"/>
  <c r="M74" i="3"/>
  <c r="M61" i="3"/>
  <c r="M50" i="3"/>
  <c r="M52" i="3" s="1"/>
  <c r="M22" i="3"/>
  <c r="N78" i="3" l="1"/>
  <c r="M31" i="4"/>
  <c r="M34" i="4" s="1"/>
  <c r="M68" i="4" s="1"/>
  <c r="M72" i="4" s="1"/>
  <c r="M77" i="3"/>
  <c r="M38" i="3"/>
  <c r="M78" i="3" l="1"/>
  <c r="N31" i="4" l="1"/>
  <c r="E6" i="4"/>
  <c r="D6" i="4"/>
  <c r="C6" i="4"/>
  <c r="I58" i="4"/>
  <c r="I67" i="4" s="1"/>
  <c r="H58" i="4"/>
  <c r="H67" i="4" s="1"/>
  <c r="G58" i="4"/>
  <c r="G67" i="4" s="1"/>
  <c r="F58" i="4"/>
  <c r="F67" i="4" s="1"/>
  <c r="E58" i="4"/>
  <c r="E67" i="4" s="1"/>
  <c r="D58" i="4"/>
  <c r="D67" i="4" s="1"/>
  <c r="N34" i="4" l="1"/>
  <c r="J51" i="3"/>
  <c r="K51" i="3"/>
  <c r="I51" i="3"/>
  <c r="C52" i="4"/>
  <c r="D52" i="4"/>
  <c r="E52" i="4"/>
  <c r="F52" i="4"/>
  <c r="G52" i="4"/>
  <c r="H52" i="4"/>
  <c r="I52" i="4"/>
  <c r="J52" i="4"/>
  <c r="K52" i="4"/>
  <c r="L52" i="4"/>
  <c r="O26" i="3" l="1"/>
  <c r="O35" i="3" s="1"/>
  <c r="N26" i="3"/>
  <c r="N32" i="3"/>
  <c r="N68" i="4"/>
  <c r="L6" i="4"/>
  <c r="L74" i="3"/>
  <c r="L61" i="3"/>
  <c r="L50" i="3"/>
  <c r="L52" i="3" s="1"/>
  <c r="L22" i="3"/>
  <c r="N35" i="3" l="1"/>
  <c r="I50" i="3"/>
  <c r="I52" i="3" s="1"/>
  <c r="E74" i="3"/>
  <c r="D61" i="3"/>
  <c r="J74" i="3"/>
  <c r="H50" i="3"/>
  <c r="H52" i="3" s="1"/>
  <c r="I61" i="3"/>
  <c r="J50" i="3"/>
  <c r="J52" i="3" s="1"/>
  <c r="D74" i="3"/>
  <c r="F74" i="3"/>
  <c r="J61" i="3"/>
  <c r="G50" i="3"/>
  <c r="G52" i="3" s="1"/>
  <c r="E50" i="3"/>
  <c r="E52" i="3" s="1"/>
  <c r="K74" i="3"/>
  <c r="F61" i="3"/>
  <c r="C50" i="3"/>
  <c r="C52" i="3" s="1"/>
  <c r="E61" i="3"/>
  <c r="H74" i="3"/>
  <c r="G74" i="3"/>
  <c r="K61" i="3"/>
  <c r="H61" i="3"/>
  <c r="C74" i="3"/>
  <c r="F50" i="3"/>
  <c r="F52" i="3" s="1"/>
  <c r="K22" i="3"/>
  <c r="I74" i="3"/>
  <c r="G61" i="3"/>
  <c r="D50" i="3"/>
  <c r="D52" i="3" s="1"/>
  <c r="K50" i="3"/>
  <c r="K52" i="3" s="1"/>
  <c r="N72" i="4"/>
  <c r="G22" i="3"/>
  <c r="F22" i="3"/>
  <c r="H22" i="3"/>
  <c r="C22" i="3"/>
  <c r="I22" i="3"/>
  <c r="J22" i="3"/>
  <c r="E22" i="3"/>
  <c r="D22" i="3"/>
  <c r="L38" i="3"/>
  <c r="L77" i="3"/>
  <c r="E77" i="3" l="1"/>
  <c r="E78" i="3" s="1"/>
  <c r="I77" i="3"/>
  <c r="I78" i="3" s="1"/>
  <c r="C77" i="3"/>
  <c r="C78" i="3" s="1"/>
  <c r="K77" i="3"/>
  <c r="K78" i="3" s="1"/>
  <c r="J77" i="3"/>
  <c r="J78" i="3" s="1"/>
  <c r="G38" i="3"/>
  <c r="F77" i="3"/>
  <c r="F78" i="3" s="1"/>
  <c r="D77" i="3"/>
  <c r="D78" i="3" s="1"/>
  <c r="H77" i="3"/>
  <c r="H78" i="3" s="1"/>
  <c r="J38" i="3"/>
  <c r="O38" i="3"/>
  <c r="G77" i="3"/>
  <c r="G78" i="3" s="1"/>
  <c r="H38" i="3"/>
  <c r="N38" i="3"/>
  <c r="E38" i="3"/>
  <c r="D38" i="3"/>
  <c r="L78" i="3"/>
  <c r="C38" i="3"/>
  <c r="F38" i="3"/>
  <c r="K38" i="3"/>
  <c r="I38" i="3"/>
  <c r="L31" i="4" l="1"/>
  <c r="L34" i="4" s="1"/>
  <c r="L68" i="4" s="1"/>
  <c r="L72" i="4" s="1"/>
  <c r="D31" i="4" l="1"/>
  <c r="D34" i="4" s="1"/>
  <c r="D68" i="4" l="1"/>
  <c r="D72" i="4" s="1"/>
  <c r="F6" i="4" l="1"/>
  <c r="F31" i="4" s="1"/>
  <c r="F34" i="4" s="1"/>
  <c r="F68" i="4" s="1"/>
  <c r="F72" i="4" s="1"/>
  <c r="K6" i="4"/>
  <c r="K31" i="4" s="1"/>
  <c r="K34" i="4" s="1"/>
  <c r="K68" i="4" s="1"/>
  <c r="K72" i="4" s="1"/>
  <c r="C31" i="4"/>
  <c r="C34" i="4" s="1"/>
  <c r="C68" i="4" s="1"/>
  <c r="C72" i="4" s="1"/>
  <c r="G6" i="4"/>
  <c r="G31" i="4" s="1"/>
  <c r="G34" i="4" s="1"/>
  <c r="G68" i="4" s="1"/>
  <c r="G72" i="4" s="1"/>
  <c r="H6" i="4"/>
  <c r="H31" i="4" s="1"/>
  <c r="H34" i="4" s="1"/>
  <c r="H68" i="4" s="1"/>
  <c r="H72" i="4" s="1"/>
  <c r="E31" i="4"/>
  <c r="E34" i="4" s="1"/>
  <c r="E68" i="4" s="1"/>
  <c r="E72" i="4" s="1"/>
  <c r="J6" i="4"/>
  <c r="J31" i="4" s="1"/>
  <c r="J34" i="4" s="1"/>
  <c r="J68" i="4" s="1"/>
  <c r="J72" i="4" s="1"/>
  <c r="I6" i="4"/>
  <c r="I31" i="4" s="1"/>
  <c r="I34" i="4" s="1"/>
  <c r="I68" i="4" s="1"/>
  <c r="I72" i="4" s="1"/>
  <c r="AD31" i="4" l="1"/>
  <c r="AD34" i="4" l="1"/>
  <c r="AD68" i="4" l="1"/>
  <c r="AD72" i="4" l="1"/>
  <c r="AL69" i="4" l="1"/>
  <c r="AH69" i="4"/>
  <c r="AK69" i="4"/>
  <c r="AK72" i="4" s="1"/>
  <c r="AJ69" i="4"/>
  <c r="AJ72" i="4" s="1"/>
  <c r="AG69" i="4"/>
  <c r="AG72" i="4" s="1"/>
  <c r="AF69" i="4"/>
  <c r="AF72" i="4" s="1"/>
  <c r="AK27" i="1"/>
  <c r="AK28" i="1" s="1"/>
  <c r="AK31" i="1" s="1"/>
  <c r="AJ28" i="1"/>
  <c r="AJ31" i="1" s="1"/>
  <c r="AH72" i="4" l="1"/>
  <c r="AL72" i="4"/>
  <c r="AM69" i="4" s="1"/>
  <c r="AM72" i="4" s="1"/>
  <c r="AW24" i="5" l="1"/>
  <c r="AW5" i="5" s="1"/>
  <c r="AZ5" i="5" l="1"/>
  <c r="AU31" i="4"/>
  <c r="AU34" i="4"/>
  <c r="AU68" i="4" s="1"/>
  <c r="AU72" i="4" s="1"/>
</calcChain>
</file>

<file path=xl/sharedStrings.xml><?xml version="1.0" encoding="utf-8"?>
<sst xmlns="http://schemas.openxmlformats.org/spreadsheetml/2006/main" count="1465" uniqueCount="730">
  <si>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</si>
  <si>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</si>
  <si>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</si>
  <si>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</si>
  <si>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</si>
  <si>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</si>
  <si>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</si>
  <si>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</si>
  <si>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t>2022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</si>
  <si>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</si>
  <si>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</si>
  <si>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</si>
  <si>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</si>
  <si>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</si>
  <si>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</si>
  <si>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2022 (IFRS 16 basis)</t>
  </si>
  <si>
    <t>teraz</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</si>
  <si>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</si>
  <si>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</si>
  <si>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</si>
  <si>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</si>
  <si>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</si>
  <si>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</si>
  <si>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</si>
  <si>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</si>
  <si>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</si>
  <si>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YTD2021</t>
  </si>
  <si>
    <t>YTD2022</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</si>
  <si>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</si>
  <si>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</si>
  <si>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</si>
  <si>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</si>
  <si>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</si>
  <si>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</si>
  <si>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</si>
  <si>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</si>
  <si>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</si>
  <si>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</si>
  <si>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</si>
  <si>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</si>
  <si>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</si>
  <si>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</si>
  <si>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</si>
  <si>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</si>
  <si>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</si>
  <si>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</si>
  <si>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</si>
  <si>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</si>
  <si>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</si>
  <si>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</si>
  <si>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</si>
  <si>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</si>
  <si>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</si>
  <si>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</si>
  <si>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</si>
  <si>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</si>
  <si>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Zysk ze sprzedaży jednostki zależnej</t>
  </si>
  <si>
    <t>Gain on disposal of a subsidiary</t>
  </si>
  <si>
    <t>Pozostałe przychody / (koszty) operacyjne, netto</t>
  </si>
  <si>
    <t>Other operating income / (loss), net</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</si>
  <si>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</si>
  <si>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</si>
  <si>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</si>
  <si>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</si>
  <si>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</si>
  <si>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</si>
  <si>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</si>
  <si>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</si>
  <si>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</si>
  <si>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</si>
  <si>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</si>
  <si>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</si>
  <si>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</si>
  <si>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</si>
  <si>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</si>
  <si>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</si>
  <si>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</si>
  <si>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</si>
  <si>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</si>
  <si>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</si>
  <si>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</si>
  <si>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</si>
  <si>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</si>
  <si>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</si>
  <si>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</si>
  <si>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r>
      <t xml:space="preserve">Koszty związane z COVID (w tym darowizny) </t>
    </r>
    <r>
      <rPr>
        <vertAlign val="superscript"/>
        <sz val="10"/>
        <color indexed="8"/>
        <rFont val="Calibri"/>
        <family val="2"/>
        <charset val="238"/>
      </rPr>
      <t>5)</t>
    </r>
  </si>
  <si>
    <r>
      <t xml:space="preserve">Costs related to COVID (including donations) </t>
    </r>
    <r>
      <rPr>
        <vertAlign val="superscript"/>
        <sz val="10"/>
        <color theme="1"/>
        <rFont val="Calibri"/>
        <family val="2"/>
        <charset val="238"/>
      </rPr>
      <t>5)</t>
    </r>
  </si>
  <si>
    <t>Koszty wsparcia Ukrainy</t>
  </si>
  <si>
    <t>Costs of supporting Ukraine</t>
  </si>
  <si>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</si>
  <si>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</si>
  <si>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</si>
  <si>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</si>
  <si>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</si>
  <si>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</si>
  <si>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</si>
  <si>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</si>
  <si>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</si>
  <si>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</si>
  <si>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</si>
  <si>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</si>
  <si>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5) EBITDA skorygowana nie uwzględnia kosztów poniesionych w związku z epidemią COVID-19, w tym darowizn.</t>
  </si>
  <si>
    <t>5) Adjusted EBITDA excludes costs related to the COVID-19 epidemic, including donations.</t>
  </si>
  <si>
    <t>2018 (dane wg MSR 17,
Grupa Netia konsolidowana od 22 maja 2018 r.)</t>
  </si>
  <si>
    <t>2019 (dane MSSF 16)</t>
  </si>
  <si>
    <t>2018 (IAS 17 basis,
Netia Group consolidated as of May 22, 2018)</t>
  </si>
  <si>
    <t>2019 (IFRS 16 basis)</t>
  </si>
  <si>
    <t>YTD2018</t>
  </si>
  <si>
    <t>YTD2019</t>
  </si>
  <si>
    <t>YTD2020</t>
  </si>
  <si>
    <t>FY2021</t>
  </si>
  <si>
    <t>Przychody ze sprzedaży</t>
  </si>
  <si>
    <t>Revenues</t>
  </si>
  <si>
    <t>Segment usług B2C i B2B</t>
  </si>
  <si>
    <t>B2C &amp; B2B services segment</t>
  </si>
  <si>
    <t>Segment mediowy: TV i online</t>
  </si>
  <si>
    <t>Media segment: TV &amp; online</t>
  </si>
  <si>
    <t xml:space="preserve">Segment nieruchomości </t>
  </si>
  <si>
    <t>Real estate segment</t>
  </si>
  <si>
    <t>wyłączenia i korekty konsolidacyjne</t>
  </si>
  <si>
    <t>consolidation adjustments</t>
  </si>
  <si>
    <t>EBITDA skorygowana (niebadana)</t>
  </si>
  <si>
    <t>EBITDA adjusted (unaudited)</t>
  </si>
  <si>
    <t>Segment nieruchomości</t>
  </si>
  <si>
    <r>
      <t xml:space="preserve">Koszty związane z COVID (w tym darowizny) </t>
    </r>
    <r>
      <rPr>
        <vertAlign val="superscript"/>
        <sz val="10"/>
        <color theme="1"/>
        <rFont val="Calibri"/>
        <family val="2"/>
        <charset val="238"/>
        <scheme val="minor"/>
      </rPr>
      <t>1)</t>
    </r>
  </si>
  <si>
    <r>
      <t xml:space="preserve">Costs related to COVID (including donations) </t>
    </r>
    <r>
      <rPr>
        <vertAlign val="superscript"/>
        <sz val="10"/>
        <color theme="1"/>
        <rFont val="Calibri"/>
        <family val="2"/>
        <charset val="238"/>
        <scheme val="minor"/>
      </rPr>
      <t>1)</t>
    </r>
  </si>
  <si>
    <r>
      <t xml:space="preserve">Zysk ze sprzedaży jednostki zależnej </t>
    </r>
    <r>
      <rPr>
        <vertAlign val="superscript"/>
        <sz val="10"/>
        <color theme="1"/>
        <rFont val="Calibri"/>
        <family val="2"/>
        <charset val="238"/>
        <scheme val="minor"/>
      </rPr>
      <t>2)</t>
    </r>
  </si>
  <si>
    <r>
      <t xml:space="preserve">Gain on disposal of a subsidiary </t>
    </r>
    <r>
      <rPr>
        <vertAlign val="superscript"/>
        <sz val="10"/>
        <color theme="1"/>
        <rFont val="Calibri"/>
        <family val="2"/>
        <charset val="238"/>
        <scheme val="minor"/>
      </rPr>
      <t>2)</t>
    </r>
  </si>
  <si>
    <t>EBITDA (niebadana)</t>
  </si>
  <si>
    <t>EBITDA (unaudited)</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</si>
  <si>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</si>
  <si>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</si>
  <si>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3)</t>
    </r>
  </si>
  <si>
    <r>
      <t xml:space="preserve">Acquisition of property, plant and equipment, and other intangible assets </t>
    </r>
    <r>
      <rPr>
        <b/>
        <vertAlign val="superscript"/>
        <sz val="11"/>
        <color theme="1"/>
        <rFont val="Calibri"/>
        <family val="2"/>
        <charset val="238"/>
        <scheme val="minor"/>
      </rPr>
      <t>3)</t>
    </r>
  </si>
  <si>
    <t xml:space="preserve">B2C and B2B services segment </t>
  </si>
  <si>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</si>
  <si>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</si>
  <si>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</si>
  <si>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</si>
  <si>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2) EBITDA skorygowana nie uwzględnia jednorazowego zysku na sprzedaży udziałów w Polkomtel Instrastruktura Sp. z o.o.</t>
  </si>
  <si>
    <t>2) Adjusted EBITDA excludes the one-off gain on the disposal of shares of Polkomtel Infrastruktura Sp. z o.o.</t>
  </si>
  <si>
    <t>3)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</si>
  <si>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3)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</si>
  <si>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</si>
  <si>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</si>
  <si>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</si>
  <si>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</si>
  <si>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</si>
  <si>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</si>
  <si>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</si>
  <si>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</si>
  <si>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</si>
  <si>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</si>
  <si>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</si>
  <si>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</si>
  <si>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</si>
  <si>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</si>
  <si>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</si>
  <si>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</si>
  <si>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</si>
  <si>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</si>
  <si>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</si>
  <si>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</si>
  <si>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</si>
  <si>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</si>
  <si>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</si>
  <si>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</si>
  <si>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</si>
  <si>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</si>
  <si>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</si>
  <si>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</si>
  <si>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</si>
  <si>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</si>
  <si>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</si>
  <si>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</si>
  <si>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</si>
  <si>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</si>
  <si>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</si>
  <si>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</si>
  <si>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</si>
  <si>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</si>
  <si>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</si>
  <si>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3)</t>
    </r>
  </si>
  <si>
    <r>
      <t xml:space="preserve">Non-current trade receivables </t>
    </r>
    <r>
      <rPr>
        <vertAlign val="superscript"/>
        <sz val="10"/>
        <color theme="1"/>
        <rFont val="Calibri"/>
        <family val="2"/>
        <charset val="238"/>
        <scheme val="minor"/>
      </rPr>
      <t>3)</t>
    </r>
  </si>
  <si>
    <r>
      <t xml:space="preserve">Inne aktywa długoterminowe </t>
    </r>
    <r>
      <rPr>
        <vertAlign val="superscript"/>
        <sz val="10"/>
        <color indexed="8"/>
        <rFont val="Calibri"/>
        <family val="2"/>
        <charset val="238"/>
      </rPr>
      <t>3)</t>
    </r>
  </si>
  <si>
    <r>
      <t xml:space="preserve">Other non-current assets </t>
    </r>
    <r>
      <rPr>
        <vertAlign val="superscript"/>
        <sz val="10"/>
        <color theme="1"/>
        <rFont val="Calibri"/>
        <family val="2"/>
        <charset val="238"/>
        <scheme val="minor"/>
      </rPr>
      <t>3)</t>
    </r>
    <r>
      <rPr>
        <sz val="10"/>
        <color theme="1"/>
        <rFont val="Calibri"/>
        <family val="2"/>
        <charset val="238"/>
        <scheme val="minor"/>
      </rPr>
      <t>, includes:</t>
    </r>
  </si>
  <si>
    <t>w tym udziały w jednostkach stowarzyszonych wycenianych metodą praw własności</t>
  </si>
  <si>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</si>
  <si>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</si>
  <si>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</si>
  <si>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</si>
  <si>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</si>
  <si>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</si>
  <si>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</si>
  <si>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</si>
  <si>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</si>
  <si>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</si>
  <si>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</si>
  <si>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</si>
  <si>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</si>
  <si>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t>Pożyczki udzielone jednostkom powiązanym</t>
  </si>
  <si>
    <t>Loans granted to related parties</t>
  </si>
  <si>
    <t>Należności z tytułu dostaw i usług oraz pozostałe należności</t>
  </si>
  <si>
    <t>Trade and other receivables</t>
  </si>
  <si>
    <t>Należności z tytułu podatku dochodowego</t>
  </si>
  <si>
    <t>Income tax receivable</t>
  </si>
  <si>
    <t>Krótkoterminowe prowizje dla dystrybutorów rozliczane w czasie</t>
  </si>
  <si>
    <t>Current deferred distribution fees</t>
  </si>
  <si>
    <t>Pozostałe aktywa obrotowe</t>
  </si>
  <si>
    <t>Other current assets</t>
  </si>
  <si>
    <t>includes 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</si>
  <si>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</si>
  <si>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</si>
  <si>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</si>
  <si>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</si>
  <si>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</si>
  <si>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</si>
  <si>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</si>
  <si>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</si>
  <si>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</si>
  <si>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Assets held for sale</t>
  </si>
  <si>
    <t>w tym środki pieniężne i ich ekwiwalenty</t>
  </si>
  <si>
    <t xml:space="preserve">includes cash and cash equivalents </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</si>
  <si>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</si>
  <si>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</si>
  <si>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</si>
  <si>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</si>
  <si>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</si>
  <si>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</si>
  <si>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</si>
  <si>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</si>
  <si>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</si>
  <si>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</si>
  <si>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</si>
  <si>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</si>
  <si>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</si>
  <si>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</si>
  <si>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</si>
  <si>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adjustmnet</t>
  </si>
  <si>
    <t>Udział w innych całkowitych dochodach jednostek stowarzyszonych</t>
  </si>
  <si>
    <t>Share of other comprehensive income of associates</t>
  </si>
  <si>
    <t>Pozostałe kapitały</t>
  </si>
  <si>
    <t>Zyski zatrzymane</t>
  </si>
  <si>
    <t>Retained earnings</t>
  </si>
  <si>
    <t>Akcje własne</t>
  </si>
  <si>
    <t>Treasury shares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</si>
  <si>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</si>
  <si>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</si>
  <si>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</si>
  <si>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</si>
  <si>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</si>
  <si>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</si>
  <si>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</si>
  <si>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</si>
  <si>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</si>
  <si>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</si>
  <si>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</si>
  <si>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</si>
  <si>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</si>
  <si>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</si>
  <si>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</si>
  <si>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</si>
  <si>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</si>
  <si>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</si>
  <si>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</si>
  <si>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Other non-current liabilities and provisions</t>
  </si>
  <si>
    <t>w tym zobowiązania z tytułu instrumentów pochodnych</t>
  </si>
  <si>
    <t>includes derivative instruments liabilities</t>
  </si>
  <si>
    <t>Zobowiązania długoterminowe razem</t>
  </si>
  <si>
    <t xml:space="preserve">Total non-current liabilities </t>
  </si>
  <si>
    <t xml:space="preserve">Zobowiązania z tytułu leasingu </t>
  </si>
  <si>
    <t>Zobowiązania z tytułu kontraktów</t>
  </si>
  <si>
    <t>Contract liabilities</t>
  </si>
  <si>
    <t xml:space="preserve">Zobowiązania z tytułu dostaw i usług oraz pozostałe zobowiązania </t>
  </si>
  <si>
    <t xml:space="preserve">Trade and other payables </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</si>
  <si>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</si>
  <si>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</si>
  <si>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</si>
  <si>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</si>
  <si>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</si>
  <si>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</si>
  <si>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</si>
  <si>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</si>
  <si>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</si>
  <si>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</si>
  <si>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</si>
  <si>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</si>
  <si>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t>
  </si>
  <si>
    <t>w tym zobowiązania z tytułu leasingu</t>
  </si>
  <si>
    <t>includes lease liabilities</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</si>
  <si>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</si>
  <si>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</si>
  <si>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</si>
  <si>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</si>
  <si>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</si>
  <si>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wydane sprzęt" została ujęta w pozycji "Zobowiązania z tytułu dostaw i usług oraz pozostałe zobowiązania".</t>
  </si>
  <si>
    <t>2) From June 30, 2015 the item "Deposits for equipment" is accounted for in the item "Trade and other payables"</t>
  </si>
  <si>
    <t>3) Na 31 grudnia 2019 roku Grupa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</si>
  <si>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sperately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</si>
  <si>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</si>
  <si>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</si>
  <si>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</si>
  <si>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</si>
  <si>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</si>
  <si>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</si>
  <si>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</si>
  <si>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</si>
  <si>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</si>
  <si>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</si>
  <si>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</si>
  <si>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</si>
  <si>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</si>
  <si>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</si>
  <si>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</si>
  <si>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</si>
  <si>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</si>
  <si>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</si>
  <si>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</si>
  <si>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</si>
  <si>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</si>
  <si>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</si>
  <si>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</si>
  <si>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</si>
  <si>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</si>
  <si>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</si>
  <si>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</si>
  <si>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</si>
  <si>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</si>
  <si>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</si>
  <si>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</si>
  <si>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</si>
  <si>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</si>
  <si>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</si>
  <si>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</si>
  <si>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</si>
  <si>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</si>
  <si>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</si>
  <si>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</si>
  <si>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</si>
  <si>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</si>
  <si>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</si>
  <si>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</si>
  <si>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</si>
  <si>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</si>
  <si>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</si>
  <si>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</si>
  <si>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</si>
  <si>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</si>
  <si>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</si>
  <si>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</si>
  <si>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</si>
  <si>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</si>
  <si>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</si>
  <si>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</si>
  <si>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</si>
  <si>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Early redemption costs</t>
  </si>
  <si>
    <t>(Zysk) / strata na instrumentach pochodnych, netto</t>
  </si>
  <si>
    <t>Net (gain)/loss on derivatives</t>
  </si>
  <si>
    <t>Gain on the sale of shares in a subsidiary</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</si>
  <si>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</si>
  <si>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</si>
  <si>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</si>
  <si>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</si>
  <si>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</si>
  <si>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</si>
  <si>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</si>
  <si>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</si>
  <si>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</si>
  <si>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</si>
  <si>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</si>
  <si>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</si>
  <si>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</si>
  <si>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</si>
  <si>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</si>
  <si>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</si>
  <si>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</si>
  <si>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</si>
  <si>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</si>
  <si>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</si>
  <si>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</si>
  <si>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 and other entities</t>
  </si>
  <si>
    <t>Nabycie udziałów w jednostkach zależnych pomniejszone o przejęte środki pieniężne</t>
  </si>
  <si>
    <t>Acquisition of subsidiaries, net of cash acquired</t>
  </si>
  <si>
    <t>Podwyższenie kapitału w jednostce stowarzyszonej</t>
  </si>
  <si>
    <t>Share capital increase</t>
  </si>
  <si>
    <t>Wpływy ze zbycia udziałów</t>
  </si>
  <si>
    <t>Proceeds from sale of shares in subsidaries</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</si>
  <si>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</si>
  <si>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</si>
  <si>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</si>
  <si>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</si>
  <si>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</si>
  <si>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</si>
  <si>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</si>
  <si>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</si>
  <si>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</si>
  <si>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</si>
  <si>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</si>
  <si>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</si>
  <si>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</si>
  <si>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</si>
  <si>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</si>
  <si>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</si>
  <si>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Pozostałe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</si>
  <si>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</si>
  <si>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</si>
  <si>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</si>
  <si>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</si>
  <si>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</si>
  <si>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t>
  </si>
  <si>
    <t>Loans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</si>
  <si>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</si>
  <si>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</si>
  <si>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</si>
  <si>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</si>
  <si>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</si>
  <si>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</si>
  <si>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</si>
  <si>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</si>
  <si>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</si>
  <si>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</si>
  <si>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</si>
  <si>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</si>
  <si>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</si>
  <si>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Wypłacona dywidenda</t>
  </si>
  <si>
    <t>Dividend payment</t>
  </si>
  <si>
    <t>Nabycie akcji własnych</t>
  </si>
  <si>
    <t>Own shares buy-back</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</si>
  <si>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</si>
  <si>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</si>
  <si>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</si>
  <si>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</si>
  <si>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r>
      <t xml:space="preserve">Wpływy/(wypływy) z tytułu realizacji instrumentów pochodnych </t>
    </r>
    <r>
      <rPr>
        <vertAlign val="superscript"/>
        <sz val="10"/>
        <color indexed="8"/>
        <rFont val="Calibri"/>
        <family val="2"/>
        <charset val="238"/>
      </rPr>
      <t>8)</t>
    </r>
  </si>
  <si>
    <r>
      <t xml:space="preserve">Hedging instrument effect </t>
    </r>
    <r>
      <rPr>
        <vertAlign val="superscript"/>
        <sz val="10"/>
        <color indexed="8"/>
        <rFont val="Calibri"/>
        <family val="2"/>
        <charset val="238"/>
      </rPr>
      <t>8)</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</si>
  <si>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</si>
  <si>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</si>
  <si>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</si>
  <si>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</si>
  <si>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</si>
  <si>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</si>
  <si>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</si>
  <si>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</si>
  <si>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</si>
  <si>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</si>
  <si>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</si>
  <si>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</si>
  <si>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</si>
  <si>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</si>
  <si>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premie za wcześniejszą spłatę obligacji oraz zapłatę za koszty związane z pozyskaniem finansowania. Do końca 2019 roku pozycja obejmowała wpływ instrumentów IRS/CIRS/forward.</t>
  </si>
  <si>
    <t>1) Includes premium paid for early bonds’ repayment and amount paid for costs related to new financing. Until the end of 2019 this item included the impact of hedging instruments.</t>
  </si>
  <si>
    <t xml:space="preserve">2) Pozycja została połączona z pozycją "Inne korekty". </t>
  </si>
  <si>
    <t xml:space="preserve">2) Item joined with item "Other adjustments". </t>
  </si>
  <si>
    <t>3) Pozycja obejmowła spłatę zobowiązań z tytułu leasingu finansowego do końca 2018 r. W latach 2020-2021 pozycja obejmowała wpływ instrumentów IRS/CIRS/forward.</t>
  </si>
  <si>
    <t>3) Item included Finance lease – principal repayments until the end of 2018. In the years 2020-2021 this item included the impact of hedging instrument.</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</si>
  <si>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</si>
  <si>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</si>
  <si>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</si>
  <si>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</si>
  <si>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</si>
  <si>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</si>
  <si>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</si>
  <si>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</si>
  <si>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</si>
  <si>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8) Pozycja wydzielona z "Inne wypływy" w Q1'2022.</t>
  </si>
  <si>
    <t>8) Item seperated from "Other outflows" in Q1'2022.</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</si>
  <si>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</si>
  <si>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</si>
  <si>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</si>
  <si>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</si>
  <si>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</si>
  <si>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</si>
  <si>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</si>
  <si>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</si>
  <si>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</si>
  <si>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</si>
  <si>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</si>
  <si>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</si>
  <si>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</si>
  <si>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</si>
  <si>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</si>
  <si>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</si>
  <si>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</si>
  <si>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</si>
  <si>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</si>
  <si>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</si>
  <si>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</si>
  <si>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</si>
  <si>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</si>
  <si>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</si>
  <si>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</si>
  <si>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</si>
  <si>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</si>
  <si>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</si>
  <si>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</si>
  <si>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</si>
  <si>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</si>
  <si>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</si>
  <si>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</si>
  <si>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</si>
  <si>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</si>
  <si>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</si>
  <si>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</si>
  <si>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</si>
  <si>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</si>
  <si>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</si>
  <si>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</si>
  <si>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</si>
  <si>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</si>
  <si>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</si>
  <si>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</si>
  <si>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</si>
  <si>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</si>
  <si>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</si>
  <si>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</si>
  <si>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</si>
  <si>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</si>
  <si>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</si>
  <si>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Q4'21
</t>
    </r>
    <r>
      <rPr>
        <i/>
        <sz val="10"/>
        <color theme="0"/>
        <rFont val="Calibri"/>
        <family val="2"/>
        <charset val="238"/>
      </rPr>
      <t>(dane wg MSSF 16)</t>
    </r>
  </si>
  <si>
    <r>
      <t xml:space="preserve">2021
</t>
    </r>
    <r>
      <rPr>
        <i/>
        <sz val="10"/>
        <color theme="0"/>
        <rFont val="Calibri"/>
        <family val="2"/>
        <charset val="238"/>
      </rPr>
      <t>(dane wg MSSF 16)</t>
    </r>
  </si>
  <si>
    <r>
      <t xml:space="preserve">Q1'22
</t>
    </r>
    <r>
      <rPr>
        <i/>
        <sz val="10"/>
        <color theme="0"/>
        <rFont val="Calibri"/>
        <family val="2"/>
        <charset val="238"/>
      </rPr>
      <t>(dane wg MSSF 16)</t>
    </r>
  </si>
  <si>
    <r>
      <t xml:space="preserve">Q2'22
</t>
    </r>
    <r>
      <rPr>
        <i/>
        <sz val="10"/>
        <color theme="0"/>
        <rFont val="Calibri"/>
        <family val="2"/>
        <charset val="238"/>
      </rPr>
      <t>(dane wg MSSF 16)</t>
    </r>
  </si>
  <si>
    <r>
      <t xml:space="preserve">Q3'22
</t>
    </r>
    <r>
      <rPr>
        <i/>
        <sz val="10"/>
        <color theme="0"/>
        <rFont val="Calibri"/>
        <family val="2"/>
        <charset val="238"/>
      </rPr>
      <t>(dane wg MSSF 16)</t>
    </r>
  </si>
  <si>
    <r>
      <t xml:space="preserve">Q4'22
</t>
    </r>
    <r>
      <rPr>
        <i/>
        <sz val="10"/>
        <color theme="0"/>
        <rFont val="Calibri"/>
        <family val="2"/>
        <charset val="238"/>
      </rPr>
      <t>(dane wg MSSF 16)</t>
    </r>
  </si>
  <si>
    <r>
      <t xml:space="preserve">2022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</si>
  <si>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</si>
  <si>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</si>
  <si>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</si>
  <si>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</si>
  <si>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</si>
  <si>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</si>
  <si>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</si>
  <si>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</si>
  <si>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</si>
  <si>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</si>
  <si>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</si>
  <si>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</si>
  <si>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</si>
  <si>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</si>
  <si>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</si>
  <si>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</si>
  <si>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</si>
  <si>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</si>
  <si>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</si>
  <si>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</si>
  <si>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</si>
  <si>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</si>
  <si>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</si>
  <si>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 xml:space="preserve">Q4'21
</t>
    </r>
    <r>
      <rPr>
        <i/>
        <sz val="10"/>
        <color theme="0"/>
        <rFont val="Calibri"/>
        <family val="2"/>
        <charset val="238"/>
      </rPr>
      <t>(IFRS 16 basis)</t>
    </r>
  </si>
  <si>
    <r>
      <t xml:space="preserve">2021
</t>
    </r>
    <r>
      <rPr>
        <i/>
        <sz val="10"/>
        <color theme="0"/>
        <rFont val="Calibri"/>
        <family val="2"/>
        <charset val="238"/>
      </rPr>
      <t>(IFRS 16 basis)</t>
    </r>
  </si>
  <si>
    <r>
      <t xml:space="preserve">Q1'22
</t>
    </r>
    <r>
      <rPr>
        <i/>
        <sz val="10"/>
        <color theme="0"/>
        <rFont val="Calibri"/>
        <family val="2"/>
        <charset val="238"/>
      </rPr>
      <t>(IFRS 16 basis)</t>
    </r>
  </si>
  <si>
    <r>
      <t xml:space="preserve">Q2'22
</t>
    </r>
    <r>
      <rPr>
        <i/>
        <sz val="10"/>
        <color theme="0"/>
        <rFont val="Calibri"/>
        <family val="2"/>
        <charset val="238"/>
      </rPr>
      <t>(IFRS 16 basis)</t>
    </r>
  </si>
  <si>
    <r>
      <t xml:space="preserve">Q3'22
</t>
    </r>
    <r>
      <rPr>
        <i/>
        <sz val="10"/>
        <color theme="0"/>
        <rFont val="Calibri"/>
        <family val="2"/>
        <charset val="238"/>
      </rPr>
      <t>(IFRS 16 basis)</t>
    </r>
  </si>
  <si>
    <r>
      <t xml:space="preserve">Q4'22
</t>
    </r>
    <r>
      <rPr>
        <i/>
        <sz val="10"/>
        <color theme="0"/>
        <rFont val="Calibri"/>
        <family val="2"/>
        <charset val="238"/>
      </rPr>
      <t>(IFRS 16 basis)</t>
    </r>
  </si>
  <si>
    <r>
      <t xml:space="preserve">2022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</si>
  <si>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</si>
  <si>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10"/>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</si>
  <si>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</si>
  <si>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10"/>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</si>
  <si>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</si>
  <si>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</si>
  <si>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10"/>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</si>
  <si>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</si>
  <si>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10"/>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</si>
  <si>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</si>
  <si>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10"/>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</si>
  <si>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</si>
  <si>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</si>
  <si>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</si>
  <si>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</si>
  <si>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</si>
  <si>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</si>
  <si>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</si>
  <si>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</si>
  <si>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</si>
  <si>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</si>
  <si>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</si>
  <si>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</si>
  <si>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</si>
  <si>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</si>
  <si>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</si>
  <si>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</si>
  <si>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</si>
  <si>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</si>
  <si>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</si>
  <si>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</si>
  <si>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</si>
  <si>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</si>
  <si>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</si>
  <si>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</si>
  <si>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</si>
  <si>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</si>
  <si>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</si>
  <si>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</si>
  <si>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</si>
  <si>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</si>
  <si>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</si>
  <si>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</si>
  <si>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</si>
  <si>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</si>
  <si>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</si>
  <si>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</si>
  <si>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</si>
  <si>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</si>
  <si>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</si>
  <si>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</si>
  <si>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</si>
  <si>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</si>
  <si>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</si>
  <si>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</si>
  <si>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</si>
  <si>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</si>
  <si>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</si>
  <si>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</si>
  <si>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</si>
  <si>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</si>
  <si>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</si>
  <si>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</si>
  <si>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</si>
  <si>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</si>
  <si>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</si>
  <si>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</si>
  <si>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</si>
  <si>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</si>
  <si>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</si>
  <si>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</si>
  <si>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</si>
  <si>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</si>
  <si>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</si>
  <si>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</si>
  <si>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</si>
  <si>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</si>
  <si>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</si>
  <si>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</si>
  <si>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</si>
  <si>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</si>
  <si>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</si>
  <si>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</si>
  <si>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</si>
  <si>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</si>
  <si>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FY 2021</t>
  </si>
  <si>
    <t>YTD 2022</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</si>
  <si>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</si>
  <si>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</si>
  <si>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 xml:space="preserve">Grupa Polsat </t>
    </r>
    <r>
      <rPr>
        <b/>
        <vertAlign val="superscript"/>
        <sz val="11"/>
        <color theme="1"/>
        <rFont val="Calibri"/>
        <family val="2"/>
        <charset val="238"/>
        <scheme val="minor"/>
      </rPr>
      <t>(1)</t>
    </r>
    <r>
      <rPr>
        <b/>
        <sz val="11"/>
        <color theme="1"/>
        <rFont val="Calibri"/>
        <family val="2"/>
        <charset val="238"/>
        <scheme val="minor"/>
      </rPr>
      <t>, w tym:</t>
    </r>
  </si>
  <si>
    <r>
      <t xml:space="preserve">Polsat Group </t>
    </r>
    <r>
      <rPr>
        <b/>
        <vertAlign val="superscript"/>
        <sz val="11"/>
        <color theme="1"/>
        <rFont val="Calibri"/>
        <family val="2"/>
        <charset val="238"/>
        <scheme val="minor"/>
      </rPr>
      <t>(1)</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</si>
  <si>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</si>
  <si>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</si>
  <si>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</si>
  <si>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</si>
  <si>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r>
      <t>Grupa Warner Bros.Discovery</t>
    </r>
    <r>
      <rPr>
        <vertAlign val="superscript"/>
        <sz val="11"/>
        <color rgb="FF000000"/>
        <rFont val="Calibri"/>
        <family val="2"/>
        <charset val="238"/>
        <scheme val="minor"/>
      </rPr>
      <t>(6)</t>
    </r>
  </si>
  <si>
    <r>
      <t>Warner Bros.Discovery Group</t>
    </r>
    <r>
      <rPr>
        <vertAlign val="superscript"/>
        <sz val="11"/>
        <color rgb="FF000000"/>
        <rFont val="Calibri"/>
        <family val="2"/>
        <charset val="238"/>
        <scheme val="minor"/>
      </rPr>
      <t>(6)</t>
    </r>
  </si>
  <si>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</si>
  <si>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</si>
  <si>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</si>
  <si>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</si>
  <si>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</si>
  <si>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</si>
  <si>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</si>
  <si>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</si>
  <si>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</si>
  <si>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</si>
  <si>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</si>
  <si>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</si>
  <si>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</si>
  <si>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</si>
  <si>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</si>
  <si>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</si>
  <si>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</si>
  <si>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</si>
  <si>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</si>
  <si>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</si>
  <si>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</si>
  <si>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</si>
  <si>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</si>
  <si>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</si>
  <si>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</si>
  <si>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</si>
  <si>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</si>
  <si>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</si>
  <si>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</si>
  <si>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</si>
  <si>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r>
      <t>Grupa Polsat-Interia</t>
    </r>
    <r>
      <rPr>
        <b/>
        <vertAlign val="superscript"/>
        <sz val="11"/>
        <color theme="1"/>
        <rFont val="Calibri"/>
        <family val="2"/>
        <charset val="238"/>
        <scheme val="minor"/>
      </rPr>
      <t>(5)</t>
    </r>
  </si>
  <si>
    <r>
      <t>Polsat-Interia Group</t>
    </r>
    <r>
      <rPr>
        <b/>
        <vertAlign val="superscript"/>
        <sz val="11"/>
        <color theme="1"/>
        <rFont val="Calibri"/>
        <family val="2"/>
        <charset val="238"/>
        <scheme val="minor"/>
      </rPr>
      <t>(5)</t>
    </r>
  </si>
  <si>
    <t xml:space="preserve">Źródło: 1Q18 - 3Q20 - Gemius/PBI, 4Q20 i poźniej - Mediapanel, liczba użytkowników – wskaźnik real users
(1)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od stycznia 2021 r. udział w oglądalności w grupie wszyscy 16-59 lat
(2) Publicis Groupe, reklama spotowa i sponsoring (uwaga: dane mogą podlegać korektom wstecznym)
(3) Przychody z reklamy i sponsoringu Grupy Telewizji Polsat wg definicji Publicis Groupe
(4) Szacunki własne na podstawie danych Publicis Groupe
(5) dane za 2018, 2019 i H1'20 dla Grupy Cyfrowy Polsat
(6) Grupa powstała 8 kwietnia 2022 r. w wyniku fuzji spółek WarnerMedia i Discovery, dane sprzed tego okresu dotyczą kanałów należących do Grupy Discovery </t>
  </si>
  <si>
    <t>Source: 1Q18 - 3Q20 - Gemius/PBI, 4Q20 - Mediapanel, number of users – real users (RU) indicator
Note: (1) Nielsen Audience Measurement, All 16‐49, all day, SHR%, including Live+2, Audience shares include both live broadcasting and broadcasting during 2 consecutive days (i.e. Time Shifted Viewing), starting from September 2021 also including OOH viewership; starting from January 2021 16‐59 age group.
(2) Publicis Groupe, spot advertising and sponsorship (note: data may be subject to retrospective correction)
(3)  Revenue from advertising and sponsorship of TV Polsat Group according to Publicis Groupe definition 
(4) Own estimates based on Publicis Groupe data 
(5) data for 2018, 2019 and H1'20 for Cyfrowy Polsat
(6) The group was established on April 8, 2022 as a result of the merger of WarnerMedia and Discovery, data before that period refer to channels belonging to Discovery Group</t>
  </si>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</sst>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 numFmtId="217" formatCode="_(* #,##0.0_);_(* \(#,##0.0\);_(* &quot;-&quot;_);_(@_)"/>
  </numFmts>
  <fonts count="228">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vertAlign val="superscrip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
      <sz val="10"/>
      <name val="Czcionka tekstu podstawowego"/>
      <family val="2"/>
      <charset val="238"/>
    </font>
    <font>
      <sz val="11"/>
      <color rgb="FF172B4D"/>
      <name val="Segoe UI"/>
      <family val="2"/>
      <charset val="238"/>
    </font>
    <font>
      <i/>
      <sz val="10"/>
      <name val="Calibri"/>
      <family val="2"/>
      <charset val="238"/>
    </font>
  </fonts>
  <fills count="89">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
      <patternFill patternType="gray125">
        <fgColor theme="0" tint="-0.14996795556505021"/>
        <bgColor rgb="FF03ACE5"/>
      </patternFill>
    </fill>
    <fill>
      <patternFill patternType="gray125">
        <fgColor rgb="FF03ACE5"/>
        <bgColor rgb="FF2E83BF"/>
      </patternFill>
    </fill>
  </fills>
  <borders count="135">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style="medium">
        <color indexed="64"/>
      </left>
      <right/>
      <top/>
      <bottom style="thin">
        <color rgb="FF03ACE5"/>
      </bottom>
      <diagonal/>
    </border>
    <border>
      <left style="medium">
        <color indexed="64"/>
      </left>
      <right style="medium">
        <color indexed="64"/>
      </right>
      <top/>
      <bottom style="thin">
        <color rgb="FF03ACE5"/>
      </bottom>
      <diagonal/>
    </border>
    <border>
      <left/>
      <right/>
      <top/>
      <bottom style="thin">
        <color rgb="FF03ACE5"/>
      </bottom>
      <diagonal/>
    </border>
    <border>
      <left/>
      <right style="medium">
        <color indexed="64"/>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style="medium">
        <color rgb="FF03ACE5"/>
      </left>
      <right/>
      <top style="thin">
        <color theme="0"/>
      </top>
      <bottom style="thin">
        <color theme="0"/>
      </bottom>
      <diagonal/>
    </border>
    <border>
      <left/>
      <right style="medium">
        <color rgb="FF03ACE5"/>
      </right>
      <top style="thin">
        <color theme="0"/>
      </top>
      <bottom style="thin">
        <color theme="0"/>
      </bottom>
      <diagonal/>
    </border>
    <border>
      <left style="medium">
        <color rgb="FF03ACE5"/>
      </left>
      <right/>
      <top style="thin">
        <color indexed="64"/>
      </top>
      <bottom/>
      <diagonal/>
    </border>
    <border>
      <left/>
      <right style="medium">
        <color rgb="FF03ACE5"/>
      </right>
      <top style="thin">
        <color indexed="64"/>
      </top>
      <bottom/>
      <diagonal/>
    </border>
    <border>
      <left style="medium">
        <color rgb="FF03ACE5"/>
      </left>
      <right style="medium">
        <color rgb="FF03ACE5"/>
      </right>
      <top/>
      <bottom style="thin">
        <color theme="0"/>
      </bottom>
      <diagonal/>
    </border>
    <border>
      <left style="medium">
        <color rgb="FF03ACE5"/>
      </left>
      <right style="medium">
        <color rgb="FF03ACE5"/>
      </right>
      <top style="thin">
        <color indexed="64"/>
      </top>
      <bottom/>
      <diagonal/>
    </border>
    <border>
      <left/>
      <right style="medium">
        <color rgb="FF0070C0"/>
      </right>
      <top/>
      <bottom style="medium">
        <color rgb="FF0070C0"/>
      </bottom>
      <diagonal/>
    </border>
    <border>
      <left/>
      <right style="medium">
        <color rgb="FF0070C0"/>
      </right>
      <top/>
      <bottom style="medium">
        <color rgb="FF2E83BF"/>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thin">
        <color rgb="FF03ACE5"/>
      </top>
      <bottom style="thin">
        <color rgb="FF03ACE5"/>
      </bottom>
      <diagonal/>
    </border>
    <border>
      <left style="medium">
        <color indexed="64"/>
      </left>
      <right/>
      <top style="thin">
        <color rgb="FF03ACE5"/>
      </top>
      <bottom style="thin">
        <color rgb="FF03ACE5"/>
      </bottom>
      <diagonal/>
    </border>
    <border>
      <left/>
      <right/>
      <top style="thin">
        <color rgb="FF03ACE5"/>
      </top>
      <bottom style="thin">
        <color rgb="FF03ACE5"/>
      </bottom>
      <diagonal/>
    </border>
    <border>
      <left/>
      <right style="medium">
        <color indexed="64"/>
      </right>
      <top style="thin">
        <color rgb="FF03ACE5"/>
      </top>
      <bottom style="thin">
        <color rgb="FF03ACE5"/>
      </bottom>
      <diagonal/>
    </border>
    <border>
      <left/>
      <right style="medium">
        <color rgb="FF03ACE5"/>
      </right>
      <top style="medium">
        <color rgb="FF03ACE5"/>
      </top>
      <bottom/>
      <diagonal/>
    </border>
  </borders>
  <cellStyleXfs count="42856">
    <xf numFmtId="0" fontId="0" fillId="0" borderId="0"/>
    <xf numFmtId="166" fontId="7" fillId="0" borderId="0" applyFont="0" applyFill="0" applyBorder="0" applyAlignment="0" applyProtection="0"/>
    <xf numFmtId="9" fontId="5" fillId="0" borderId="0" applyFont="0" applyFill="0" applyBorder="0" applyAlignment="0" applyProtection="0"/>
    <xf numFmtId="178" fontId="11" fillId="0" borderId="0"/>
    <xf numFmtId="178" fontId="11" fillId="0" borderId="0"/>
    <xf numFmtId="178" fontId="11" fillId="0" borderId="0"/>
    <xf numFmtId="9" fontId="11" fillId="0" borderId="0" applyFont="0" applyFill="0" applyBorder="0" applyAlignment="0" applyProtection="0"/>
    <xf numFmtId="9" fontId="11" fillId="0" borderId="0" applyFont="0" applyFill="0" applyBorder="0" applyAlignment="0" applyProtection="0"/>
    <xf numFmtId="166" fontId="5" fillId="0" borderId="0" applyFont="0" applyFill="0" applyBorder="0" applyAlignment="0" applyProtection="0"/>
    <xf numFmtId="0" fontId="63" fillId="0" borderId="0"/>
    <xf numFmtId="164" fontId="63" fillId="0" borderId="0" applyFont="0" applyFill="0" applyBorder="0" applyAlignment="0" applyProtection="0"/>
    <xf numFmtId="187" fontId="11" fillId="0" borderId="0"/>
    <xf numFmtId="0" fontId="64" fillId="0" borderId="0"/>
    <xf numFmtId="0" fontId="64" fillId="0" borderId="0"/>
    <xf numFmtId="0" fontId="64" fillId="0" borderId="0"/>
    <xf numFmtId="187" fontId="11" fillId="0" borderId="0"/>
    <xf numFmtId="0" fontId="4" fillId="0" borderId="0"/>
    <xf numFmtId="164" fontId="4" fillId="0" borderId="0" applyFont="0" applyFill="0" applyBorder="0" applyAlignment="0" applyProtection="0"/>
    <xf numFmtId="0" fontId="66" fillId="0" borderId="0"/>
    <xf numFmtId="0" fontId="4" fillId="0" borderId="0"/>
    <xf numFmtId="0" fontId="11" fillId="0" borderId="0"/>
    <xf numFmtId="0" fontId="67" fillId="0" borderId="0"/>
    <xf numFmtId="0" fontId="68" fillId="0" borderId="0"/>
    <xf numFmtId="168" fontId="69" fillId="0" borderId="0"/>
    <xf numFmtId="189" fontId="70" fillId="0" borderId="0" applyFont="0" applyFill="0" applyBorder="0" applyAlignment="0" applyProtection="0"/>
    <xf numFmtId="0" fontId="71" fillId="0" borderId="0">
      <alignment vertical="center"/>
    </xf>
    <xf numFmtId="1" fontId="69" fillId="0" borderId="0"/>
    <xf numFmtId="167" fontId="72" fillId="0" borderId="0"/>
    <xf numFmtId="2" fontId="69" fillId="0" borderId="0"/>
    <xf numFmtId="1" fontId="72" fillId="0" borderId="0"/>
    <xf numFmtId="1" fontId="73" fillId="0" borderId="0"/>
    <xf numFmtId="1" fontId="73" fillId="0" borderId="0"/>
    <xf numFmtId="1" fontId="73" fillId="0" borderId="0"/>
    <xf numFmtId="1" fontId="73" fillId="0" borderId="0"/>
    <xf numFmtId="190" fontId="74" fillId="0" borderId="0" applyFont="0" applyFill="0" applyBorder="0" applyAlignment="0" applyProtection="0"/>
    <xf numFmtId="38" fontId="75" fillId="0" borderId="0" applyFont="0" applyFill="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62"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8"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0" fontId="62"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62"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8"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187"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0" fontId="62"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62"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8"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187"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0" fontId="62"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187"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0" fontId="62"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0" fontId="62"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62"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8"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187"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0" fontId="62"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9" fillId="53" borderId="0">
      <alignment horizontal="left" vertical="top"/>
    </xf>
    <xf numFmtId="191" fontId="75" fillId="0" borderId="0" applyFont="0" applyFill="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62"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8"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0" fontId="6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62"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8"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187"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0" fontId="62"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62"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8"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187"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0" fontId="62"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187"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0" fontId="62"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0" fontId="62"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62"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8"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187"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0" fontId="62"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192" fontId="66" fillId="0" borderId="0" applyFill="0" applyBorder="0" applyAlignment="0"/>
    <xf numFmtId="164" fontId="66" fillId="0" borderId="0" applyFont="0" applyFill="0" applyBorder="0" applyAlignment="0" applyProtection="0"/>
    <xf numFmtId="187"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5" fillId="7" borderId="23"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187"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187"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0" fontId="55" fillId="7" borderId="23" applyNumberFormat="0" applyAlignment="0" applyProtection="0"/>
    <xf numFmtId="0" fontId="81" fillId="7" borderId="23" applyNumberFormat="0" applyAlignment="0" applyProtection="0"/>
    <xf numFmtId="0" fontId="81" fillId="7" borderId="23" applyNumberFormat="0" applyAlignment="0" applyProtection="0"/>
    <xf numFmtId="0" fontId="81" fillId="7" borderId="23" applyNumberFormat="0" applyAlignment="0" applyProtection="0"/>
    <xf numFmtId="187" fontId="82" fillId="40"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6" fillId="8" borderId="24"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40"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40"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3" fillId="8" borderId="24" applyNumberFormat="0" applyAlignment="0" applyProtection="0"/>
    <xf numFmtId="0" fontId="84" fillId="0" borderId="2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187" fontId="82" fillId="40"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0" applyNumberFormat="0" applyAlignment="0" applyProtection="0"/>
    <xf numFmtId="0" fontId="82" fillId="40" borderId="30" applyNumberFormat="0" applyAlignment="0" applyProtection="0"/>
    <xf numFmtId="0" fontId="83" fillId="8" borderId="24" applyNumberFormat="0" applyAlignment="0" applyProtection="0"/>
    <xf numFmtId="0" fontId="5" fillId="0" borderId="0" applyNumberFormat="0" applyFont="0" applyFill="0" applyBorder="0" applyAlignment="0" applyProtection="0"/>
    <xf numFmtId="187" fontId="82" fillId="40"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0" applyNumberFormat="0" applyAlignment="0" applyProtection="0"/>
    <xf numFmtId="0" fontId="82" fillId="40" borderId="30" applyNumberFormat="0" applyAlignment="0" applyProtection="0"/>
    <xf numFmtId="0" fontId="83" fillId="8" borderId="24" applyNumberFormat="0" applyAlignment="0" applyProtection="0"/>
    <xf numFmtId="0" fontId="5" fillId="0" borderId="0" applyNumberFormat="0" applyFont="0" applyFill="0" applyBorder="0" applyAlignment="0" applyProtection="0"/>
    <xf numFmtId="0" fontId="56" fillId="8" borderId="24" applyNumberFormat="0" applyAlignment="0" applyProtection="0"/>
    <xf numFmtId="0" fontId="83" fillId="8" borderId="24" applyNumberFormat="0" applyAlignment="0" applyProtection="0"/>
    <xf numFmtId="0" fontId="84" fillId="0" borderId="24" applyNumberFormat="0" applyFill="0" applyAlignment="0" applyProtection="0"/>
    <xf numFmtId="0" fontId="84" fillId="0" borderId="24" applyNumberFormat="0" applyFill="0" applyAlignment="0" applyProtection="0"/>
    <xf numFmtId="0" fontId="83" fillId="8" borderId="24" applyNumberFormat="0" applyAlignment="0" applyProtection="0"/>
    <xf numFmtId="0" fontId="84" fillId="0" borderId="24" applyNumberFormat="0" applyFill="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2" fillId="4"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187"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0" fontId="52" fillId="4" borderId="0" applyNumberFormat="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193" fontId="87" fillId="0" borderId="0">
      <alignment horizontal="center"/>
    </xf>
    <xf numFmtId="194" fontId="70" fillId="0" borderId="0" applyFont="0" applyFill="0" applyBorder="0" applyAlignment="0" applyProtection="0"/>
    <xf numFmtId="195" fontId="7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8"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88"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70" fillId="0" borderId="0" applyFont="0" applyFill="0" applyBorder="0" applyAlignment="0" applyProtection="0"/>
    <xf numFmtId="164" fontId="70" fillId="0" borderId="0" applyFont="0" applyFill="0" applyBorder="0" applyAlignment="0" applyProtection="0"/>
    <xf numFmtId="166" fontId="70" fillId="0" borderId="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166" fontId="70"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90" fillId="0" borderId="0" applyFont="0" applyFill="0" applyBorder="0" applyAlignment="0" applyProtection="0"/>
    <xf numFmtId="0" fontId="91" fillId="0" borderId="0" applyNumberFormat="0" applyFill="0" applyBorder="0" applyAlignment="0" applyProtection="0"/>
    <xf numFmtId="187" fontId="70" fillId="0" borderId="0" applyFont="0" applyFill="0" applyBorder="0" applyAlignment="0" applyProtection="0"/>
    <xf numFmtId="178" fontId="66" fillId="0" borderId="0" applyFont="0" applyFill="0" applyBorder="0" applyAlignment="0" applyProtection="0"/>
    <xf numFmtId="178" fontId="70" fillId="0" borderId="0" applyFont="0" applyFill="0" applyBorder="0" applyAlignment="0" applyProtection="0"/>
    <xf numFmtId="0" fontId="70" fillId="0" borderId="0" applyFont="0" applyFill="0" applyBorder="0" applyAlignment="0" applyProtection="0"/>
    <xf numFmtId="178" fontId="70"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0" borderId="0" applyNumberFormat="0" applyFill="0" applyBorder="0" applyProtection="0">
      <alignment vertical="top"/>
    </xf>
    <xf numFmtId="3" fontId="93" fillId="59" borderId="0" applyNumberFormat="0" applyFont="0" applyBorder="0" applyAlignment="0">
      <protection hidden="1"/>
    </xf>
    <xf numFmtId="0" fontId="89" fillId="0" borderId="1">
      <alignment horizontal="center"/>
    </xf>
    <xf numFmtId="38" fontId="94" fillId="60" borderId="0" applyNumberFormat="0" applyBorder="0" applyAlignment="0" applyProtection="0"/>
    <xf numFmtId="3" fontId="95" fillId="0" borderId="0"/>
    <xf numFmtId="0" fontId="96" fillId="0" borderId="7" applyNumberFormat="0" applyAlignment="0" applyProtection="0">
      <alignment horizontal="left" vertical="center"/>
    </xf>
    <xf numFmtId="0" fontId="96" fillId="0" borderId="31">
      <alignment horizontal="left" vertical="center"/>
    </xf>
    <xf numFmtId="0" fontId="97" fillId="0" borderId="0"/>
    <xf numFmtId="0" fontId="98" fillId="0" borderId="0"/>
    <xf numFmtId="0" fontId="99" fillId="0" borderId="0"/>
    <xf numFmtId="0" fontId="100" fillId="0" borderId="0"/>
    <xf numFmtId="0" fontId="101" fillId="0" borderId="0"/>
    <xf numFmtId="187" fontId="102" fillId="0" borderId="0" applyNumberFormat="0" applyFill="0" applyBorder="0" applyAlignment="0" applyProtection="0">
      <alignment vertical="top"/>
      <protection locked="0"/>
    </xf>
    <xf numFmtId="196" fontId="103" fillId="0" borderId="0"/>
    <xf numFmtId="0" fontId="104" fillId="0" borderId="0" applyNumberFormat="0" applyFill="0" applyBorder="0" applyAlignment="0" applyProtection="0"/>
    <xf numFmtId="10" fontId="94" fillId="61" borderId="32" applyNumberFormat="0" applyBorder="0" applyAlignment="0" applyProtection="0"/>
    <xf numFmtId="42" fontId="105" fillId="0" borderId="0">
      <alignment horizontal="center"/>
    </xf>
    <xf numFmtId="197" fontId="106" fillId="0" borderId="0" applyFont="0" applyFill="0" applyBorder="0" applyAlignment="0" applyProtection="0"/>
    <xf numFmtId="198" fontId="72" fillId="0" borderId="0"/>
    <xf numFmtId="199" fontId="107" fillId="0" borderId="0"/>
    <xf numFmtId="200" fontId="103" fillId="0" borderId="0"/>
    <xf numFmtId="201" fontId="103" fillId="0" borderId="0"/>
    <xf numFmtId="187"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8"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9"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187"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25" applyNumberFormat="0" applyFill="0" applyAlignment="0" applyProtection="0"/>
    <xf numFmtId="0" fontId="5" fillId="0" borderId="0" applyNumberFormat="0" applyFont="0" applyFill="0" applyBorder="0" applyAlignment="0" applyProtection="0"/>
    <xf numFmtId="187"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25" applyNumberFormat="0" applyFill="0" applyAlignment="0" applyProtection="0"/>
    <xf numFmtId="0" fontId="5" fillId="0" borderId="0" applyNumberFormat="0" applyFont="0" applyFill="0" applyBorder="0" applyAlignment="0" applyProtection="0"/>
    <xf numFmtId="0" fontId="58"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9" fillId="9" borderId="26"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2" fillId="9" borderId="26" applyNumberFormat="0" applyAlignment="0" applyProtection="0"/>
    <xf numFmtId="0" fontId="78" fillId="0" borderId="26" applyNumberFormat="0" applyFill="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187" fontId="110" fillId="62" borderId="34" applyNumberFormat="0" applyAlignment="0" applyProtection="0"/>
    <xf numFmtId="187" fontId="110"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112" fillId="9" borderId="26" applyNumberFormat="0" applyAlignment="0" applyProtection="0"/>
    <xf numFmtId="0" fontId="5" fillId="0" borderId="0" applyNumberFormat="0" applyFont="0" applyFill="0" applyBorder="0" applyAlignment="0" applyProtection="0"/>
    <xf numFmtId="187" fontId="110" fillId="62" borderId="34" applyNumberFormat="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112" fillId="9" borderId="26" applyNumberFormat="0" applyAlignment="0" applyProtection="0"/>
    <xf numFmtId="0" fontId="5" fillId="0" borderId="0" applyNumberFormat="0" applyFont="0" applyFill="0" applyBorder="0" applyAlignment="0" applyProtection="0"/>
    <xf numFmtId="0" fontId="59" fillId="9" borderId="26" applyNumberFormat="0" applyAlignment="0" applyProtection="0"/>
    <xf numFmtId="0" fontId="112" fillId="9" borderId="26" applyNumberFormat="0" applyAlignment="0" applyProtection="0"/>
    <xf numFmtId="0" fontId="78" fillId="0" borderId="26" applyNumberFormat="0" applyFill="0" applyAlignment="0" applyProtection="0"/>
    <xf numFmtId="0" fontId="78" fillId="0" borderId="26" applyNumberFormat="0" applyFill="0" applyAlignment="0" applyProtection="0"/>
    <xf numFmtId="0" fontId="112" fillId="9" borderId="26" applyNumberFormat="0" applyAlignment="0" applyProtection="0"/>
    <xf numFmtId="0" fontId="78" fillId="0" borderId="26" applyNumberFormat="0" applyFill="0" applyAlignment="0" applyProtection="0"/>
    <xf numFmtId="1" fontId="113" fillId="63" borderId="0"/>
    <xf numFmtId="202" fontId="66" fillId="0" borderId="0" applyFont="0" applyFill="0" applyBorder="0" applyAlignment="0" applyProtection="0"/>
    <xf numFmtId="193" fontId="114" fillId="0" borderId="0"/>
    <xf numFmtId="38" fontId="75" fillId="0" borderId="0" applyFont="0" applyFill="0" applyBorder="0" applyAlignment="0" applyProtection="0"/>
    <xf numFmtId="203" fontId="115" fillId="0" borderId="0" applyFont="0" applyFill="0" applyBorder="0" applyAlignment="0" applyProtection="0"/>
    <xf numFmtId="204" fontId="115" fillId="0" borderId="0" applyFont="0" applyFill="0" applyBorder="0" applyAlignment="0" applyProtection="0"/>
    <xf numFmtId="205" fontId="115" fillId="0" borderId="0" applyFont="0" applyFill="0" applyBorder="0" applyAlignment="0" applyProtection="0"/>
    <xf numFmtId="206" fontId="115" fillId="0" borderId="0" applyFont="0" applyFill="0" applyBorder="0" applyAlignment="0" applyProtection="0"/>
    <xf numFmtId="187" fontId="116"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49" fillId="0" borderId="2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6" fillId="0" borderId="35" applyNumberFormat="0" applyFill="0" applyAlignment="0" applyProtection="0"/>
    <xf numFmtId="0" fontId="116"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20" applyNumberFormat="0" applyFill="0" applyAlignment="0" applyProtection="0"/>
    <xf numFmtId="0" fontId="119" fillId="0" borderId="2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187" fontId="116" fillId="0" borderId="35" applyNumberFormat="0" applyFill="0" applyAlignment="0" applyProtection="0"/>
    <xf numFmtId="0" fontId="117" fillId="0" borderId="36"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8" fillId="0" borderId="20" applyNumberFormat="0" applyFill="0" applyAlignment="0" applyProtection="0"/>
    <xf numFmtId="0" fontId="5" fillId="0" borderId="0" applyNumberFormat="0" applyFont="0" applyFill="0" applyBorder="0" applyAlignment="0" applyProtection="0"/>
    <xf numFmtId="187" fontId="116" fillId="0" borderId="35"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8" fillId="0" borderId="20" applyNumberFormat="0" applyFill="0" applyAlignment="0" applyProtection="0"/>
    <xf numFmtId="0" fontId="5" fillId="0" borderId="0" applyNumberFormat="0" applyFont="0" applyFill="0" applyBorder="0" applyAlignment="0" applyProtection="0"/>
    <xf numFmtId="0" fontId="49" fillId="0" borderId="20" applyNumberFormat="0" applyFill="0" applyAlignment="0" applyProtection="0"/>
    <xf numFmtId="0" fontId="118" fillId="0" borderId="20" applyNumberFormat="0" applyFill="0" applyAlignment="0" applyProtection="0"/>
    <xf numFmtId="0" fontId="119" fillId="0" borderId="20" applyNumberFormat="0" applyFill="0" applyAlignment="0" applyProtection="0"/>
    <xf numFmtId="0" fontId="119" fillId="0" borderId="20" applyNumberFormat="0" applyFill="0" applyAlignment="0" applyProtection="0"/>
    <xf numFmtId="0" fontId="118" fillId="0" borderId="20" applyNumberFormat="0" applyFill="0" applyAlignment="0" applyProtection="0"/>
    <xf numFmtId="0" fontId="119" fillId="0" borderId="20" applyNumberFormat="0" applyFill="0" applyAlignment="0" applyProtection="0"/>
    <xf numFmtId="187" fontId="120"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0"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0" borderId="37" applyNumberFormat="0" applyFill="0" applyAlignment="0" applyProtection="0"/>
    <xf numFmtId="0" fontId="120"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2" fillId="0" borderId="21" applyNumberFormat="0" applyFill="0" applyAlignment="0" applyProtection="0"/>
    <xf numFmtId="0" fontId="119"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187" fontId="120" fillId="0" borderId="37" applyNumberFormat="0" applyFill="0" applyAlignment="0" applyProtection="0"/>
    <xf numFmtId="0" fontId="121" fillId="0" borderId="38"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22" fillId="0" borderId="21" applyNumberFormat="0" applyFill="0" applyAlignment="0" applyProtection="0"/>
    <xf numFmtId="0" fontId="5" fillId="0" borderId="0" applyNumberFormat="0" applyFont="0" applyFill="0" applyBorder="0" applyAlignment="0" applyProtection="0"/>
    <xf numFmtId="187" fontId="120" fillId="0" borderId="37"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22" fillId="0" borderId="21" applyNumberFormat="0" applyFill="0" applyAlignment="0" applyProtection="0"/>
    <xf numFmtId="0" fontId="5" fillId="0" borderId="0" applyNumberFormat="0" applyFont="0" applyFill="0" applyBorder="0" applyAlignment="0" applyProtection="0"/>
    <xf numFmtId="0" fontId="50" fillId="0" borderId="21" applyNumberFormat="0" applyFill="0" applyAlignment="0" applyProtection="0"/>
    <xf numFmtId="0" fontId="122" fillId="0" borderId="21" applyNumberFormat="0" applyFill="0" applyAlignment="0" applyProtection="0"/>
    <xf numFmtId="0" fontId="119" fillId="0" borderId="21" applyNumberFormat="0" applyFill="0" applyAlignment="0" applyProtection="0"/>
    <xf numFmtId="0" fontId="119" fillId="0" borderId="21" applyNumberFormat="0" applyFill="0" applyAlignment="0" applyProtection="0"/>
    <xf numFmtId="0" fontId="122" fillId="0" borderId="21" applyNumberFormat="0" applyFill="0" applyAlignment="0" applyProtection="0"/>
    <xf numFmtId="0" fontId="119" fillId="0" borderId="21" applyNumberFormat="0" applyFill="0" applyAlignment="0" applyProtection="0"/>
    <xf numFmtId="187" fontId="123"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1"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39" applyNumberFormat="0" applyFill="0" applyAlignment="0" applyProtection="0"/>
    <xf numFmtId="0" fontId="123"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22" applyNumberFormat="0" applyFill="0" applyAlignment="0" applyProtection="0"/>
    <xf numFmtId="0" fontId="119"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187" fontId="123" fillId="0" borderId="39" applyNumberFormat="0" applyFill="0" applyAlignment="0" applyProtection="0"/>
    <xf numFmtId="0" fontId="124" fillId="0" borderId="40"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5" fillId="0" borderId="22" applyNumberFormat="0" applyFill="0" applyAlignment="0" applyProtection="0"/>
    <xf numFmtId="0" fontId="5" fillId="0" borderId="0" applyNumberFormat="0" applyFont="0" applyFill="0" applyBorder="0" applyAlignment="0" applyProtection="0"/>
    <xf numFmtId="187" fontId="123" fillId="0" borderId="39"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5" fillId="0" borderId="22" applyNumberFormat="0" applyFill="0" applyAlignment="0" applyProtection="0"/>
    <xf numFmtId="0" fontId="5" fillId="0" borderId="0" applyNumberFormat="0" applyFont="0" applyFill="0" applyBorder="0" applyAlignment="0" applyProtection="0"/>
    <xf numFmtId="0" fontId="51" fillId="0" borderId="22" applyNumberFormat="0" applyFill="0" applyAlignment="0" applyProtection="0"/>
    <xf numFmtId="0" fontId="125"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25" fillId="0" borderId="22" applyNumberFormat="0" applyFill="0" applyAlignment="0" applyProtection="0"/>
    <xf numFmtId="0" fontId="119" fillId="0" borderId="22" applyNumberFormat="0" applyFill="0" applyAlignment="0" applyProtection="0"/>
    <xf numFmtId="187"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7"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187"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0" fontId="51"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4" fillId="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187"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0" fontId="54" fillId="6" borderId="0" applyNumberFormat="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66" fillId="0" borderId="0"/>
    <xf numFmtId="0" fontId="70" fillId="0" borderId="0"/>
    <xf numFmtId="0" fontId="11" fillId="0" borderId="0"/>
    <xf numFmtId="0" fontId="1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66" fillId="0" borderId="0"/>
    <xf numFmtId="0" fontId="128" fillId="0" borderId="0"/>
    <xf numFmtId="0" fontId="129" fillId="0" borderId="0" applyNumberFormat="0" applyFont="0" applyFill="0" applyBorder="0" applyAlignment="0" applyProtection="0">
      <protection locked="0"/>
    </xf>
    <xf numFmtId="187" fontId="42"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187" fontId="42"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70" fillId="0" borderId="0"/>
    <xf numFmtId="0" fontId="11"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130"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11" fillId="0" borderId="0"/>
    <xf numFmtId="0" fontId="70"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187" fontId="70" fillId="0" borderId="0"/>
    <xf numFmtId="0" fontId="11"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66" fillId="0" borderId="0"/>
    <xf numFmtId="0" fontId="70"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0" fontId="11" fillId="0" borderId="0"/>
    <xf numFmtId="0" fontId="11" fillId="0" borderId="0"/>
    <xf numFmtId="0" fontId="66" fillId="0" borderId="0"/>
    <xf numFmtId="0" fontId="11" fillId="0" borderId="0" applyNumberFormat="0" applyFill="0" applyBorder="0" applyAlignment="0" applyProtection="0"/>
    <xf numFmtId="187" fontId="42" fillId="0" borderId="0"/>
    <xf numFmtId="0" fontId="11" fillId="0" borderId="0"/>
    <xf numFmtId="0" fontId="66" fillId="0" borderId="0"/>
    <xf numFmtId="0"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187" fontId="70" fillId="0" borderId="0"/>
    <xf numFmtId="187" fontId="76" fillId="0" borderId="0" applyFill="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70" fillId="0" borderId="0"/>
    <xf numFmtId="0" fontId="67" fillId="0" borderId="0"/>
    <xf numFmtId="0" fontId="67" fillId="0" borderId="0"/>
    <xf numFmtId="0" fontId="11" fillId="0" borderId="0" applyNumberFormat="0" applyFont="0" applyFill="0" applyBorder="0" applyAlignment="0" applyProtection="0"/>
    <xf numFmtId="188" fontId="70" fillId="0" borderId="0"/>
    <xf numFmtId="0" fontId="67"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187" fontId="4" fillId="0" borderId="0"/>
    <xf numFmtId="0" fontId="70" fillId="0" borderId="0"/>
    <xf numFmtId="0" fontId="4" fillId="0" borderId="0" applyNumberFormat="0" applyFill="0" applyBorder="0" applyAlignment="0" applyProtection="0"/>
    <xf numFmtId="188" fontId="6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4" fillId="0" borderId="0"/>
    <xf numFmtId="0" fontId="11" fillId="0" borderId="0" applyNumberFormat="0" applyFont="0" applyFill="0" applyBorder="0" applyAlignment="0" applyProtection="0"/>
    <xf numFmtId="187" fontId="4" fillId="0" borderId="0"/>
    <xf numFmtId="187" fontId="11" fillId="0" borderId="0"/>
    <xf numFmtId="187" fontId="11" fillId="0" borderId="0"/>
    <xf numFmtId="0" fontId="4" fillId="0" borderId="0"/>
    <xf numFmtId="0" fontId="4" fillId="0" borderId="0"/>
    <xf numFmtId="0" fontId="66" fillId="0" borderId="0"/>
    <xf numFmtId="0" fontId="4" fillId="0" borderId="0"/>
    <xf numFmtId="0" fontId="4" fillId="0" borderId="0" applyNumberFormat="0" applyFill="0" applyBorder="0" applyAlignment="0" applyProtection="0"/>
    <xf numFmtId="187" fontId="5" fillId="0" borderId="0"/>
    <xf numFmtId="0" fontId="4" fillId="0" borderId="0"/>
    <xf numFmtId="0" fontId="4"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ont="0" applyFill="0" applyBorder="0" applyAlignment="0" applyProtection="0"/>
    <xf numFmtId="0" fontId="70" fillId="0" borderId="0"/>
    <xf numFmtId="0" fontId="70" fillId="0" borderId="0"/>
    <xf numFmtId="0" fontId="70" fillId="0" borderId="0"/>
    <xf numFmtId="187"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31" fillId="0" borderId="0"/>
    <xf numFmtId="187"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66" fillId="0" borderId="0"/>
    <xf numFmtId="0" fontId="11" fillId="0" borderId="0" applyNumberFormat="0" applyFont="0" applyFill="0" applyBorder="0" applyAlignment="0" applyProtection="0"/>
    <xf numFmtId="0" fontId="66" fillId="0" borderId="0"/>
    <xf numFmtId="0" fontId="66"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66" fillId="0" borderId="0"/>
    <xf numFmtId="187" fontId="66" fillId="0" borderId="0"/>
    <xf numFmtId="0" fontId="67" fillId="0" borderId="0"/>
    <xf numFmtId="187" fontId="11"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2" fillId="0" borderId="0"/>
    <xf numFmtId="0" fontId="4" fillId="0" borderId="0"/>
    <xf numFmtId="0" fontId="70"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4" fillId="0" borderId="0"/>
    <xf numFmtId="0" fontId="11" fillId="0" borderId="0"/>
    <xf numFmtId="0" fontId="4" fillId="0" borderId="0"/>
    <xf numFmtId="0" fontId="88" fillId="0" borderId="0"/>
    <xf numFmtId="0" fontId="4" fillId="0" borderId="0"/>
    <xf numFmtId="187"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70"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xf numFmtId="187" fontId="5" fillId="0" borderId="0"/>
    <xf numFmtId="0" fontId="89" fillId="0" borderId="0"/>
    <xf numFmtId="0" fontId="11" fillId="0" borderId="0"/>
    <xf numFmtId="187" fontId="5" fillId="0" borderId="0"/>
    <xf numFmtId="187" fontId="70" fillId="0" borderId="0"/>
    <xf numFmtId="0" fontId="4" fillId="0" borderId="0"/>
    <xf numFmtId="0" fontId="11" fillId="0" borderId="0"/>
    <xf numFmtId="0" fontId="105" fillId="0" borderId="0"/>
    <xf numFmtId="0" fontId="4" fillId="0" borderId="0"/>
    <xf numFmtId="187" fontId="11" fillId="0" borderId="0"/>
    <xf numFmtId="0" fontId="4" fillId="0" borderId="0"/>
    <xf numFmtId="0" fontId="11" fillId="0" borderId="0"/>
    <xf numFmtId="0" fontId="4" fillId="0" borderId="0"/>
    <xf numFmtId="0" fontId="105"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70"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70" fillId="0" borderId="0"/>
    <xf numFmtId="0" fontId="4" fillId="0" borderId="0"/>
    <xf numFmtId="0" fontId="11" fillId="0" borderId="0"/>
    <xf numFmtId="0" fontId="4" fillId="0" borderId="0"/>
    <xf numFmtId="0" fontId="11" fillId="0" borderId="0"/>
    <xf numFmtId="187" fontId="42" fillId="0" borderId="0"/>
    <xf numFmtId="0" fontId="11" fillId="0" borderId="0"/>
    <xf numFmtId="0" fontId="11" fillId="0" borderId="0" applyNumberFormat="0" applyFill="0" applyBorder="0" applyAlignment="0" applyProtection="0"/>
    <xf numFmtId="187" fontId="4" fillId="0" borderId="0"/>
    <xf numFmtId="187" fontId="4" fillId="0" borderId="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70" fillId="0" borderId="0"/>
    <xf numFmtId="0" fontId="4" fillId="0" borderId="0" applyNumberFormat="0" applyFill="0" applyBorder="0" applyAlignment="0" applyProtection="0"/>
    <xf numFmtId="187"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187" fontId="70" fillId="0" borderId="0"/>
    <xf numFmtId="0" fontId="70" fillId="0" borderId="0"/>
    <xf numFmtId="0" fontId="70" fillId="0" borderId="0"/>
    <xf numFmtId="0" fontId="11" fillId="0" borderId="0" applyNumberFormat="0" applyFont="0" applyFill="0" applyBorder="0" applyAlignment="0" applyProtection="0"/>
    <xf numFmtId="187" fontId="42" fillId="0" borderId="0"/>
    <xf numFmtId="0" fontId="11" fillId="0" borderId="0"/>
    <xf numFmtId="0" fontId="11"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187" fontId="70" fillId="0" borderId="0"/>
    <xf numFmtId="0" fontId="70" fillId="0" borderId="0"/>
    <xf numFmtId="0" fontId="4" fillId="0" borderId="0"/>
    <xf numFmtId="0" fontId="11" fillId="0" borderId="0"/>
    <xf numFmtId="0" fontId="4" fillId="0" borderId="0"/>
    <xf numFmtId="187"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7" fontId="11"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187" fontId="132" fillId="0" borderId="0"/>
    <xf numFmtId="0" fontId="70" fillId="0" borderId="0"/>
    <xf numFmtId="0" fontId="11" fillId="0" borderId="0"/>
    <xf numFmtId="0" fontId="11" fillId="0" borderId="0" applyNumberFormat="0" applyFont="0" applyFill="0" applyBorder="0" applyAlignment="0" applyProtection="0"/>
    <xf numFmtId="0" fontId="42" fillId="0" borderId="0"/>
    <xf numFmtId="0" fontId="132" fillId="0" borderId="0" applyNumberFormat="0" applyFill="0" applyBorder="0" applyAlignment="0" applyProtection="0"/>
    <xf numFmtId="0" fontId="13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1" fillId="0" borderId="0" applyNumberFormat="0" applyFont="0" applyFill="0" applyBorder="0" applyAlignment="0" applyProtection="0"/>
    <xf numFmtId="0" fontId="11" fillId="0" borderId="0"/>
    <xf numFmtId="0" fontId="4" fillId="0" borderId="0"/>
    <xf numFmtId="0" fontId="4" fillId="0" borderId="0" applyNumberFormat="0" applyFill="0" applyBorder="0" applyAlignment="0" applyProtection="0"/>
    <xf numFmtId="0" fontId="70" fillId="0" borderId="0"/>
    <xf numFmtId="0" fontId="4"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66" fillId="0" borderId="0"/>
    <xf numFmtId="0" fontId="132" fillId="0" borderId="0"/>
    <xf numFmtId="187" fontId="5" fillId="0" borderId="0"/>
    <xf numFmtId="0" fontId="11" fillId="0" borderId="0"/>
    <xf numFmtId="0" fontId="70" fillId="0" borderId="0"/>
    <xf numFmtId="0" fontId="11" fillId="0" borderId="0" applyNumberFormat="0" applyFont="0" applyFill="0" applyBorder="0" applyAlignment="0" applyProtection="0"/>
    <xf numFmtId="187" fontId="5" fillId="0" borderId="0"/>
    <xf numFmtId="0" fontId="132"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70"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4" fillId="0" borderId="0"/>
    <xf numFmtId="187" fontId="42" fillId="0" borderId="0"/>
    <xf numFmtId="187" fontId="42" fillId="0" borderId="0"/>
    <xf numFmtId="0" fontId="70"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70" fillId="0" borderId="0"/>
    <xf numFmtId="0" fontId="11" fillId="0" borderId="0"/>
    <xf numFmtId="0" fontId="11" fillId="0" borderId="0" applyNumberFormat="0" applyFill="0" applyBorder="0" applyAlignment="0" applyProtection="0"/>
    <xf numFmtId="188"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42" fillId="0" borderId="0"/>
    <xf numFmtId="187" fontId="42" fillId="0" borderId="0"/>
    <xf numFmtId="0" fontId="11" fillId="0" borderId="0"/>
    <xf numFmtId="0" fontId="11" fillId="0" borderId="0" applyNumberFormat="0" applyFont="0" applyFill="0" applyBorder="0" applyAlignment="0" applyProtection="0"/>
    <xf numFmtId="0"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4" fillId="0" borderId="0" applyNumberFormat="0" applyFill="0" applyBorder="0" applyAlignment="0" applyProtection="0"/>
    <xf numFmtId="0" fontId="11"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70"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70" fillId="0" borderId="0"/>
    <xf numFmtId="0" fontId="4"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11" fillId="0" borderId="0"/>
    <xf numFmtId="0" fontId="11" fillId="0" borderId="0" applyNumberFormat="0" applyFill="0" applyBorder="0" applyAlignment="0" applyProtection="0"/>
    <xf numFmtId="187" fontId="4" fillId="0" borderId="0"/>
    <xf numFmtId="0" fontId="11" fillId="0" borderId="0"/>
    <xf numFmtId="0" fontId="4" fillId="0" borderId="0"/>
    <xf numFmtId="0" fontId="4" fillId="0" borderId="0"/>
    <xf numFmtId="0" fontId="11" fillId="0" borderId="0"/>
    <xf numFmtId="0" fontId="4" fillId="0" borderId="0" applyNumberFormat="0" applyFill="0" applyBorder="0" applyAlignment="0" applyProtection="0"/>
    <xf numFmtId="187" fontId="4" fillId="0" borderId="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11" fillId="0" borderId="0"/>
    <xf numFmtId="187" fontId="5" fillId="0" borderId="0"/>
    <xf numFmtId="0" fontId="11"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70" fillId="0" borderId="0"/>
    <xf numFmtId="0" fontId="11"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66" fillId="0" borderId="0"/>
    <xf numFmtId="187" fontId="5" fillId="0" borderId="0"/>
    <xf numFmtId="0" fontId="66"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11" fillId="0" borderId="0"/>
    <xf numFmtId="187" fontId="11" fillId="0" borderId="0"/>
    <xf numFmtId="0" fontId="66" fillId="0" borderId="0"/>
    <xf numFmtId="187" fontId="42" fillId="0" borderId="0"/>
    <xf numFmtId="0" fontId="66" fillId="0" borderId="0"/>
    <xf numFmtId="187" fontId="42" fillId="0" borderId="0"/>
    <xf numFmtId="0" fontId="70"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3" fillId="0" borderId="0" applyNumberFormat="0" applyFill="0" applyBorder="0" applyProtection="0">
      <alignment vertical="top" wrapText="1"/>
    </xf>
    <xf numFmtId="0" fontId="133" fillId="0" borderId="0" applyNumberFormat="0" applyFill="0" applyBorder="0" applyProtection="0">
      <alignment vertical="top" wrapText="1"/>
    </xf>
    <xf numFmtId="207" fontId="134" fillId="0" borderId="0" applyFill="0" applyBorder="0" applyProtection="0">
      <alignment horizontal="right" vertical="top"/>
    </xf>
    <xf numFmtId="187" fontId="135" fillId="40"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57" fillId="8" borderId="23"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40"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40"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6" fillId="8" borderId="23" applyNumberFormat="0" applyAlignment="0" applyProtection="0"/>
    <xf numFmtId="0" fontId="109" fillId="0" borderId="23"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187" fontId="135" fillId="40"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29" applyNumberFormat="0" applyAlignment="0" applyProtection="0"/>
    <xf numFmtId="0" fontId="135" fillId="40" borderId="29" applyNumberFormat="0" applyAlignment="0" applyProtection="0"/>
    <xf numFmtId="0" fontId="136" fillId="8" borderId="23" applyNumberFormat="0" applyAlignment="0" applyProtection="0"/>
    <xf numFmtId="0" fontId="11" fillId="0" borderId="0" applyNumberFormat="0" applyFont="0" applyFill="0" applyBorder="0" applyAlignment="0" applyProtection="0"/>
    <xf numFmtId="187" fontId="135" fillId="40"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29" applyNumberFormat="0" applyAlignment="0" applyProtection="0"/>
    <xf numFmtId="0" fontId="135" fillId="40" borderId="29" applyNumberFormat="0" applyAlignment="0" applyProtection="0"/>
    <xf numFmtId="0" fontId="136" fillId="8" borderId="23" applyNumberFormat="0" applyAlignment="0" applyProtection="0"/>
    <xf numFmtId="0" fontId="11" fillId="0" borderId="0" applyNumberFormat="0" applyFont="0" applyFill="0" applyBorder="0" applyAlignment="0" applyProtection="0"/>
    <xf numFmtId="0" fontId="57" fillId="8" borderId="23" applyNumberFormat="0" applyAlignment="0" applyProtection="0"/>
    <xf numFmtId="0" fontId="136" fillId="8" borderId="23" applyNumberFormat="0" applyAlignment="0" applyProtection="0"/>
    <xf numFmtId="0" fontId="109" fillId="0" borderId="23" applyNumberFormat="0" applyFill="0" applyAlignment="0" applyProtection="0"/>
    <xf numFmtId="0" fontId="109" fillId="0" borderId="23" applyNumberFormat="0" applyFill="0" applyAlignment="0" applyProtection="0"/>
    <xf numFmtId="0" fontId="136" fillId="8" borderId="23" applyNumberFormat="0" applyAlignment="0" applyProtection="0"/>
    <xf numFmtId="0" fontId="109" fillId="0" borderId="23" applyNumberFormat="0" applyFill="0" applyAlignment="0" applyProtection="0"/>
    <xf numFmtId="208" fontId="137" fillId="0" borderId="0">
      <alignment horizontal="left"/>
    </xf>
    <xf numFmtId="40" fontId="138" fillId="53" borderId="0">
      <alignment horizontal="right"/>
    </xf>
    <xf numFmtId="0" fontId="139" fillId="53" borderId="0">
      <alignment horizontal="right"/>
    </xf>
    <xf numFmtId="0" fontId="140" fillId="53" borderId="41"/>
    <xf numFmtId="0" fontId="140" fillId="0" borderId="0" applyBorder="0">
      <alignment horizontal="centerContinuous"/>
    </xf>
    <xf numFmtId="0" fontId="141" fillId="0" borderId="0" applyBorder="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10" fontId="70" fillId="0" borderId="0" applyFont="0" applyFill="0" applyBorder="0" applyAlignment="0" applyProtection="0"/>
    <xf numFmtId="9" fontId="66" fillId="0" borderId="0" applyFon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2" fontId="143" fillId="53" borderId="0">
      <protection locked="0"/>
    </xf>
    <xf numFmtId="209" fontId="133" fillId="0" borderId="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144"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45" fillId="46" borderId="42" applyNumberFormat="0" applyProtection="0">
      <alignment vertical="center"/>
    </xf>
    <xf numFmtId="4" fontId="146" fillId="64" borderId="42" applyNumberFormat="0" applyProtection="0">
      <alignment vertical="center"/>
    </xf>
    <xf numFmtId="4" fontId="145" fillId="64" borderId="42" applyNumberFormat="0" applyProtection="0">
      <alignment horizontal="left" vertical="center" indent="1"/>
    </xf>
    <xf numFmtId="0" fontId="145" fillId="64" borderId="42" applyNumberFormat="0" applyProtection="0">
      <alignment horizontal="left" vertical="top" indent="1"/>
    </xf>
    <xf numFmtId="4" fontId="145" fillId="65" borderId="0" applyNumberFormat="0" applyProtection="0">
      <alignment horizontal="left" vertical="center" indent="1"/>
    </xf>
    <xf numFmtId="4" fontId="147" fillId="36" borderId="42" applyNumberFormat="0" applyProtection="0">
      <alignment horizontal="right" vertical="center"/>
    </xf>
    <xf numFmtId="4" fontId="147" fillId="45" borderId="42" applyNumberFormat="0" applyProtection="0">
      <alignment horizontal="right" vertical="center"/>
    </xf>
    <xf numFmtId="4" fontId="147" fillId="43" borderId="42" applyNumberFormat="0" applyProtection="0">
      <alignment horizontal="right" vertical="center"/>
    </xf>
    <xf numFmtId="4" fontId="147" fillId="48" borderId="42" applyNumberFormat="0" applyProtection="0">
      <alignment horizontal="right" vertical="center"/>
    </xf>
    <xf numFmtId="4" fontId="147" fillId="52" borderId="42" applyNumberFormat="0" applyProtection="0">
      <alignment horizontal="right" vertical="center"/>
    </xf>
    <xf numFmtId="4" fontId="147" fillId="57" borderId="42" applyNumberFormat="0" applyProtection="0">
      <alignment horizontal="right" vertical="center"/>
    </xf>
    <xf numFmtId="4" fontId="147" fillId="55" borderId="42" applyNumberFormat="0" applyProtection="0">
      <alignment horizontal="right" vertical="center"/>
    </xf>
    <xf numFmtId="4" fontId="147" fillId="66" borderId="42" applyNumberFormat="0" applyProtection="0">
      <alignment horizontal="right" vertical="center"/>
    </xf>
    <xf numFmtId="4" fontId="147" fillId="47" borderId="42" applyNumberFormat="0" applyProtection="0">
      <alignment horizontal="right" vertical="center"/>
    </xf>
    <xf numFmtId="4" fontId="145" fillId="67" borderId="43" applyNumberFormat="0" applyProtection="0">
      <alignment horizontal="left" vertical="center" indent="1"/>
    </xf>
    <xf numFmtId="4" fontId="147" fillId="68" borderId="0" applyNumberFormat="0" applyProtection="0">
      <alignment horizontal="left" vertical="center" indent="1"/>
    </xf>
    <xf numFmtId="4" fontId="148" fillId="69" borderId="0" applyNumberFormat="0" applyProtection="0">
      <alignment horizontal="left" vertical="center" indent="1"/>
    </xf>
    <xf numFmtId="4" fontId="147" fillId="70" borderId="42" applyNumberFormat="0" applyProtection="0">
      <alignment horizontal="right" vertical="center"/>
    </xf>
    <xf numFmtId="4" fontId="149" fillId="68" borderId="0" applyNumberFormat="0" applyProtection="0">
      <alignment horizontal="left" vertical="center" indent="1"/>
    </xf>
    <xf numFmtId="4" fontId="149" fillId="65" borderId="0"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top" indent="1"/>
    </xf>
    <xf numFmtId="0" fontId="70" fillId="69" borderId="42" applyNumberFormat="0" applyProtection="0">
      <alignment horizontal="left" vertical="top" indent="1"/>
    </xf>
    <xf numFmtId="0" fontId="70" fillId="69" borderId="42" applyNumberFormat="0" applyProtection="0">
      <alignment horizontal="left" vertical="top" indent="1"/>
    </xf>
    <xf numFmtId="0" fontId="70" fillId="65" borderId="42" applyNumberFormat="0" applyProtection="0">
      <alignment horizontal="left" vertical="center" indent="1"/>
    </xf>
    <xf numFmtId="0" fontId="70" fillId="65" borderId="42" applyNumberFormat="0" applyProtection="0">
      <alignment horizontal="left" vertical="center" indent="1"/>
    </xf>
    <xf numFmtId="0" fontId="70" fillId="65" borderId="42" applyNumberFormat="0" applyProtection="0">
      <alignment horizontal="left" vertical="center" indent="1"/>
    </xf>
    <xf numFmtId="0" fontId="70" fillId="65" borderId="42" applyNumberFormat="0" applyProtection="0">
      <alignment horizontal="left" vertical="top" indent="1"/>
    </xf>
    <xf numFmtId="0" fontId="70" fillId="65" borderId="42" applyNumberFormat="0" applyProtection="0">
      <alignment horizontal="left" vertical="top" indent="1"/>
    </xf>
    <xf numFmtId="0" fontId="70" fillId="65" borderId="42" applyNumberFormat="0" applyProtection="0">
      <alignment horizontal="left" vertical="top" indent="1"/>
    </xf>
    <xf numFmtId="0" fontId="70" fillId="71" borderId="42" applyNumberFormat="0" applyProtection="0">
      <alignment horizontal="left" vertical="center" indent="1"/>
    </xf>
    <xf numFmtId="0" fontId="70" fillId="71" borderId="42" applyNumberFormat="0" applyProtection="0">
      <alignment horizontal="left" vertical="center" indent="1"/>
    </xf>
    <xf numFmtId="0" fontId="70" fillId="71" borderId="42" applyNumberFormat="0" applyProtection="0">
      <alignment horizontal="left" vertical="center" indent="1"/>
    </xf>
    <xf numFmtId="0" fontId="70" fillId="71" borderId="42" applyNumberFormat="0" applyProtection="0">
      <alignment horizontal="left" vertical="top" indent="1"/>
    </xf>
    <xf numFmtId="0" fontId="70" fillId="71" borderId="42" applyNumberFormat="0" applyProtection="0">
      <alignment horizontal="left" vertical="top" indent="1"/>
    </xf>
    <xf numFmtId="0" fontId="70" fillId="71" borderId="42" applyNumberFormat="0" applyProtection="0">
      <alignment horizontal="left" vertical="top" indent="1"/>
    </xf>
    <xf numFmtId="0" fontId="70" fillId="72" borderId="42" applyNumberFormat="0" applyProtection="0">
      <alignment horizontal="left" vertical="center" indent="1"/>
    </xf>
    <xf numFmtId="0" fontId="70" fillId="72" borderId="42" applyNumberFormat="0" applyProtection="0">
      <alignment horizontal="left" vertical="center" indent="1"/>
    </xf>
    <xf numFmtId="0" fontId="70" fillId="72" borderId="42" applyNumberFormat="0" applyProtection="0">
      <alignment horizontal="left" vertical="center" indent="1"/>
    </xf>
    <xf numFmtId="0" fontId="70" fillId="72" borderId="42" applyNumberFormat="0" applyProtection="0">
      <alignment horizontal="left" vertical="top" indent="1"/>
    </xf>
    <xf numFmtId="0" fontId="70" fillId="72" borderId="42" applyNumberFormat="0" applyProtection="0">
      <alignment horizontal="left" vertical="top" indent="1"/>
    </xf>
    <xf numFmtId="0" fontId="70" fillId="72" borderId="42" applyNumberFormat="0" applyProtection="0">
      <alignment horizontal="left" vertical="top" indent="1"/>
    </xf>
    <xf numFmtId="4" fontId="147" fillId="61" borderId="42" applyNumberFormat="0" applyProtection="0">
      <alignment vertical="center"/>
    </xf>
    <xf numFmtId="4" fontId="150" fillId="61" borderId="42" applyNumberFormat="0" applyProtection="0">
      <alignment vertical="center"/>
    </xf>
    <xf numFmtId="4" fontId="147" fillId="61" borderId="42" applyNumberFormat="0" applyProtection="0">
      <alignment horizontal="left" vertical="center" indent="1"/>
    </xf>
    <xf numFmtId="0" fontId="147" fillId="61" borderId="42" applyNumberFormat="0" applyProtection="0">
      <alignment horizontal="left" vertical="top" indent="1"/>
    </xf>
    <xf numFmtId="4" fontId="147" fillId="68" borderId="42" applyNumberFormat="0" applyProtection="0">
      <alignment horizontal="right" vertical="center"/>
    </xf>
    <xf numFmtId="4" fontId="147" fillId="73" borderId="30" applyNumberFormat="0" applyProtection="0">
      <alignment horizontal="right" vertical="center"/>
    </xf>
    <xf numFmtId="4" fontId="150" fillId="68" borderId="42" applyNumberFormat="0" applyProtection="0">
      <alignment horizontal="right" vertical="center"/>
    </xf>
    <xf numFmtId="4" fontId="147" fillId="70" borderId="42" applyNumberFormat="0" applyProtection="0">
      <alignment horizontal="left" vertical="center" indent="1"/>
    </xf>
    <xf numFmtId="0" fontId="147" fillId="65" borderId="42" applyNumberFormat="0" applyProtection="0">
      <alignment horizontal="left" vertical="top" indent="1"/>
    </xf>
    <xf numFmtId="4" fontId="151" fillId="74" borderId="0" applyNumberFormat="0" applyProtection="0">
      <alignment horizontal="left" vertical="center" indent="1"/>
    </xf>
    <xf numFmtId="4" fontId="152" fillId="68" borderId="42" applyNumberFormat="0" applyProtection="0">
      <alignment horizontal="right" vertical="center"/>
    </xf>
    <xf numFmtId="0" fontId="11" fillId="0" borderId="0" applyNumberFormat="0" applyFont="0" applyFill="0" applyBorder="0" applyAlignment="0" applyProtection="0"/>
    <xf numFmtId="0" fontId="153" fillId="0" borderId="0"/>
    <xf numFmtId="0" fontId="149" fillId="0" borderId="0">
      <alignment vertical="top"/>
    </xf>
    <xf numFmtId="0" fontId="154" fillId="0" borderId="44"/>
    <xf numFmtId="187" fontId="111" fillId="0" borderId="45"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2" fillId="0" borderId="28"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1" fillId="0" borderId="45"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1" fillId="0" borderId="45"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187" fontId="111" fillId="0" borderId="45"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55" fillId="0" borderId="28" applyNumberFormat="0" applyFill="0" applyAlignment="0" applyProtection="0"/>
    <xf numFmtId="0" fontId="11" fillId="0" borderId="0" applyNumberFormat="0" applyFont="0" applyFill="0" applyBorder="0" applyAlignment="0" applyProtection="0"/>
    <xf numFmtId="187" fontId="111" fillId="0" borderId="45"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55" fillId="0" borderId="28" applyNumberFormat="0" applyFill="0" applyAlignment="0" applyProtection="0"/>
    <xf numFmtId="0" fontId="11" fillId="0" borderId="0" applyNumberFormat="0" applyFont="0" applyFill="0" applyBorder="0" applyAlignment="0" applyProtection="0"/>
    <xf numFmtId="0" fontId="12" fillId="0" borderId="28"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0" fontId="11" fillId="0" borderId="28"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87"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0" fontId="61"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87" fontId="159"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187" fontId="162"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3" fontId="166" fillId="0" borderId="0"/>
    <xf numFmtId="208" fontId="137" fillId="0" borderId="0">
      <alignment horizontal="left"/>
    </xf>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187" fontId="70" fillId="42" borderId="4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70" fillId="42" borderId="47"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70" fillId="42" borderId="47"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187" fontId="70" fillId="42" borderId="4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70" fillId="42" borderId="47" applyNumberFormat="0" applyFont="0" applyAlignment="0" applyProtection="0"/>
    <xf numFmtId="0" fontId="5" fillId="10" borderId="27" applyNumberFormat="0" applyFont="0" applyAlignment="0" applyProtection="0"/>
    <xf numFmtId="0" fontId="70" fillId="42" borderId="4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187" fontId="70" fillId="42" borderId="4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70" fillId="42" borderId="47" applyNumberFormat="0" applyFont="0" applyAlignment="0" applyProtection="0"/>
    <xf numFmtId="0" fontId="70" fillId="42" borderId="4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193" fontId="114" fillId="0" borderId="0"/>
    <xf numFmtId="210" fontId="75" fillId="0" borderId="0" applyFont="0" applyFill="0" applyBorder="0" applyAlignment="0" applyProtection="0"/>
    <xf numFmtId="189" fontId="74" fillId="0" borderId="0" applyFon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44"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0" fontId="2" fillId="0" borderId="0"/>
    <xf numFmtId="9" fontId="2" fillId="0" borderId="0" applyFont="0" applyFill="0" applyBorder="0" applyAlignment="0" applyProtection="0"/>
    <xf numFmtId="0" fontId="130" fillId="0" borderId="0"/>
    <xf numFmtId="0" fontId="2" fillId="0" borderId="0"/>
    <xf numFmtId="43" fontId="11" fillId="0" borderId="0" applyFont="0" applyFill="0" applyBorder="0" applyAlignment="0" applyProtection="0"/>
  </cellStyleXfs>
  <cellXfs count="867">
    <xf numFmtId="0" fontId="0" fillId="0" borderId="0" xfId="0"/>
    <xf numFmtId="0" fontId="6" fillId="0" borderId="0" xfId="0" applyFont="1" applyAlignment="1">
      <alignment vertical="center"/>
    </xf>
    <xf numFmtId="0" fontId="13" fillId="2" borderId="0" xfId="0" applyFont="1" applyFill="1" applyAlignment="1">
      <alignment vertical="center"/>
    </xf>
    <xf numFmtId="0" fontId="18" fillId="2" borderId="0" xfId="0" applyFont="1" applyFill="1" applyAlignment="1">
      <alignment vertical="center"/>
    </xf>
    <xf numFmtId="0" fontId="9" fillId="0" borderId="0" xfId="0" applyFont="1" applyAlignment="1">
      <alignment vertical="center"/>
    </xf>
    <xf numFmtId="0" fontId="9" fillId="0" borderId="0" xfId="0" applyFont="1"/>
    <xf numFmtId="0" fontId="9" fillId="2" borderId="0" xfId="0" applyFont="1" applyFill="1" applyAlignment="1">
      <alignment vertical="center"/>
    </xf>
    <xf numFmtId="0" fontId="9" fillId="2" borderId="0" xfId="0" applyFont="1" applyFill="1"/>
    <xf numFmtId="0" fontId="20" fillId="2" borderId="0" xfId="0" applyFont="1" applyFill="1"/>
    <xf numFmtId="0" fontId="25" fillId="2" borderId="0" xfId="0" applyFont="1" applyFill="1" applyAlignment="1">
      <alignment vertical="center"/>
    </xf>
    <xf numFmtId="0" fontId="25" fillId="0" borderId="0" xfId="0" applyFont="1" applyAlignment="1">
      <alignment vertical="center"/>
    </xf>
    <xf numFmtId="0" fontId="12" fillId="2" borderId="0" xfId="0" applyFont="1" applyFill="1" applyAlignment="1">
      <alignment vertical="center"/>
    </xf>
    <xf numFmtId="0" fontId="27" fillId="2" borderId="0" xfId="0" applyFont="1" applyFill="1"/>
    <xf numFmtId="0" fontId="25" fillId="2" borderId="0" xfId="0" applyFont="1" applyFill="1"/>
    <xf numFmtId="0" fontId="25" fillId="0" borderId="0" xfId="0" applyFont="1"/>
    <xf numFmtId="0" fontId="30" fillId="2" borderId="0" xfId="0" applyFont="1" applyFill="1"/>
    <xf numFmtId="170" fontId="9" fillId="2" borderId="0" xfId="0" applyNumberFormat="1" applyFont="1" applyFill="1" applyAlignment="1">
      <alignment vertical="center"/>
    </xf>
    <xf numFmtId="173" fontId="9" fillId="2" borderId="0" xfId="0" applyNumberFormat="1" applyFont="1" applyFill="1" applyAlignment="1">
      <alignment vertical="center"/>
    </xf>
    <xf numFmtId="174" fontId="28" fillId="2" borderId="0" xfId="1" applyNumberFormat="1" applyFont="1" applyFill="1" applyBorder="1" applyAlignment="1">
      <alignment horizontal="right" vertical="center"/>
    </xf>
    <xf numFmtId="174" fontId="9" fillId="2" borderId="0" xfId="0" applyNumberFormat="1" applyFont="1" applyFill="1" applyAlignment="1">
      <alignment vertical="center"/>
    </xf>
    <xf numFmtId="173" fontId="28" fillId="2" borderId="0" xfId="1" applyNumberFormat="1" applyFont="1" applyFill="1" applyBorder="1" applyAlignment="1">
      <alignment horizontal="right" vertical="center"/>
    </xf>
    <xf numFmtId="172" fontId="9" fillId="2" borderId="0" xfId="0" applyNumberFormat="1" applyFont="1" applyFill="1" applyAlignment="1">
      <alignment vertical="center"/>
    </xf>
    <xf numFmtId="173" fontId="30" fillId="2" borderId="0" xfId="0" applyNumberFormat="1" applyFont="1" applyFill="1" applyAlignment="1">
      <alignment vertical="center"/>
    </xf>
    <xf numFmtId="174" fontId="30" fillId="2" borderId="0" xfId="0" applyNumberFormat="1" applyFont="1" applyFill="1" applyAlignment="1">
      <alignment vertical="center"/>
    </xf>
    <xf numFmtId="165" fontId="28" fillId="2" borderId="0" xfId="0" applyNumberFormat="1" applyFont="1" applyFill="1" applyAlignment="1">
      <alignment horizontal="right" vertical="center"/>
    </xf>
    <xf numFmtId="170" fontId="30" fillId="2" borderId="0" xfId="0" applyNumberFormat="1" applyFont="1" applyFill="1" applyAlignment="1">
      <alignment vertical="center"/>
    </xf>
    <xf numFmtId="170" fontId="28" fillId="2" borderId="0" xfId="0" applyNumberFormat="1" applyFont="1" applyFill="1" applyAlignment="1">
      <alignment horizontal="right" vertical="center"/>
    </xf>
    <xf numFmtId="0" fontId="9" fillId="2" borderId="3" xfId="0" applyFont="1" applyFill="1" applyBorder="1" applyAlignment="1">
      <alignment horizontal="left" vertical="center"/>
    </xf>
    <xf numFmtId="0" fontId="9" fillId="2" borderId="0" xfId="0" applyFont="1" applyFill="1" applyAlignment="1">
      <alignment horizontal="left" vertical="center"/>
    </xf>
    <xf numFmtId="0" fontId="29" fillId="2" borderId="3" xfId="0" applyFont="1" applyFill="1" applyBorder="1" applyAlignment="1">
      <alignment horizontal="left" vertical="center" indent="2"/>
    </xf>
    <xf numFmtId="173" fontId="9" fillId="2" borderId="0" xfId="0" applyNumberFormat="1" applyFont="1" applyFill="1" applyAlignment="1">
      <alignment horizontal="right" vertical="center"/>
    </xf>
    <xf numFmtId="174" fontId="28" fillId="2" borderId="3" xfId="1" applyNumberFormat="1" applyFont="1" applyFill="1" applyBorder="1" applyAlignment="1">
      <alignment horizontal="right" vertical="center"/>
    </xf>
    <xf numFmtId="174" fontId="30" fillId="2" borderId="3" xfId="0" applyNumberFormat="1" applyFont="1" applyFill="1" applyBorder="1" applyAlignment="1">
      <alignment vertical="center"/>
    </xf>
    <xf numFmtId="0" fontId="6" fillId="2" borderId="0" xfId="0" applyFont="1" applyFill="1" applyAlignment="1">
      <alignment vertical="center"/>
    </xf>
    <xf numFmtId="181" fontId="28" fillId="2" borderId="0" xfId="1" applyNumberFormat="1" applyFont="1" applyFill="1" applyBorder="1" applyAlignment="1">
      <alignment horizontal="right" vertical="center"/>
    </xf>
    <xf numFmtId="0" fontId="40" fillId="2" borderId="0" xfId="0" applyFont="1" applyFill="1"/>
    <xf numFmtId="177" fontId="40" fillId="2" borderId="0" xfId="0" applyNumberFormat="1" applyFont="1" applyFill="1" applyAlignment="1">
      <alignment horizontal="right" vertical="center"/>
    </xf>
    <xf numFmtId="179" fontId="23" fillId="2" borderId="0" xfId="0" applyNumberFormat="1" applyFont="1" applyFill="1" applyAlignment="1">
      <alignment vertical="center"/>
    </xf>
    <xf numFmtId="0" fontId="40" fillId="2" borderId="0" xfId="0" applyFont="1" applyFill="1" applyAlignment="1">
      <alignment vertical="center"/>
    </xf>
    <xf numFmtId="0" fontId="40" fillId="0" borderId="0" xfId="0" applyFont="1" applyAlignment="1">
      <alignment vertical="center"/>
    </xf>
    <xf numFmtId="173" fontId="9" fillId="2" borderId="3" xfId="0" applyNumberFormat="1" applyFont="1" applyFill="1" applyBorder="1" applyAlignment="1">
      <alignment horizontal="right" vertical="center"/>
    </xf>
    <xf numFmtId="167" fontId="9" fillId="2" borderId="0" xfId="0" applyNumberFormat="1" applyFont="1" applyFill="1" applyAlignment="1">
      <alignment horizontal="right" vertical="center"/>
    </xf>
    <xf numFmtId="167" fontId="9" fillId="2" borderId="3" xfId="0" applyNumberFormat="1" applyFont="1" applyFill="1" applyBorder="1" applyAlignment="1">
      <alignment horizontal="right" vertical="center"/>
    </xf>
    <xf numFmtId="184" fontId="9" fillId="2" borderId="0" xfId="0" applyNumberFormat="1" applyFont="1" applyFill="1" applyAlignment="1">
      <alignment horizontal="right" vertical="center"/>
    </xf>
    <xf numFmtId="167" fontId="9" fillId="2" borderId="0" xfId="0" applyNumberFormat="1" applyFont="1" applyFill="1" applyAlignment="1">
      <alignment vertical="center"/>
    </xf>
    <xf numFmtId="182" fontId="9" fillId="2" borderId="0" xfId="0" applyNumberFormat="1" applyFont="1" applyFill="1" applyAlignment="1">
      <alignment horizontal="right" vertical="center"/>
    </xf>
    <xf numFmtId="182" fontId="40" fillId="2" borderId="0" xfId="0" applyNumberFormat="1" applyFont="1" applyFill="1" applyAlignment="1">
      <alignment horizontal="right" vertical="center"/>
    </xf>
    <xf numFmtId="0" fontId="9" fillId="2" borderId="0" xfId="0" applyFont="1" applyFill="1" applyAlignment="1">
      <alignment horizontal="right" vertical="center"/>
    </xf>
    <xf numFmtId="0" fontId="42" fillId="2" borderId="0" xfId="0" applyFont="1" applyFill="1"/>
    <xf numFmtId="0" fontId="9" fillId="0" borderId="3" xfId="0" applyFont="1" applyBorder="1" applyAlignment="1">
      <alignment horizontal="left" vertical="center" wrapText="1"/>
    </xf>
    <xf numFmtId="171" fontId="9" fillId="0" borderId="0" xfId="0" applyNumberFormat="1" applyFont="1" applyAlignment="1">
      <alignment horizontal="right" vertical="center"/>
    </xf>
    <xf numFmtId="171" fontId="9" fillId="0" borderId="3" xfId="0" applyNumberFormat="1" applyFont="1" applyBorder="1" applyAlignment="1">
      <alignment horizontal="right" vertical="center"/>
    </xf>
    <xf numFmtId="176" fontId="45" fillId="0" borderId="0" xfId="0" applyNumberFormat="1" applyFont="1" applyAlignment="1">
      <alignment horizontal="right" vertical="center"/>
    </xf>
    <xf numFmtId="0" fontId="20" fillId="0" borderId="0" xfId="0" applyFont="1"/>
    <xf numFmtId="177" fontId="9" fillId="0" borderId="0" xfId="0" applyNumberFormat="1" applyFont="1" applyAlignment="1">
      <alignment horizontal="right" vertical="center"/>
    </xf>
    <xf numFmtId="177" fontId="9" fillId="0" borderId="3" xfId="0" applyNumberFormat="1" applyFont="1" applyBorder="1" applyAlignment="1">
      <alignment horizontal="right" vertical="center"/>
    </xf>
    <xf numFmtId="177" fontId="9" fillId="2" borderId="0" xfId="0" applyNumberFormat="1" applyFont="1" applyFill="1" applyAlignment="1">
      <alignment horizontal="right" vertical="center"/>
    </xf>
    <xf numFmtId="176" fontId="28" fillId="0" borderId="0" xfId="0" applyNumberFormat="1" applyFont="1" applyAlignment="1">
      <alignment horizontal="right" vertical="center"/>
    </xf>
    <xf numFmtId="0" fontId="44" fillId="0" borderId="3" xfId="0" applyFont="1" applyBorder="1" applyAlignment="1">
      <alignment vertical="center"/>
    </xf>
    <xf numFmtId="179" fontId="20" fillId="0" borderId="0" xfId="0" applyNumberFormat="1" applyFont="1" applyAlignment="1">
      <alignment horizontal="right" vertical="center"/>
    </xf>
    <xf numFmtId="179" fontId="9" fillId="0" borderId="3" xfId="0" applyNumberFormat="1" applyFont="1" applyBorder="1" applyAlignment="1">
      <alignment horizontal="right" vertical="center"/>
    </xf>
    <xf numFmtId="179" fontId="20" fillId="0" borderId="3" xfId="0" applyNumberFormat="1" applyFont="1" applyBorder="1" applyAlignment="1">
      <alignment horizontal="right" vertical="center"/>
    </xf>
    <xf numFmtId="179" fontId="31" fillId="0" borderId="0" xfId="0" applyNumberFormat="1" applyFont="1" applyAlignment="1">
      <alignment horizontal="right" vertical="center"/>
    </xf>
    <xf numFmtId="179" fontId="20" fillId="2" borderId="0" xfId="0" applyNumberFormat="1" applyFont="1" applyFill="1" applyAlignment="1">
      <alignment horizontal="right" vertical="center"/>
    </xf>
    <xf numFmtId="0" fontId="9" fillId="0" borderId="0" xfId="0" applyFont="1" applyAlignment="1">
      <alignment horizontal="right" vertical="center"/>
    </xf>
    <xf numFmtId="0" fontId="12" fillId="0" borderId="0" xfId="0" applyFont="1" applyAlignment="1">
      <alignment vertical="center"/>
    </xf>
    <xf numFmtId="0" fontId="29" fillId="0" borderId="3" xfId="0" applyFont="1" applyBorder="1" applyAlignment="1">
      <alignment horizontal="left" vertical="center" wrapText="1" indent="2"/>
    </xf>
    <xf numFmtId="174" fontId="30" fillId="0" borderId="0" xfId="0" applyNumberFormat="1" applyFont="1" applyAlignment="1">
      <alignment vertical="center"/>
    </xf>
    <xf numFmtId="182" fontId="9" fillId="0" borderId="9" xfId="0" applyNumberFormat="1" applyFont="1" applyBorder="1" applyAlignment="1">
      <alignment vertical="center"/>
    </xf>
    <xf numFmtId="182" fontId="9" fillId="0" borderId="0" xfId="0" applyNumberFormat="1" applyFont="1" applyAlignment="1">
      <alignment vertical="center"/>
    </xf>
    <xf numFmtId="183" fontId="9" fillId="0" borderId="0" xfId="0" applyNumberFormat="1" applyFont="1" applyAlignment="1">
      <alignment vertical="center"/>
    </xf>
    <xf numFmtId="0" fontId="9" fillId="0" borderId="3" xfId="0" applyFont="1" applyBorder="1" applyAlignment="1">
      <alignment vertical="center" wrapText="1"/>
    </xf>
    <xf numFmtId="182" fontId="40" fillId="2" borderId="3" xfId="0" applyNumberFormat="1" applyFont="1" applyFill="1" applyBorder="1" applyAlignment="1">
      <alignment horizontal="right" vertical="center"/>
    </xf>
    <xf numFmtId="177" fontId="40" fillId="2" borderId="3" xfId="0" applyNumberFormat="1" applyFont="1" applyFill="1" applyBorder="1" applyAlignment="1">
      <alignment horizontal="right" vertical="center"/>
    </xf>
    <xf numFmtId="179" fontId="20" fillId="2" borderId="3" xfId="0" applyNumberFormat="1" applyFont="1" applyFill="1" applyBorder="1" applyAlignment="1">
      <alignment horizontal="right" vertical="center"/>
    </xf>
    <xf numFmtId="182" fontId="20" fillId="2" borderId="0" xfId="0" applyNumberFormat="1" applyFont="1" applyFill="1" applyAlignment="1">
      <alignment vertical="center"/>
    </xf>
    <xf numFmtId="182" fontId="40" fillId="0" borderId="0" xfId="0" applyNumberFormat="1" applyFont="1" applyAlignment="1">
      <alignment horizontal="right" vertical="center"/>
    </xf>
    <xf numFmtId="0" fontId="45" fillId="0" borderId="0" xfId="0" applyFont="1" applyAlignment="1">
      <alignment vertical="center" wrapText="1"/>
    </xf>
    <xf numFmtId="169" fontId="9" fillId="2" borderId="0" xfId="7" applyNumberFormat="1" applyFont="1" applyFill="1" applyAlignment="1">
      <alignment vertical="center"/>
    </xf>
    <xf numFmtId="3" fontId="34"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3" fontId="17" fillId="0" borderId="19" xfId="0" applyNumberFormat="1" applyFont="1" applyBorder="1" applyAlignment="1">
      <alignment horizontal="right" vertical="center" wrapText="1"/>
    </xf>
    <xf numFmtId="169" fontId="17" fillId="0" borderId="0" xfId="0" applyNumberFormat="1" applyFont="1" applyAlignment="1">
      <alignment horizontal="right" vertical="center" wrapText="1"/>
    </xf>
    <xf numFmtId="3" fontId="37" fillId="0" borderId="0" xfId="6" applyNumberFormat="1" applyFont="1" applyFill="1" applyBorder="1" applyAlignment="1">
      <alignment horizontal="right" vertical="center" wrapText="1"/>
    </xf>
    <xf numFmtId="3" fontId="17" fillId="0" borderId="0" xfId="6" applyNumberFormat="1" applyFont="1" applyFill="1" applyBorder="1" applyAlignment="1">
      <alignment horizontal="right" vertical="center" wrapText="1"/>
    </xf>
    <xf numFmtId="185" fontId="40" fillId="2" borderId="0" xfId="0" applyNumberFormat="1" applyFont="1" applyFill="1" applyAlignment="1">
      <alignment horizontal="right" vertical="center"/>
    </xf>
    <xf numFmtId="185" fontId="40" fillId="2" borderId="0" xfId="0" applyNumberFormat="1" applyFont="1" applyFill="1" applyAlignment="1">
      <alignment vertical="center"/>
    </xf>
    <xf numFmtId="181" fontId="28" fillId="2" borderId="0" xfId="8" applyNumberFormat="1" applyFont="1" applyFill="1" applyBorder="1" applyAlignment="1">
      <alignment horizontal="right" vertical="center"/>
    </xf>
    <xf numFmtId="181" fontId="9" fillId="2" borderId="0" xfId="0" applyNumberFormat="1" applyFont="1" applyFill="1" applyAlignment="1">
      <alignment vertical="center"/>
    </xf>
    <xf numFmtId="181" fontId="30" fillId="2" borderId="0" xfId="0" applyNumberFormat="1" applyFont="1" applyFill="1" applyAlignment="1">
      <alignment vertical="center"/>
    </xf>
    <xf numFmtId="3" fontId="37" fillId="0" borderId="0" xfId="0" applyNumberFormat="1" applyFont="1" applyAlignment="1">
      <alignment horizontal="right" vertical="center" wrapText="1"/>
    </xf>
    <xf numFmtId="167" fontId="17" fillId="0" borderId="0" xfId="0" applyNumberFormat="1" applyFont="1" applyAlignment="1">
      <alignment horizontal="right" vertical="center" wrapText="1"/>
    </xf>
    <xf numFmtId="182" fontId="9" fillId="2" borderId="0" xfId="0" applyNumberFormat="1" applyFont="1" applyFill="1" applyAlignment="1">
      <alignment vertical="center"/>
    </xf>
    <xf numFmtId="182" fontId="22" fillId="2" borderId="0" xfId="0" applyNumberFormat="1" applyFont="1" applyFill="1" applyAlignment="1">
      <alignment horizontal="right" vertical="center"/>
    </xf>
    <xf numFmtId="182" fontId="22" fillId="0" borderId="0" xfId="0" applyNumberFormat="1" applyFont="1" applyAlignment="1">
      <alignment horizontal="right" vertical="center"/>
    </xf>
    <xf numFmtId="182" fontId="20" fillId="0" borderId="0" xfId="0" applyNumberFormat="1" applyFont="1" applyAlignment="1">
      <alignment vertical="center"/>
    </xf>
    <xf numFmtId="3" fontId="46" fillId="2" borderId="0" xfId="0" applyNumberFormat="1" applyFont="1" applyFill="1" applyAlignment="1">
      <alignment horizontal="right" vertical="center" wrapText="1"/>
    </xf>
    <xf numFmtId="177" fontId="47" fillId="2" borderId="0" xfId="0" applyNumberFormat="1" applyFont="1" applyFill="1" applyAlignment="1">
      <alignment horizontal="right" vertical="center"/>
    </xf>
    <xf numFmtId="186" fontId="23" fillId="2" borderId="0" xfId="0" applyNumberFormat="1" applyFont="1" applyFill="1" applyAlignment="1">
      <alignment horizontal="right" vertical="center"/>
    </xf>
    <xf numFmtId="0" fontId="48" fillId="2" borderId="0" xfId="0" applyFont="1" applyFill="1"/>
    <xf numFmtId="0" fontId="28" fillId="2" borderId="0" xfId="0" applyFont="1" applyFill="1" applyAlignment="1">
      <alignment vertical="center"/>
    </xf>
    <xf numFmtId="0" fontId="28" fillId="2" borderId="0" xfId="0" applyFont="1" applyFill="1"/>
    <xf numFmtId="0" fontId="28" fillId="0" borderId="0" xfId="0" applyFont="1" applyAlignment="1">
      <alignment vertical="center"/>
    </xf>
    <xf numFmtId="171" fontId="9" fillId="2" borderId="3" xfId="0" applyNumberFormat="1" applyFont="1" applyFill="1" applyBorder="1" applyAlignment="1">
      <alignment horizontal="right" vertical="center"/>
    </xf>
    <xf numFmtId="177" fontId="9" fillId="2" borderId="3" xfId="0" applyNumberFormat="1" applyFont="1" applyFill="1" applyBorder="1" applyAlignment="1">
      <alignment horizontal="right" vertical="center"/>
    </xf>
    <xf numFmtId="171" fontId="40" fillId="2" borderId="3" xfId="0" applyNumberFormat="1" applyFont="1" applyFill="1" applyBorder="1" applyAlignment="1">
      <alignment horizontal="right" vertical="center"/>
    </xf>
    <xf numFmtId="0" fontId="28" fillId="0" borderId="3" xfId="0" applyFont="1" applyBorder="1" applyAlignment="1">
      <alignment horizontal="left" vertical="center" wrapText="1"/>
    </xf>
    <xf numFmtId="177" fontId="28" fillId="0" borderId="0" xfId="0" applyNumberFormat="1" applyFont="1" applyAlignment="1">
      <alignment horizontal="right" vertical="center"/>
    </xf>
    <xf numFmtId="177" fontId="28" fillId="0" borderId="3" xfId="0" applyNumberFormat="1" applyFont="1" applyBorder="1" applyAlignment="1">
      <alignment horizontal="right" vertical="center"/>
    </xf>
    <xf numFmtId="177" fontId="28" fillId="2" borderId="0" xfId="0" applyNumberFormat="1" applyFont="1" applyFill="1" applyAlignment="1">
      <alignment horizontal="right" vertical="center"/>
    </xf>
    <xf numFmtId="177" fontId="28" fillId="2" borderId="3" xfId="0" applyNumberFormat="1" applyFont="1" applyFill="1" applyBorder="1" applyAlignment="1">
      <alignment horizontal="right" vertical="center"/>
    </xf>
    <xf numFmtId="0" fontId="28" fillId="0" borderId="0" xfId="0" applyFont="1"/>
    <xf numFmtId="0" fontId="28" fillId="2" borderId="3" xfId="0" applyFont="1" applyFill="1" applyBorder="1" applyAlignment="1">
      <alignment horizontal="left" vertical="center"/>
    </xf>
    <xf numFmtId="0" fontId="27" fillId="2" borderId="0" xfId="0" applyFont="1" applyFill="1" applyAlignment="1">
      <alignment horizontal="left" vertical="top" wrapText="1"/>
    </xf>
    <xf numFmtId="185" fontId="24" fillId="2" borderId="16" xfId="0" applyNumberFormat="1" applyFont="1" applyFill="1" applyBorder="1" applyAlignment="1">
      <alignment vertical="center" wrapText="1"/>
    </xf>
    <xf numFmtId="185" fontId="24" fillId="2" borderId="16" xfId="0" applyNumberFormat="1" applyFont="1" applyFill="1" applyBorder="1" applyAlignment="1">
      <alignment wrapText="1"/>
    </xf>
    <xf numFmtId="185" fontId="24" fillId="2" borderId="16" xfId="0" applyNumberFormat="1" applyFont="1" applyFill="1" applyBorder="1" applyAlignment="1">
      <alignment horizontal="left" vertical="center" wrapText="1"/>
    </xf>
    <xf numFmtId="185" fontId="47" fillId="2" borderId="16" xfId="0" applyNumberFormat="1" applyFont="1" applyFill="1" applyBorder="1" applyAlignment="1">
      <alignment vertical="center" wrapText="1"/>
    </xf>
    <xf numFmtId="185" fontId="24" fillId="0" borderId="16" xfId="0" applyNumberFormat="1" applyFont="1" applyBorder="1" applyAlignment="1">
      <alignment vertical="center" wrapText="1"/>
    </xf>
    <xf numFmtId="185" fontId="21" fillId="2" borderId="16" xfId="0" applyNumberFormat="1" applyFont="1" applyFill="1" applyBorder="1" applyAlignment="1">
      <alignment vertical="center"/>
    </xf>
    <xf numFmtId="0" fontId="9" fillId="2" borderId="0" xfId="0" applyFont="1" applyFill="1" applyAlignment="1">
      <alignment vertical="center" wrapText="1"/>
    </xf>
    <xf numFmtId="185" fontId="9" fillId="0" borderId="0" xfId="0" applyNumberFormat="1" applyFont="1" applyAlignment="1">
      <alignment vertical="center"/>
    </xf>
    <xf numFmtId="185" fontId="9" fillId="0" borderId="0" xfId="0" applyNumberFormat="1" applyFont="1" applyAlignment="1">
      <alignment horizontal="right" vertical="center"/>
    </xf>
    <xf numFmtId="185" fontId="9" fillId="2" borderId="0" xfId="0" applyNumberFormat="1" applyFont="1" applyFill="1" applyAlignment="1">
      <alignment vertical="center"/>
    </xf>
    <xf numFmtId="185" fontId="9" fillId="2" borderId="0" xfId="0" applyNumberFormat="1" applyFont="1" applyFill="1" applyAlignment="1">
      <alignment horizontal="left" vertical="center" wrapText="1"/>
    </xf>
    <xf numFmtId="185" fontId="9" fillId="0" borderId="0" xfId="0" applyNumberFormat="1" applyFont="1" applyAlignment="1">
      <alignment horizontal="left" vertical="center" wrapText="1"/>
    </xf>
    <xf numFmtId="0" fontId="27" fillId="2" borderId="0" xfId="0" applyFont="1" applyFill="1" applyAlignment="1">
      <alignment vertical="top" wrapText="1"/>
    </xf>
    <xf numFmtId="0" fontId="40" fillId="2" borderId="0" xfId="0" applyFont="1" applyFill="1" applyAlignment="1">
      <alignment horizontal="left" vertical="center"/>
    </xf>
    <xf numFmtId="0" fontId="24" fillId="2" borderId="16" xfId="0" applyFont="1" applyFill="1" applyBorder="1" applyAlignment="1">
      <alignment vertical="center"/>
    </xf>
    <xf numFmtId="0" fontId="40" fillId="2" borderId="16" xfId="0" applyFont="1" applyFill="1" applyBorder="1" applyAlignment="1">
      <alignment horizontal="left" vertical="center"/>
    </xf>
    <xf numFmtId="0" fontId="47" fillId="2" borderId="16" xfId="0" applyFont="1" applyFill="1" applyBorder="1" applyAlignment="1">
      <alignment vertical="center"/>
    </xf>
    <xf numFmtId="0" fontId="24" fillId="0" borderId="16" xfId="0" applyFont="1" applyBorder="1" applyAlignment="1">
      <alignment vertical="center"/>
    </xf>
    <xf numFmtId="0" fontId="29" fillId="0" borderId="16" xfId="0" applyFont="1" applyBorder="1" applyAlignment="1">
      <alignment horizontal="left" vertical="center" indent="3"/>
    </xf>
    <xf numFmtId="0" fontId="29" fillId="2" borderId="16" xfId="0" applyFont="1" applyFill="1" applyBorder="1" applyAlignment="1">
      <alignment horizontal="left" vertical="center" indent="3"/>
    </xf>
    <xf numFmtId="169" fontId="44" fillId="0" borderId="0" xfId="2" applyNumberFormat="1" applyFont="1" applyFill="1" applyBorder="1" applyAlignment="1">
      <alignment vertical="center" wrapText="1"/>
    </xf>
    <xf numFmtId="169" fontId="44" fillId="0" borderId="3" xfId="2" applyNumberFormat="1" applyFont="1" applyFill="1" applyBorder="1" applyAlignment="1">
      <alignment vertical="center" wrapText="1"/>
    </xf>
    <xf numFmtId="169" fontId="21" fillId="0" borderId="0" xfId="2" applyNumberFormat="1" applyFont="1" applyFill="1" applyBorder="1" applyAlignment="1">
      <alignment vertical="center" wrapText="1"/>
    </xf>
    <xf numFmtId="0" fontId="174" fillId="0" borderId="16" xfId="0" applyFont="1" applyBorder="1" applyAlignment="1">
      <alignment vertical="center" wrapText="1"/>
    </xf>
    <xf numFmtId="0" fontId="9" fillId="0" borderId="0" xfId="0" applyFont="1" applyAlignment="1">
      <alignment vertical="center" wrapText="1"/>
    </xf>
    <xf numFmtId="0" fontId="0" fillId="2" borderId="0" xfId="0" applyFill="1"/>
    <xf numFmtId="10" fontId="178" fillId="0" borderId="0" xfId="0" applyNumberFormat="1" applyFont="1" applyAlignment="1">
      <alignment horizontal="right" vertical="center" wrapText="1"/>
    </xf>
    <xf numFmtId="0" fontId="179" fillId="0" borderId="0" xfId="0" applyFont="1"/>
    <xf numFmtId="0" fontId="180" fillId="2" borderId="16" xfId="0" applyFont="1" applyFill="1" applyBorder="1" applyAlignment="1">
      <alignment vertical="center" wrapText="1"/>
    </xf>
    <xf numFmtId="3" fontId="170" fillId="0" borderId="0" xfId="0" applyNumberFormat="1" applyFont="1" applyAlignment="1">
      <alignment horizontal="right" vertical="center" wrapText="1"/>
    </xf>
    <xf numFmtId="10" fontId="46" fillId="0" borderId="0" xfId="7" applyNumberFormat="1" applyFont="1" applyFill="1" applyBorder="1" applyAlignment="1">
      <alignment horizontal="right" vertical="center" wrapText="1"/>
    </xf>
    <xf numFmtId="10" fontId="46" fillId="2" borderId="0" xfId="7" applyNumberFormat="1" applyFont="1" applyFill="1" applyBorder="1" applyAlignment="1">
      <alignment horizontal="right" vertical="center" wrapText="1"/>
    </xf>
    <xf numFmtId="3" fontId="46" fillId="2" borderId="31" xfId="7" applyNumberFormat="1" applyFont="1" applyFill="1" applyBorder="1" applyAlignment="1">
      <alignment horizontal="right" vertical="center" wrapText="1"/>
    </xf>
    <xf numFmtId="3" fontId="46" fillId="0" borderId="31" xfId="7" applyNumberFormat="1" applyFont="1" applyFill="1" applyBorder="1" applyAlignment="1">
      <alignment horizontal="right" vertical="center" wrapText="1"/>
    </xf>
    <xf numFmtId="3" fontId="46" fillId="0" borderId="31" xfId="0" applyNumberFormat="1" applyFont="1" applyBorder="1" applyAlignment="1">
      <alignment horizontal="right" vertical="center" wrapText="1"/>
    </xf>
    <xf numFmtId="3" fontId="46" fillId="0" borderId="0" xfId="0" applyNumberFormat="1" applyFont="1" applyAlignment="1">
      <alignment horizontal="right" vertical="center" wrapText="1"/>
    </xf>
    <xf numFmtId="3" fontId="178" fillId="0" borderId="0" xfId="0" applyNumberFormat="1" applyFont="1" applyAlignment="1">
      <alignment vertical="center" wrapText="1"/>
    </xf>
    <xf numFmtId="3" fontId="0" fillId="0" borderId="0" xfId="0" applyNumberFormat="1"/>
    <xf numFmtId="0" fontId="27" fillId="0" borderId="0" xfId="0" applyFont="1" applyAlignment="1">
      <alignment horizontal="left" vertical="top" wrapText="1"/>
    </xf>
    <xf numFmtId="0" fontId="27" fillId="2" borderId="0" xfId="0" applyFont="1" applyFill="1" applyAlignment="1">
      <alignment horizontal="left" vertical="top"/>
    </xf>
    <xf numFmtId="0" fontId="0" fillId="2" borderId="0" xfId="0" applyFill="1" applyAlignment="1">
      <alignment wrapText="1"/>
    </xf>
    <xf numFmtId="0" fontId="182" fillId="2" borderId="0" xfId="0" applyFont="1" applyFill="1" applyAlignment="1">
      <alignment vertical="center"/>
    </xf>
    <xf numFmtId="0" fontId="12" fillId="0" borderId="15" xfId="0" applyFont="1" applyBorder="1" applyAlignment="1">
      <alignment vertical="center"/>
    </xf>
    <xf numFmtId="3" fontId="178" fillId="2" borderId="0" xfId="0" applyNumberFormat="1" applyFont="1" applyFill="1" applyAlignment="1">
      <alignment horizontal="right" vertical="center" wrapText="1"/>
    </xf>
    <xf numFmtId="3" fontId="178" fillId="0" borderId="0" xfId="0" applyNumberFormat="1" applyFont="1" applyAlignment="1">
      <alignment horizontal="right" vertical="center" wrapText="1"/>
    </xf>
    <xf numFmtId="170" fontId="184" fillId="2" borderId="0" xfId="0" applyNumberFormat="1" applyFont="1" applyFill="1" applyAlignment="1">
      <alignment horizontal="right" vertical="center" wrapText="1"/>
    </xf>
    <xf numFmtId="170" fontId="178" fillId="2" borderId="0" xfId="0" applyNumberFormat="1" applyFont="1" applyFill="1" applyAlignment="1">
      <alignment horizontal="right" vertical="center" wrapText="1"/>
    </xf>
    <xf numFmtId="0" fontId="155" fillId="2" borderId="0" xfId="0" applyFont="1" applyFill="1" applyAlignment="1">
      <alignment vertical="center"/>
    </xf>
    <xf numFmtId="170" fontId="46" fillId="2" borderId="0" xfId="0" applyNumberFormat="1" applyFont="1" applyFill="1" applyAlignment="1">
      <alignment horizontal="right" vertical="center" wrapText="1"/>
    </xf>
    <xf numFmtId="0" fontId="0" fillId="2" borderId="0" xfId="0" applyFill="1" applyAlignment="1">
      <alignment vertical="center"/>
    </xf>
    <xf numFmtId="0" fontId="178" fillId="2" borderId="0" xfId="0" applyFont="1" applyFill="1" applyAlignment="1">
      <alignment vertical="center"/>
    </xf>
    <xf numFmtId="3" fontId="184" fillId="2" borderId="0" xfId="0" applyNumberFormat="1" applyFont="1" applyFill="1" applyAlignment="1">
      <alignment horizontal="right" vertical="center" wrapText="1"/>
    </xf>
    <xf numFmtId="0" fontId="155" fillId="2" borderId="0" xfId="0" applyFont="1" applyFill="1"/>
    <xf numFmtId="170" fontId="178" fillId="0" borderId="0" xfId="0" applyNumberFormat="1" applyFont="1" applyAlignment="1">
      <alignment horizontal="right" vertical="center" wrapText="1"/>
    </xf>
    <xf numFmtId="170" fontId="46" fillId="0" borderId="0" xfId="0" applyNumberFormat="1" applyFont="1" applyAlignment="1">
      <alignment horizontal="right" vertical="center" wrapText="1"/>
    </xf>
    <xf numFmtId="0" fontId="3" fillId="2" borderId="0" xfId="0" applyFont="1" applyFill="1"/>
    <xf numFmtId="0" fontId="3" fillId="0" borderId="0" xfId="0" applyFont="1"/>
    <xf numFmtId="0" fontId="3" fillId="2" borderId="0" xfId="0" applyFont="1" applyFill="1" applyAlignment="1">
      <alignment vertical="center"/>
    </xf>
    <xf numFmtId="169" fontId="60" fillId="0" borderId="0" xfId="0" applyNumberFormat="1" applyFont="1"/>
    <xf numFmtId="0" fontId="46" fillId="0" borderId="0" xfId="0" applyFont="1" applyAlignment="1">
      <alignment wrapText="1"/>
    </xf>
    <xf numFmtId="0" fontId="59" fillId="0" borderId="0" xfId="0" applyFont="1" applyAlignment="1">
      <alignment vertical="center"/>
    </xf>
    <xf numFmtId="0" fontId="59" fillId="0" borderId="0" xfId="0" applyFont="1"/>
    <xf numFmtId="170" fontId="46" fillId="0" borderId="0" xfId="0" applyNumberFormat="1" applyFont="1"/>
    <xf numFmtId="170" fontId="59" fillId="0" borderId="0" xfId="0" applyNumberFormat="1" applyFont="1"/>
    <xf numFmtId="170" fontId="62" fillId="0" borderId="0" xfId="0" applyNumberFormat="1" applyFont="1"/>
    <xf numFmtId="0" fontId="17" fillId="2" borderId="0" xfId="0" applyFont="1" applyFill="1" applyAlignment="1">
      <alignment horizontal="left" vertical="top" wrapText="1"/>
    </xf>
    <xf numFmtId="0" fontId="9" fillId="2" borderId="3" xfId="0" applyFont="1" applyFill="1" applyBorder="1" applyAlignment="1">
      <alignment horizontal="left" vertical="center" wrapText="1"/>
    </xf>
    <xf numFmtId="0" fontId="40" fillId="2" borderId="0" xfId="0" applyFont="1" applyFill="1" applyAlignment="1">
      <alignment horizontal="left" vertical="top" wrapText="1"/>
    </xf>
    <xf numFmtId="0" fontId="40" fillId="2" borderId="0" xfId="0" applyFont="1" applyFill="1" applyAlignment="1">
      <alignment vertical="top" wrapText="1"/>
    </xf>
    <xf numFmtId="0" fontId="9" fillId="2" borderId="0" xfId="0" applyFont="1" applyFill="1" applyAlignment="1">
      <alignment vertical="top"/>
    </xf>
    <xf numFmtId="0" fontId="40" fillId="0" borderId="0" xfId="0" applyFont="1" applyAlignment="1">
      <alignment horizontal="left" vertical="top" wrapText="1"/>
    </xf>
    <xf numFmtId="0" fontId="40" fillId="2" borderId="0" xfId="0" applyFont="1" applyFill="1" applyAlignment="1">
      <alignment vertical="top"/>
    </xf>
    <xf numFmtId="0" fontId="9" fillId="2" borderId="0" xfId="0" applyFont="1" applyFill="1" applyAlignment="1">
      <alignment horizontal="left" vertical="top" wrapText="1"/>
    </xf>
    <xf numFmtId="168" fontId="40" fillId="2" borderId="0" xfId="0" applyNumberFormat="1" applyFont="1" applyFill="1" applyAlignment="1">
      <alignment horizontal="left" vertical="top" wrapText="1"/>
    </xf>
    <xf numFmtId="168" fontId="9" fillId="2" borderId="0" xfId="0" applyNumberFormat="1" applyFont="1" applyFill="1" applyAlignment="1">
      <alignment horizontal="left" vertical="top" wrapText="1"/>
    </xf>
    <xf numFmtId="0" fontId="27" fillId="0" borderId="0" xfId="0" applyFont="1" applyAlignment="1">
      <alignment vertical="top" wrapText="1"/>
    </xf>
    <xf numFmtId="49" fontId="187" fillId="0" borderId="0" xfId="0" applyNumberFormat="1" applyFont="1"/>
    <xf numFmtId="0" fontId="180" fillId="2" borderId="16" xfId="0" applyFont="1" applyFill="1" applyBorder="1" applyAlignment="1">
      <alignment horizontal="left" vertical="center" wrapText="1" indent="2"/>
    </xf>
    <xf numFmtId="10" fontId="46" fillId="0" borderId="0" xfId="0" applyNumberFormat="1" applyFont="1" applyAlignment="1">
      <alignment horizontal="right" vertical="center" wrapText="1"/>
    </xf>
    <xf numFmtId="0" fontId="180" fillId="2" borderId="16" xfId="0" applyFont="1" applyFill="1" applyBorder="1" applyAlignment="1">
      <alignment horizontal="left" vertical="center" wrapText="1" indent="3"/>
    </xf>
    <xf numFmtId="0" fontId="9" fillId="2" borderId="0" xfId="0" applyFont="1" applyFill="1" applyAlignment="1">
      <alignment horizontal="left" vertical="center" wrapText="1"/>
    </xf>
    <xf numFmtId="10" fontId="0" fillId="0" borderId="0" xfId="0" applyNumberFormat="1"/>
    <xf numFmtId="10" fontId="0" fillId="2" borderId="0" xfId="0" applyNumberFormat="1" applyFill="1"/>
    <xf numFmtId="0" fontId="24" fillId="2" borderId="16" xfId="0" applyFont="1" applyFill="1" applyBorder="1" applyAlignment="1">
      <alignment vertical="center" wrapText="1"/>
    </xf>
    <xf numFmtId="0" fontId="18" fillId="2" borderId="0" xfId="0" applyFont="1" applyFill="1" applyAlignment="1">
      <alignment vertical="center" wrapText="1"/>
    </xf>
    <xf numFmtId="0" fontId="28" fillId="0" borderId="3" xfId="0" applyFont="1" applyBorder="1" applyAlignment="1">
      <alignment vertical="center" wrapText="1"/>
    </xf>
    <xf numFmtId="181" fontId="30" fillId="0" borderId="0" xfId="0" applyNumberFormat="1" applyFont="1" applyAlignment="1">
      <alignment vertical="center"/>
    </xf>
    <xf numFmtId="181" fontId="30" fillId="0" borderId="0" xfId="0" applyNumberFormat="1" applyFont="1" applyAlignment="1">
      <alignment horizontal="right" vertical="center"/>
    </xf>
    <xf numFmtId="0" fontId="44" fillId="77" borderId="6" xfId="0" applyFont="1" applyFill="1" applyBorder="1" applyAlignment="1">
      <alignment vertical="center" wrapText="1"/>
    </xf>
    <xf numFmtId="0" fontId="41" fillId="2" borderId="0" xfId="0" applyFont="1" applyFill="1" applyAlignment="1">
      <alignment horizontal="center" vertical="center"/>
    </xf>
    <xf numFmtId="170" fontId="174" fillId="80" borderId="9" xfId="0" applyNumberFormat="1" applyFont="1" applyFill="1" applyBorder="1" applyAlignment="1">
      <alignment vertical="center" wrapText="1"/>
    </xf>
    <xf numFmtId="182" fontId="174" fillId="80" borderId="9" xfId="0" applyNumberFormat="1" applyFont="1" applyFill="1" applyBorder="1" applyAlignment="1">
      <alignment vertical="center" wrapText="1"/>
    </xf>
    <xf numFmtId="182" fontId="44" fillId="80" borderId="9" xfId="0" applyNumberFormat="1" applyFont="1" applyFill="1" applyBorder="1" applyAlignment="1">
      <alignment vertical="center" wrapText="1"/>
    </xf>
    <xf numFmtId="0" fontId="192" fillId="75" borderId="4" xfId="0" applyFont="1" applyFill="1" applyBorder="1" applyAlignment="1">
      <alignment vertical="center" wrapText="1"/>
    </xf>
    <xf numFmtId="0" fontId="192" fillId="75" borderId="15" xfId="0" applyFont="1" applyFill="1" applyBorder="1" applyAlignment="1">
      <alignment vertical="center" wrapText="1"/>
    </xf>
    <xf numFmtId="0" fontId="192" fillId="75" borderId="5" xfId="0" applyFont="1" applyFill="1" applyBorder="1" applyAlignment="1">
      <alignment vertical="center" wrapText="1"/>
    </xf>
    <xf numFmtId="0" fontId="192" fillId="75" borderId="17" xfId="0" applyFont="1" applyFill="1" applyBorder="1" applyAlignment="1">
      <alignment vertical="center" wrapText="1"/>
    </xf>
    <xf numFmtId="0" fontId="9" fillId="0" borderId="9" xfId="0" applyFont="1" applyBorder="1" applyAlignment="1">
      <alignment horizontal="left" vertical="center"/>
    </xf>
    <xf numFmtId="170" fontId="171" fillId="0" borderId="0" xfId="0" applyNumberFormat="1" applyFont="1" applyAlignment="1">
      <alignment horizontal="right" vertical="center"/>
    </xf>
    <xf numFmtId="173" fontId="9" fillId="2" borderId="9" xfId="0" applyNumberFormat="1" applyFont="1" applyFill="1" applyBorder="1" applyAlignment="1">
      <alignment horizontal="right" vertical="center"/>
    </xf>
    <xf numFmtId="173" fontId="9" fillId="2" borderId="9" xfId="0" applyNumberFormat="1" applyFont="1" applyFill="1" applyBorder="1" applyAlignment="1">
      <alignment vertical="center"/>
    </xf>
    <xf numFmtId="174" fontId="28" fillId="2" borderId="9" xfId="1" applyNumberFormat="1" applyFont="1" applyFill="1" applyBorder="1" applyAlignment="1">
      <alignment horizontal="right" vertical="center"/>
    </xf>
    <xf numFmtId="167" fontId="9" fillId="2" borderId="9" xfId="0" applyNumberFormat="1" applyFont="1" applyFill="1" applyBorder="1" applyAlignment="1">
      <alignment horizontal="right" vertical="center"/>
    </xf>
    <xf numFmtId="165" fontId="28" fillId="2" borderId="9" xfId="0" applyNumberFormat="1" applyFont="1" applyFill="1" applyBorder="1" applyAlignment="1">
      <alignment horizontal="right" vertical="center"/>
    </xf>
    <xf numFmtId="174" fontId="30" fillId="0" borderId="9" xfId="0" applyNumberFormat="1" applyFont="1" applyBorder="1" applyAlignment="1">
      <alignment vertical="center"/>
    </xf>
    <xf numFmtId="174" fontId="30" fillId="2" borderId="9" xfId="0" applyNumberFormat="1" applyFont="1" applyFill="1" applyBorder="1" applyAlignment="1">
      <alignment vertical="center"/>
    </xf>
    <xf numFmtId="181" fontId="9" fillId="0" borderId="0" xfId="0" applyNumberFormat="1" applyFont="1" applyAlignment="1">
      <alignment vertical="center"/>
    </xf>
    <xf numFmtId="181" fontId="9" fillId="0" borderId="9" xfId="0" applyNumberFormat="1" applyFont="1" applyBorder="1" applyAlignment="1">
      <alignment vertical="center"/>
    </xf>
    <xf numFmtId="181" fontId="28" fillId="0" borderId="0" xfId="0" applyNumberFormat="1" applyFont="1" applyAlignment="1">
      <alignment horizontal="right" vertical="center"/>
    </xf>
    <xf numFmtId="181" fontId="9" fillId="0" borderId="0" xfId="0" applyNumberFormat="1" applyFont="1" applyAlignment="1">
      <alignment horizontal="right" vertical="center"/>
    </xf>
    <xf numFmtId="182" fontId="30" fillId="0" borderId="9" xfId="0" applyNumberFormat="1" applyFont="1" applyBorder="1" applyAlignment="1">
      <alignment vertical="center"/>
    </xf>
    <xf numFmtId="182" fontId="22" fillId="0" borderId="9" xfId="0" applyNumberFormat="1" applyFont="1" applyBorder="1" applyAlignment="1">
      <alignment horizontal="right" vertical="center"/>
    </xf>
    <xf numFmtId="181" fontId="22" fillId="0" borderId="0" xfId="0" applyNumberFormat="1" applyFont="1" applyAlignment="1">
      <alignment horizontal="right" vertical="center"/>
    </xf>
    <xf numFmtId="0" fontId="9" fillId="0" borderId="0" xfId="0" applyFont="1" applyAlignment="1">
      <alignment vertical="top"/>
    </xf>
    <xf numFmtId="0" fontId="9" fillId="2" borderId="16" xfId="0" applyFont="1" applyFill="1" applyBorder="1" applyAlignment="1">
      <alignment horizontal="left" vertical="center"/>
    </xf>
    <xf numFmtId="0" fontId="185" fillId="0" borderId="0" xfId="0" applyFont="1"/>
    <xf numFmtId="0" fontId="201" fillId="2" borderId="0" xfId="0" applyFont="1" applyFill="1"/>
    <xf numFmtId="165" fontId="28" fillId="0" borderId="9" xfId="0" applyNumberFormat="1" applyFont="1" applyBorder="1" applyAlignment="1">
      <alignment horizontal="right" vertical="center"/>
    </xf>
    <xf numFmtId="165" fontId="28" fillId="0" borderId="0" xfId="0" applyNumberFormat="1" applyFont="1" applyAlignment="1">
      <alignment horizontal="right" vertical="center"/>
    </xf>
    <xf numFmtId="165" fontId="28" fillId="0" borderId="3" xfId="0" applyNumberFormat="1" applyFont="1" applyBorder="1" applyAlignment="1">
      <alignment horizontal="right" vertical="center"/>
    </xf>
    <xf numFmtId="173" fontId="9" fillId="0" borderId="9" xfId="0" applyNumberFormat="1" applyFont="1" applyBorder="1" applyAlignment="1">
      <alignment vertical="center"/>
    </xf>
    <xf numFmtId="173" fontId="9" fillId="0" borderId="0" xfId="0" applyNumberFormat="1" applyFont="1" applyAlignment="1">
      <alignment vertical="center"/>
    </xf>
    <xf numFmtId="170" fontId="9" fillId="0" borderId="0" xfId="0" applyNumberFormat="1" applyFont="1" applyAlignment="1">
      <alignment horizontal="right" vertical="center"/>
    </xf>
    <xf numFmtId="170" fontId="9" fillId="0" borderId="9" xfId="0" applyNumberFormat="1" applyFont="1" applyBorder="1" applyAlignment="1">
      <alignment vertical="center"/>
    </xf>
    <xf numFmtId="170" fontId="9" fillId="0" borderId="0" xfId="0" applyNumberFormat="1" applyFont="1" applyAlignment="1">
      <alignment vertical="center"/>
    </xf>
    <xf numFmtId="167" fontId="9" fillId="0" borderId="9" xfId="0" applyNumberFormat="1" applyFont="1" applyBorder="1" applyAlignment="1">
      <alignment horizontal="right" vertical="center"/>
    </xf>
    <xf numFmtId="167" fontId="9" fillId="0" borderId="0" xfId="0" applyNumberFormat="1" applyFont="1" applyAlignment="1">
      <alignment horizontal="right" vertical="center"/>
    </xf>
    <xf numFmtId="173" fontId="9" fillId="0" borderId="0" xfId="0" applyNumberFormat="1" applyFont="1" applyAlignment="1">
      <alignment horizontal="right" vertical="center"/>
    </xf>
    <xf numFmtId="177" fontId="9" fillId="0" borderId="9" xfId="0" applyNumberFormat="1" applyFont="1" applyBorder="1" applyAlignment="1">
      <alignment vertical="center"/>
    </xf>
    <xf numFmtId="167" fontId="9" fillId="0" borderId="9" xfId="0" applyNumberFormat="1" applyFont="1" applyBorder="1" applyAlignment="1">
      <alignment vertical="center"/>
    </xf>
    <xf numFmtId="167" fontId="9" fillId="0" borderId="0" xfId="0" applyNumberFormat="1" applyFont="1" applyAlignment="1">
      <alignment vertical="center"/>
    </xf>
    <xf numFmtId="175" fontId="9" fillId="0" borderId="9" xfId="0" applyNumberFormat="1" applyFont="1" applyBorder="1" applyAlignment="1">
      <alignment vertical="center"/>
    </xf>
    <xf numFmtId="173" fontId="9" fillId="0" borderId="9" xfId="0" applyNumberFormat="1" applyFont="1" applyBorder="1" applyAlignment="1">
      <alignment horizontal="right" vertical="center"/>
    </xf>
    <xf numFmtId="173" fontId="9" fillId="0" borderId="3" xfId="0" applyNumberFormat="1" applyFont="1" applyBorder="1" applyAlignment="1">
      <alignment horizontal="right" vertical="center"/>
    </xf>
    <xf numFmtId="175" fontId="9" fillId="0" borderId="0" xfId="0" applyNumberFormat="1" applyFont="1" applyAlignment="1">
      <alignment vertical="center"/>
    </xf>
    <xf numFmtId="174" fontId="28" fillId="0" borderId="9" xfId="1" applyNumberFormat="1" applyFont="1" applyFill="1" applyBorder="1" applyAlignment="1">
      <alignment horizontal="right" vertical="center"/>
    </xf>
    <xf numFmtId="174" fontId="28" fillId="0" borderId="0" xfId="1" applyNumberFormat="1" applyFont="1" applyFill="1" applyBorder="1" applyAlignment="1">
      <alignment horizontal="right" vertical="center"/>
    </xf>
    <xf numFmtId="174" fontId="28" fillId="0" borderId="3" xfId="1" applyNumberFormat="1" applyFont="1" applyFill="1" applyBorder="1" applyAlignment="1">
      <alignment horizontal="right" vertical="center"/>
    </xf>
    <xf numFmtId="167" fontId="9" fillId="0" borderId="3" xfId="0" applyNumberFormat="1" applyFont="1" applyBorder="1" applyAlignment="1">
      <alignment horizontal="right" vertical="center"/>
    </xf>
    <xf numFmtId="175" fontId="30" fillId="0" borderId="9" xfId="0" applyNumberFormat="1" applyFont="1" applyBorder="1" applyAlignment="1">
      <alignment vertical="center"/>
    </xf>
    <xf numFmtId="175" fontId="30" fillId="0" borderId="0" xfId="0" applyNumberFormat="1" applyFont="1" applyAlignment="1">
      <alignment vertical="center"/>
    </xf>
    <xf numFmtId="170" fontId="30" fillId="0" borderId="0" xfId="0" applyNumberFormat="1" applyFont="1" applyAlignment="1">
      <alignment vertical="center"/>
    </xf>
    <xf numFmtId="174" fontId="9" fillId="0" borderId="9" xfId="0" applyNumberFormat="1" applyFont="1" applyBorder="1" applyAlignment="1">
      <alignment vertical="center"/>
    </xf>
    <xf numFmtId="174" fontId="9" fillId="0" borderId="0" xfId="0" applyNumberFormat="1" applyFont="1" applyAlignment="1">
      <alignment vertical="center"/>
    </xf>
    <xf numFmtId="174" fontId="9" fillId="0" borderId="3" xfId="0" applyNumberFormat="1" applyFont="1" applyBorder="1" applyAlignment="1">
      <alignment vertical="center"/>
    </xf>
    <xf numFmtId="174" fontId="30" fillId="0" borderId="3" xfId="0" applyNumberFormat="1" applyFont="1" applyBorder="1" applyAlignment="1">
      <alignment vertical="center"/>
    </xf>
    <xf numFmtId="173" fontId="30" fillId="0" borderId="0" xfId="0" applyNumberFormat="1" applyFont="1" applyAlignment="1">
      <alignment vertical="center"/>
    </xf>
    <xf numFmtId="165" fontId="32" fillId="0" borderId="0" xfId="0" applyNumberFormat="1" applyFont="1" applyAlignment="1">
      <alignment horizontal="right" vertical="center"/>
    </xf>
    <xf numFmtId="184" fontId="9" fillId="2" borderId="9" xfId="0" applyNumberFormat="1" applyFont="1" applyFill="1" applyBorder="1" applyAlignment="1">
      <alignment horizontal="right" vertical="center"/>
    </xf>
    <xf numFmtId="182" fontId="9" fillId="0" borderId="0" xfId="0" applyNumberFormat="1" applyFont="1" applyAlignment="1">
      <alignment horizontal="right" vertical="center"/>
    </xf>
    <xf numFmtId="182" fontId="28" fillId="0" borderId="0" xfId="0" applyNumberFormat="1" applyFont="1" applyAlignment="1">
      <alignment vertical="center"/>
    </xf>
    <xf numFmtId="183" fontId="28" fillId="0" borderId="0" xfId="0" applyNumberFormat="1" applyFont="1" applyAlignment="1">
      <alignment vertical="center"/>
    </xf>
    <xf numFmtId="182" fontId="32" fillId="0" borderId="0" xfId="0" applyNumberFormat="1" applyFont="1" applyAlignment="1">
      <alignment horizontal="right" vertical="center"/>
    </xf>
    <xf numFmtId="0" fontId="20" fillId="0" borderId="11" xfId="0" applyFont="1" applyBorder="1" applyAlignment="1">
      <alignment vertical="center" wrapText="1"/>
    </xf>
    <xf numFmtId="182" fontId="20" fillId="0" borderId="2" xfId="0" applyNumberFormat="1" applyFont="1" applyBorder="1" applyAlignment="1">
      <alignment vertical="center"/>
    </xf>
    <xf numFmtId="0" fontId="76" fillId="0" borderId="0" xfId="0" applyFont="1" applyAlignment="1">
      <alignment vertical="center"/>
    </xf>
    <xf numFmtId="3" fontId="17" fillId="0" borderId="3" xfId="0" applyNumberFormat="1" applyFont="1" applyBorder="1" applyAlignment="1">
      <alignment horizontal="right" vertical="center" wrapText="1"/>
    </xf>
    <xf numFmtId="3" fontId="6" fillId="0" borderId="0" xfId="0" applyNumberFormat="1" applyFont="1" applyAlignment="1">
      <alignment vertical="center"/>
    </xf>
    <xf numFmtId="0" fontId="35" fillId="0" borderId="3" xfId="0" applyFont="1" applyBorder="1" applyAlignment="1">
      <alignment horizontal="left" vertical="center" wrapText="1" indent="1"/>
    </xf>
    <xf numFmtId="3" fontId="27" fillId="0" borderId="0" xfId="0" applyNumberFormat="1" applyFont="1" applyAlignment="1">
      <alignment horizontal="right" vertical="center" wrapText="1"/>
    </xf>
    <xf numFmtId="0" fontId="36" fillId="0" borderId="3" xfId="0" applyFont="1" applyBorder="1" applyAlignment="1">
      <alignment horizontal="left" vertical="center" wrapText="1" indent="3"/>
    </xf>
    <xf numFmtId="3" fontId="37" fillId="0" borderId="3" xfId="0" applyNumberFormat="1" applyFont="1" applyBorder="1" applyAlignment="1">
      <alignment horizontal="right" vertical="center" wrapText="1"/>
    </xf>
    <xf numFmtId="3" fontId="10" fillId="0" borderId="0" xfId="0" applyNumberFormat="1" applyFont="1" applyAlignment="1">
      <alignment horizontal="right" vertical="center" wrapText="1"/>
    </xf>
    <xf numFmtId="3" fontId="17" fillId="0" borderId="18" xfId="0" applyNumberFormat="1" applyFont="1" applyBorder="1" applyAlignment="1">
      <alignment horizontal="right" vertical="center" wrapText="1"/>
    </xf>
    <xf numFmtId="170" fontId="27" fillId="0" borderId="0" xfId="0" applyNumberFormat="1" applyFont="1" applyAlignment="1">
      <alignment horizontal="right" vertical="center" wrapText="1"/>
    </xf>
    <xf numFmtId="0" fontId="35" fillId="0" borderId="16" xfId="0" applyFont="1" applyBorder="1" applyAlignment="1">
      <alignment horizontal="left" vertical="center"/>
    </xf>
    <xf numFmtId="167" fontId="17" fillId="0" borderId="3" xfId="0" applyNumberFormat="1" applyFont="1" applyBorder="1" applyAlignment="1">
      <alignment horizontal="right" vertical="center" wrapText="1"/>
    </xf>
    <xf numFmtId="0" fontId="35" fillId="0" borderId="3" xfId="0" applyFont="1" applyBorder="1" applyAlignment="1">
      <alignment horizontal="left" vertical="center" wrapText="1"/>
    </xf>
    <xf numFmtId="169" fontId="17" fillId="0" borderId="3" xfId="0" applyNumberFormat="1" applyFont="1" applyBorder="1" applyAlignment="1">
      <alignment horizontal="right" vertical="center" wrapText="1"/>
    </xf>
    <xf numFmtId="169" fontId="27" fillId="0" borderId="0" xfId="0" applyNumberFormat="1" applyFont="1" applyAlignment="1">
      <alignment horizontal="right" vertical="center" wrapText="1"/>
    </xf>
    <xf numFmtId="3" fontId="37" fillId="0" borderId="3" xfId="6" applyNumberFormat="1" applyFont="1" applyFill="1" applyBorder="1" applyAlignment="1">
      <alignment horizontal="right" vertical="center" wrapText="1"/>
    </xf>
    <xf numFmtId="3" fontId="17" fillId="0" borderId="3" xfId="6" applyNumberFormat="1" applyFont="1" applyFill="1" applyBorder="1" applyAlignment="1">
      <alignment horizontal="right" vertical="center" wrapText="1"/>
    </xf>
    <xf numFmtId="3" fontId="17" fillId="0" borderId="5" xfId="0" applyNumberFormat="1" applyFont="1" applyBorder="1" applyAlignment="1">
      <alignment horizontal="right" vertical="center" wrapText="1"/>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wrapText="1"/>
    </xf>
    <xf numFmtId="0" fontId="192" fillId="75" borderId="5" xfId="0" applyFont="1" applyFill="1" applyBorder="1" applyAlignment="1">
      <alignment horizontal="center" vertical="center"/>
    </xf>
    <xf numFmtId="0" fontId="192" fillId="75" borderId="53" xfId="0" applyFont="1" applyFill="1" applyBorder="1" applyAlignment="1">
      <alignment horizontal="center" vertical="center"/>
    </xf>
    <xf numFmtId="0" fontId="205" fillId="0" borderId="0" xfId="0" applyFont="1" applyAlignment="1">
      <alignment vertical="center"/>
    </xf>
    <xf numFmtId="177" fontId="20" fillId="77" borderId="6" xfId="0" applyNumberFormat="1" applyFont="1" applyFill="1" applyBorder="1" applyAlignment="1">
      <alignment horizontal="right" vertical="center"/>
    </xf>
    <xf numFmtId="177" fontId="20" fillId="77" borderId="7" xfId="0" applyNumberFormat="1" applyFont="1" applyFill="1" applyBorder="1" applyAlignment="1">
      <alignment horizontal="right" vertical="center"/>
    </xf>
    <xf numFmtId="170" fontId="44" fillId="80" borderId="8" xfId="0" applyNumberFormat="1" applyFont="1" applyFill="1" applyBorder="1" applyAlignment="1">
      <alignment horizontal="right" vertical="center" wrapText="1"/>
    </xf>
    <xf numFmtId="170" fontId="194" fillId="80" borderId="9" xfId="0" applyNumberFormat="1" applyFont="1" applyFill="1" applyBorder="1" applyAlignment="1">
      <alignment horizontal="right" vertical="center" wrapText="1"/>
    </xf>
    <xf numFmtId="213" fontId="20" fillId="77" borderId="6" xfId="0" applyNumberFormat="1" applyFont="1" applyFill="1" applyBorder="1" applyAlignment="1">
      <alignment horizontal="right" vertical="center"/>
    </xf>
    <xf numFmtId="213" fontId="20" fillId="77" borderId="7" xfId="0" applyNumberFormat="1" applyFont="1" applyFill="1" applyBorder="1" applyAlignment="1">
      <alignment horizontal="right" vertical="center"/>
    </xf>
    <xf numFmtId="213" fontId="44" fillId="80" borderId="8" xfId="0" applyNumberFormat="1" applyFont="1" applyFill="1" applyBorder="1" applyAlignment="1">
      <alignment horizontal="right" vertical="center" wrapText="1"/>
    </xf>
    <xf numFmtId="169" fontId="194" fillId="80" borderId="9" xfId="0" applyNumberFormat="1" applyFont="1" applyFill="1" applyBorder="1" applyAlignment="1">
      <alignment horizontal="right" vertical="center" wrapText="1"/>
    </xf>
    <xf numFmtId="166" fontId="194" fillId="80" borderId="9" xfId="0" applyNumberFormat="1" applyFont="1" applyFill="1" applyBorder="1" applyAlignment="1">
      <alignment horizontal="right" vertical="center" wrapText="1"/>
    </xf>
    <xf numFmtId="0" fontId="15" fillId="0" borderId="55" xfId="0" applyFont="1" applyBorder="1" applyAlignment="1">
      <alignment horizontal="left" vertical="center" wrapText="1"/>
    </xf>
    <xf numFmtId="0" fontId="15" fillId="0" borderId="55" xfId="0" applyFont="1" applyBorder="1" applyAlignment="1">
      <alignment horizontal="left" vertical="center"/>
    </xf>
    <xf numFmtId="3" fontId="34" fillId="0" borderId="55" xfId="0" applyNumberFormat="1" applyFont="1" applyBorder="1" applyAlignment="1">
      <alignment horizontal="right" vertical="center" wrapText="1"/>
    </xf>
    <xf numFmtId="3" fontId="34" fillId="0" borderId="56" xfId="0" applyNumberFormat="1" applyFont="1" applyBorder="1" applyAlignment="1">
      <alignment horizontal="right" vertical="center" wrapText="1"/>
    </xf>
    <xf numFmtId="170" fontId="206" fillId="80" borderId="57" xfId="0" applyNumberFormat="1" applyFont="1" applyFill="1" applyBorder="1" applyAlignment="1">
      <alignment horizontal="right" vertical="center" wrapText="1"/>
    </xf>
    <xf numFmtId="170" fontId="34" fillId="0" borderId="55" xfId="0" applyNumberFormat="1" applyFont="1" applyBorder="1" applyAlignment="1">
      <alignment horizontal="right" vertical="center" wrapText="1"/>
    </xf>
    <xf numFmtId="170" fontId="34" fillId="0" borderId="56" xfId="0" applyNumberFormat="1" applyFont="1" applyBorder="1" applyAlignment="1">
      <alignment horizontal="right" vertical="center" wrapText="1"/>
    </xf>
    <xf numFmtId="170" fontId="15" fillId="0" borderId="55" xfId="0" applyNumberFormat="1" applyFont="1" applyBorder="1" applyAlignment="1">
      <alignment horizontal="left" vertical="center" wrapText="1"/>
    </xf>
    <xf numFmtId="170" fontId="15" fillId="0" borderId="55" xfId="0" applyNumberFormat="1" applyFont="1" applyBorder="1" applyAlignment="1">
      <alignment horizontal="left" vertical="center"/>
    </xf>
    <xf numFmtId="170" fontId="6" fillId="0" borderId="0" xfId="0" applyNumberFormat="1" applyFont="1" applyAlignment="1">
      <alignment vertical="center"/>
    </xf>
    <xf numFmtId="3" fontId="194" fillId="80" borderId="9" xfId="0" applyNumberFormat="1" applyFont="1" applyFill="1" applyBorder="1" applyAlignment="1">
      <alignment horizontal="right" vertical="center" wrapText="1"/>
    </xf>
    <xf numFmtId="3" fontId="206" fillId="80" borderId="57" xfId="0" applyNumberFormat="1" applyFont="1" applyFill="1" applyBorder="1" applyAlignment="1">
      <alignment horizontal="right" vertical="center" wrapText="1"/>
    </xf>
    <xf numFmtId="3" fontId="204" fillId="81" borderId="3" xfId="0" applyNumberFormat="1" applyFont="1" applyFill="1" applyBorder="1" applyAlignment="1">
      <alignment horizontal="right" vertical="center" wrapText="1"/>
    </xf>
    <xf numFmtId="3" fontId="204" fillId="81" borderId="0" xfId="0" applyNumberFormat="1" applyFont="1" applyFill="1" applyAlignment="1">
      <alignment horizontal="right" vertical="center" wrapText="1"/>
    </xf>
    <xf numFmtId="170" fontId="44" fillId="82" borderId="50" xfId="0" applyNumberFormat="1" applyFont="1" applyFill="1" applyBorder="1" applyAlignment="1">
      <alignment horizontal="right" vertical="center" wrapText="1"/>
    </xf>
    <xf numFmtId="3" fontId="204" fillId="81" borderId="4" xfId="0" applyNumberFormat="1" applyFont="1" applyFill="1" applyBorder="1" applyAlignment="1">
      <alignment horizontal="right" vertical="center" wrapText="1"/>
    </xf>
    <xf numFmtId="169" fontId="204" fillId="81" borderId="3" xfId="6" applyNumberFormat="1" applyFont="1" applyFill="1" applyBorder="1" applyAlignment="1">
      <alignment horizontal="right" vertical="center" wrapText="1"/>
    </xf>
    <xf numFmtId="169" fontId="204" fillId="81" borderId="0" xfId="6" applyNumberFormat="1" applyFont="1" applyFill="1" applyBorder="1" applyAlignment="1">
      <alignment horizontal="right" vertical="center" wrapText="1"/>
    </xf>
    <xf numFmtId="0" fontId="15" fillId="0" borderId="58" xfId="0" applyFont="1" applyBorder="1" applyAlignment="1">
      <alignment horizontal="left" vertical="center" wrapText="1"/>
    </xf>
    <xf numFmtId="0" fontId="15" fillId="0" borderId="58" xfId="0" applyFont="1" applyBorder="1" applyAlignment="1">
      <alignment horizontal="left" vertical="center"/>
    </xf>
    <xf numFmtId="3" fontId="34" fillId="0" borderId="58" xfId="0" applyNumberFormat="1" applyFont="1" applyBorder="1" applyAlignment="1">
      <alignment horizontal="right" vertical="center" wrapText="1"/>
    </xf>
    <xf numFmtId="3" fontId="34" fillId="0" borderId="59" xfId="0" applyNumberFormat="1" applyFont="1" applyBorder="1" applyAlignment="1">
      <alignment horizontal="right" vertical="center" wrapText="1"/>
    </xf>
    <xf numFmtId="3" fontId="206" fillId="80" borderId="60" xfId="0" applyNumberFormat="1" applyFont="1" applyFill="1" applyBorder="1" applyAlignment="1">
      <alignment horizontal="right" vertical="center" wrapText="1"/>
    </xf>
    <xf numFmtId="0" fontId="192" fillId="75" borderId="3" xfId="0" applyFont="1" applyFill="1" applyBorder="1" applyAlignment="1">
      <alignment vertical="center" wrapText="1"/>
    </xf>
    <xf numFmtId="170" fontId="44" fillId="82" borderId="9" xfId="0" applyNumberFormat="1" applyFont="1" applyFill="1" applyBorder="1" applyAlignment="1">
      <alignment horizontal="right" vertical="center" wrapText="1"/>
    </xf>
    <xf numFmtId="2" fontId="17" fillId="0" borderId="3" xfId="0" applyNumberFormat="1" applyFont="1" applyBorder="1" applyAlignment="1">
      <alignment horizontal="right" vertical="center" wrapText="1"/>
    </xf>
    <xf numFmtId="2" fontId="17" fillId="0" borderId="0" xfId="0" applyNumberFormat="1" applyFont="1" applyAlignment="1">
      <alignment horizontal="right" vertical="center" wrapText="1"/>
    </xf>
    <xf numFmtId="4" fontId="27" fillId="0" borderId="0" xfId="0" applyNumberFormat="1" applyFont="1" applyAlignment="1">
      <alignment horizontal="right" vertical="center" wrapText="1"/>
    </xf>
    <xf numFmtId="3" fontId="34" fillId="0" borderId="61" xfId="0" applyNumberFormat="1" applyFont="1" applyBorder="1" applyAlignment="1">
      <alignment horizontal="right" vertical="center" wrapText="1"/>
    </xf>
    <xf numFmtId="3" fontId="34" fillId="0" borderId="62" xfId="0" applyNumberFormat="1" applyFont="1" applyBorder="1" applyAlignment="1">
      <alignment horizontal="right" vertical="center" wrapText="1"/>
    </xf>
    <xf numFmtId="170" fontId="206" fillId="80" borderId="63" xfId="0" applyNumberFormat="1" applyFont="1" applyFill="1" applyBorder="1" applyAlignment="1">
      <alignment horizontal="right" vertical="center" wrapText="1"/>
    </xf>
    <xf numFmtId="3" fontId="207" fillId="80" borderId="9" xfId="0" applyNumberFormat="1" applyFont="1" applyFill="1" applyBorder="1" applyAlignment="1">
      <alignment horizontal="right" vertical="center" wrapText="1"/>
    </xf>
    <xf numFmtId="3" fontId="44" fillId="80" borderId="8" xfId="0" applyNumberFormat="1" applyFont="1" applyFill="1" applyBorder="1" applyAlignment="1">
      <alignment horizontal="right" vertical="center" wrapText="1"/>
    </xf>
    <xf numFmtId="3" fontId="206" fillId="80" borderId="63" xfId="0" applyNumberFormat="1" applyFont="1" applyFill="1" applyBorder="1" applyAlignment="1">
      <alignment horizontal="right" vertical="center" wrapText="1"/>
    </xf>
    <xf numFmtId="3" fontId="35" fillId="0" borderId="3" xfId="0" applyNumberFormat="1" applyFont="1" applyBorder="1" applyAlignment="1">
      <alignment horizontal="left" vertical="center" wrapText="1" indent="1"/>
    </xf>
    <xf numFmtId="3" fontId="35" fillId="0" borderId="5" xfId="0" applyNumberFormat="1" applyFont="1" applyBorder="1" applyAlignment="1">
      <alignment horizontal="left" vertical="center" wrapText="1" indent="1"/>
    </xf>
    <xf numFmtId="3" fontId="194" fillId="80" borderId="13" xfId="0" applyNumberFormat="1" applyFont="1" applyFill="1" applyBorder="1" applyAlignment="1">
      <alignment horizontal="right" vertical="center" wrapText="1"/>
    </xf>
    <xf numFmtId="3" fontId="15" fillId="0" borderId="55" xfId="0" applyNumberFormat="1" applyFont="1" applyBorder="1" applyAlignment="1">
      <alignment horizontal="left" vertical="center" wrapText="1"/>
    </xf>
    <xf numFmtId="3" fontId="15" fillId="0" borderId="55" xfId="0" applyNumberFormat="1" applyFont="1" applyBorder="1" applyAlignment="1">
      <alignment horizontal="left" vertical="center"/>
    </xf>
    <xf numFmtId="0" fontId="208" fillId="0" borderId="0" xfId="0" applyFont="1" applyAlignment="1">
      <alignment vertical="center"/>
    </xf>
    <xf numFmtId="0" fontId="192" fillId="75" borderId="10" xfId="0" applyFont="1" applyFill="1" applyBorder="1" applyAlignment="1">
      <alignment horizontal="center" vertical="center"/>
    </xf>
    <xf numFmtId="0" fontId="192" fillId="75" borderId="0" xfId="0" applyFont="1" applyFill="1" applyAlignment="1">
      <alignment horizontal="center" vertical="center"/>
    </xf>
    <xf numFmtId="0" fontId="0" fillId="0" borderId="0" xfId="0" applyAlignment="1">
      <alignment horizontal="right"/>
    </xf>
    <xf numFmtId="0" fontId="39" fillId="0" borderId="5" xfId="0" applyFont="1" applyBorder="1" applyAlignment="1">
      <alignment horizontal="right" vertical="center"/>
    </xf>
    <xf numFmtId="0" fontId="39" fillId="0" borderId="7" xfId="0" applyFont="1" applyBorder="1" applyAlignment="1">
      <alignment horizontal="right" vertical="center"/>
    </xf>
    <xf numFmtId="0" fontId="13" fillId="0" borderId="0" xfId="0" applyFont="1" applyAlignment="1">
      <alignment vertical="center"/>
    </xf>
    <xf numFmtId="0" fontId="59" fillId="0" borderId="14" xfId="0" applyFont="1" applyBorder="1" applyAlignment="1">
      <alignment horizontal="left" vertical="center" wrapText="1"/>
    </xf>
    <xf numFmtId="169" fontId="178" fillId="0" borderId="9" xfId="0" applyNumberFormat="1" applyFont="1" applyBorder="1" applyAlignment="1">
      <alignment horizontal="right" vertical="center" wrapText="1"/>
    </xf>
    <xf numFmtId="10" fontId="170" fillId="0" borderId="0" xfId="7" applyNumberFormat="1" applyFont="1" applyFill="1" applyBorder="1" applyAlignment="1">
      <alignment horizontal="right" vertical="center" wrapText="1"/>
    </xf>
    <xf numFmtId="3" fontId="46" fillId="0" borderId="9" xfId="0" applyNumberFormat="1" applyFont="1" applyBorder="1" applyAlignment="1">
      <alignment horizontal="right" vertical="center" wrapText="1"/>
    </xf>
    <xf numFmtId="3" fontId="178" fillId="0" borderId="9" xfId="0" applyNumberFormat="1" applyFont="1" applyBorder="1" applyAlignment="1">
      <alignment horizontal="right" vertical="center" wrapText="1"/>
    </xf>
    <xf numFmtId="3" fontId="178" fillId="0" borderId="13" xfId="0" applyNumberFormat="1" applyFont="1" applyBorder="1" applyAlignment="1">
      <alignment horizontal="right" vertical="center" wrapText="1"/>
    </xf>
    <xf numFmtId="0" fontId="27" fillId="0" borderId="0" xfId="0" applyFont="1" applyAlignment="1">
      <alignment horizontal="left" vertical="top"/>
    </xf>
    <xf numFmtId="0" fontId="182" fillId="0" borderId="0" xfId="0" applyFont="1" applyAlignment="1">
      <alignment vertical="center"/>
    </xf>
    <xf numFmtId="0" fontId="26" fillId="0" borderId="0" xfId="0" applyFont="1" applyAlignment="1">
      <alignment horizontal="left" vertical="center" wrapText="1"/>
    </xf>
    <xf numFmtId="0" fontId="178" fillId="0" borderId="0" xfId="0" applyFont="1" applyAlignment="1">
      <alignment vertical="center"/>
    </xf>
    <xf numFmtId="0" fontId="78" fillId="0" borderId="14" xfId="0" applyFont="1" applyBorder="1" applyAlignment="1">
      <alignment horizontal="left" vertical="center" wrapText="1"/>
    </xf>
    <xf numFmtId="0" fontId="0" fillId="0" borderId="0" xfId="0" applyAlignment="1">
      <alignment wrapText="1"/>
    </xf>
    <xf numFmtId="0" fontId="59" fillId="0" borderId="12" xfId="0" applyFont="1" applyBorder="1" applyAlignment="1">
      <alignment horizontal="left" vertical="center" wrapText="1"/>
    </xf>
    <xf numFmtId="0" fontId="59" fillId="81" borderId="5" xfId="0" applyFont="1" applyFill="1" applyBorder="1" applyAlignment="1">
      <alignment horizontal="right" vertical="center"/>
    </xf>
    <xf numFmtId="0" fontId="59" fillId="81" borderId="53" xfId="0" applyFont="1" applyFill="1" applyBorder="1" applyAlignment="1">
      <alignment horizontal="right" vertical="center"/>
    </xf>
    <xf numFmtId="0" fontId="59" fillId="0" borderId="5" xfId="0" applyFont="1" applyBorder="1" applyAlignment="1">
      <alignment horizontal="right" vertical="center"/>
    </xf>
    <xf numFmtId="0" fontId="59" fillId="0" borderId="7" xfId="0" applyFont="1" applyBorder="1" applyAlignment="1">
      <alignment horizontal="right" vertical="center"/>
    </xf>
    <xf numFmtId="0" fontId="59" fillId="0" borderId="4" xfId="0" applyFont="1" applyBorder="1" applyAlignment="1">
      <alignment horizontal="left" vertical="center" wrapText="1"/>
    </xf>
    <xf numFmtId="0" fontId="59" fillId="0" borderId="49" xfId="0" applyFont="1" applyBorder="1" applyAlignment="1">
      <alignment horizontal="left" vertical="center" wrapText="1"/>
    </xf>
    <xf numFmtId="0" fontId="78" fillId="0" borderId="49" xfId="0" applyFont="1" applyBorder="1" applyAlignment="1">
      <alignment horizontal="left" vertical="center" wrapText="1"/>
    </xf>
    <xf numFmtId="0" fontId="12" fillId="2" borderId="54" xfId="0" applyFont="1" applyFill="1" applyBorder="1" applyAlignment="1">
      <alignment vertical="center" wrapText="1"/>
    </xf>
    <xf numFmtId="10" fontId="178" fillId="0" borderId="56" xfId="7" applyNumberFormat="1" applyFont="1" applyFill="1" applyBorder="1" applyAlignment="1">
      <alignment horizontal="right" vertical="center" wrapText="1"/>
    </xf>
    <xf numFmtId="10" fontId="178" fillId="0" borderId="56" xfId="0" applyNumberFormat="1" applyFont="1" applyBorder="1" applyAlignment="1">
      <alignment horizontal="right" vertical="center" wrapText="1"/>
    </xf>
    <xf numFmtId="169" fontId="178" fillId="0" borderId="57" xfId="0" applyNumberFormat="1" applyFont="1" applyBorder="1" applyAlignment="1">
      <alignment horizontal="right" vertical="center" wrapText="1"/>
    </xf>
    <xf numFmtId="10" fontId="178" fillId="2" borderId="56" xfId="7" applyNumberFormat="1" applyFont="1" applyFill="1" applyBorder="1" applyAlignment="1">
      <alignment horizontal="right" vertical="center" wrapText="1"/>
    </xf>
    <xf numFmtId="169" fontId="178" fillId="2" borderId="56" xfId="7" applyNumberFormat="1" applyFont="1" applyFill="1" applyBorder="1" applyAlignment="1">
      <alignment horizontal="right" vertical="center" wrapText="1"/>
    </xf>
    <xf numFmtId="169" fontId="178" fillId="0" borderId="56" xfId="7" applyNumberFormat="1" applyFont="1" applyFill="1" applyBorder="1" applyAlignment="1">
      <alignment horizontal="right" vertical="center" wrapText="1"/>
    </xf>
    <xf numFmtId="169" fontId="178" fillId="0" borderId="56" xfId="0" applyNumberFormat="1" applyFont="1" applyBorder="1" applyAlignment="1">
      <alignment horizontal="right" vertical="center" wrapText="1"/>
    </xf>
    <xf numFmtId="3" fontId="12" fillId="2" borderId="54" xfId="0" applyNumberFormat="1" applyFont="1" applyFill="1" applyBorder="1" applyAlignment="1">
      <alignment vertical="center" wrapText="1"/>
    </xf>
    <xf numFmtId="3" fontId="178" fillId="0" borderId="56" xfId="7" applyNumberFormat="1" applyFont="1" applyFill="1" applyBorder="1" applyAlignment="1">
      <alignment horizontal="right" vertical="center" wrapText="1"/>
    </xf>
    <xf numFmtId="3" fontId="178" fillId="0" borderId="56" xfId="0" applyNumberFormat="1" applyFont="1" applyBorder="1" applyAlignment="1">
      <alignment horizontal="right" vertical="center" wrapText="1"/>
    </xf>
    <xf numFmtId="3" fontId="178" fillId="0" borderId="57" xfId="0" applyNumberFormat="1" applyFont="1" applyBorder="1" applyAlignment="1">
      <alignment horizontal="right" vertical="center" wrapText="1"/>
    </xf>
    <xf numFmtId="3" fontId="178" fillId="2" borderId="56" xfId="7" applyNumberFormat="1" applyFont="1" applyFill="1" applyBorder="1" applyAlignment="1">
      <alignment horizontal="right" vertical="center" wrapText="1"/>
    </xf>
    <xf numFmtId="0" fontId="209" fillId="2" borderId="0" xfId="0" applyFont="1" applyFill="1" applyAlignment="1">
      <alignment vertical="center"/>
    </xf>
    <xf numFmtId="0" fontId="78" fillId="0" borderId="0" xfId="0" applyFont="1"/>
    <xf numFmtId="0" fontId="78" fillId="0" borderId="0" xfId="0" applyFont="1" applyAlignment="1">
      <alignment horizontal="right"/>
    </xf>
    <xf numFmtId="0" fontId="112" fillId="0" borderId="0" xfId="0" applyFont="1"/>
    <xf numFmtId="0" fontId="112" fillId="0" borderId="0" xfId="0" applyFont="1" applyAlignment="1">
      <alignment horizontal="right"/>
    </xf>
    <xf numFmtId="168" fontId="9" fillId="0" borderId="0" xfId="0" applyNumberFormat="1" applyFont="1" applyAlignment="1">
      <alignment vertical="center"/>
    </xf>
    <xf numFmtId="168" fontId="9" fillId="0" borderId="3" xfId="0" applyNumberFormat="1" applyFont="1" applyBorder="1" applyAlignment="1">
      <alignment vertical="center"/>
    </xf>
    <xf numFmtId="0" fontId="189" fillId="83" borderId="3" xfId="0" applyFont="1" applyFill="1" applyBorder="1" applyAlignment="1">
      <alignment vertical="center" wrapText="1"/>
    </xf>
    <xf numFmtId="177" fontId="189" fillId="83" borderId="0" xfId="0" applyNumberFormat="1" applyFont="1" applyFill="1" applyAlignment="1">
      <alignment vertical="center"/>
    </xf>
    <xf numFmtId="0" fontId="19" fillId="0" borderId="65" xfId="0" applyFont="1" applyBorder="1" applyAlignment="1">
      <alignment vertical="center" wrapText="1"/>
    </xf>
    <xf numFmtId="182" fontId="20" fillId="0" borderId="66" xfId="0" applyNumberFormat="1" applyFont="1" applyBorder="1" applyAlignment="1">
      <alignment horizontal="right" vertical="center"/>
    </xf>
    <xf numFmtId="182" fontId="20" fillId="0" borderId="66" xfId="0" applyNumberFormat="1" applyFont="1" applyBorder="1" applyAlignment="1">
      <alignment vertical="center"/>
    </xf>
    <xf numFmtId="0" fontId="212" fillId="83" borderId="3" xfId="0" applyFont="1" applyFill="1" applyBorder="1" applyAlignment="1">
      <alignment vertical="center" wrapText="1"/>
    </xf>
    <xf numFmtId="177" fontId="212" fillId="83" borderId="3" xfId="0" applyNumberFormat="1" applyFont="1" applyFill="1" applyBorder="1" applyAlignment="1">
      <alignment vertical="center"/>
    </xf>
    <xf numFmtId="177" fontId="212" fillId="83" borderId="0" xfId="0" applyNumberFormat="1" applyFont="1" applyFill="1" applyAlignment="1">
      <alignment vertical="center"/>
    </xf>
    <xf numFmtId="177" fontId="212" fillId="83" borderId="9" xfId="0" applyNumberFormat="1" applyFont="1" applyFill="1" applyBorder="1" applyAlignment="1">
      <alignment vertical="center"/>
    </xf>
    <xf numFmtId="0" fontId="29" fillId="2" borderId="16" xfId="0" applyFont="1" applyFill="1" applyBorder="1" applyAlignment="1">
      <alignment horizontal="left" vertical="center" indent="2"/>
    </xf>
    <xf numFmtId="0" fontId="188" fillId="0" borderId="9" xfId="0" applyFont="1" applyBorder="1" applyAlignment="1">
      <alignment horizontal="left" vertical="center" indent="3"/>
    </xf>
    <xf numFmtId="0" fontId="199" fillId="75" borderId="0" xfId="0" applyFont="1" applyFill="1" applyAlignment="1">
      <alignment vertical="center" wrapText="1"/>
    </xf>
    <xf numFmtId="0" fontId="199" fillId="75" borderId="16" xfId="0" applyFont="1" applyFill="1" applyBorder="1" applyAlignment="1">
      <alignment vertical="center" wrapText="1"/>
    </xf>
    <xf numFmtId="0" fontId="200" fillId="0" borderId="0" xfId="0" applyFont="1"/>
    <xf numFmtId="0" fontId="43" fillId="0" borderId="65" xfId="0" applyFont="1" applyBorder="1" applyAlignment="1">
      <alignment vertical="center" wrapText="1"/>
    </xf>
    <xf numFmtId="177" fontId="185" fillId="0" borderId="65" xfId="0" applyNumberFormat="1" applyFont="1" applyBorder="1" applyAlignment="1">
      <alignment vertical="center"/>
    </xf>
    <xf numFmtId="177" fontId="185" fillId="0" borderId="66" xfId="0" applyNumberFormat="1" applyFont="1" applyBorder="1" applyAlignment="1">
      <alignment vertical="center"/>
    </xf>
    <xf numFmtId="177" fontId="185" fillId="0" borderId="67" xfId="0" applyNumberFormat="1" applyFont="1" applyBorder="1" applyAlignment="1">
      <alignment vertical="center"/>
    </xf>
    <xf numFmtId="0" fontId="43" fillId="0" borderId="64" xfId="0" applyFont="1" applyBorder="1" applyAlignment="1">
      <alignment vertical="center" wrapText="1"/>
    </xf>
    <xf numFmtId="0" fontId="190" fillId="83" borderId="3" xfId="0" applyFont="1" applyFill="1" applyBorder="1" applyAlignment="1">
      <alignment vertical="center" wrapText="1"/>
    </xf>
    <xf numFmtId="0" fontId="190" fillId="83" borderId="16" xfId="0" applyFont="1" applyFill="1" applyBorder="1" applyAlignment="1">
      <alignment vertical="center" wrapText="1"/>
    </xf>
    <xf numFmtId="171" fontId="190" fillId="83" borderId="0" xfId="0" applyNumberFormat="1" applyFont="1" applyFill="1" applyAlignment="1">
      <alignment vertical="center"/>
    </xf>
    <xf numFmtId="170" fontId="190" fillId="84" borderId="9" xfId="0" applyNumberFormat="1" applyFont="1" applyFill="1" applyBorder="1" applyAlignment="1">
      <alignment vertical="center" wrapText="1"/>
    </xf>
    <xf numFmtId="171" fontId="190" fillId="83" borderId="3" xfId="0" applyNumberFormat="1" applyFont="1" applyFill="1" applyBorder="1" applyAlignment="1">
      <alignment vertical="center"/>
    </xf>
    <xf numFmtId="171" fontId="192" fillId="83" borderId="0" xfId="0" applyNumberFormat="1" applyFont="1" applyFill="1" applyAlignment="1">
      <alignment vertical="center"/>
    </xf>
    <xf numFmtId="182" fontId="190" fillId="83" borderId="0" xfId="0" applyNumberFormat="1" applyFont="1" applyFill="1" applyAlignment="1">
      <alignment vertical="center"/>
    </xf>
    <xf numFmtId="0" fontId="208" fillId="78" borderId="0" xfId="0" applyFont="1" applyFill="1"/>
    <xf numFmtId="171" fontId="208" fillId="0" borderId="0" xfId="0" applyNumberFormat="1" applyFont="1"/>
    <xf numFmtId="185" fontId="171" fillId="2" borderId="16" xfId="0" applyNumberFormat="1" applyFont="1" applyFill="1" applyBorder="1" applyAlignment="1">
      <alignment vertical="center" wrapText="1"/>
    </xf>
    <xf numFmtId="0" fontId="176" fillId="0" borderId="0" xfId="0" applyFont="1" applyAlignment="1">
      <alignment horizontal="right" vertical="center" wrapText="1"/>
    </xf>
    <xf numFmtId="0" fontId="189" fillId="75" borderId="68" xfId="0" applyFont="1" applyFill="1" applyBorder="1" applyAlignment="1">
      <alignment horizontal="left" vertical="center" wrapText="1"/>
    </xf>
    <xf numFmtId="185" fontId="19" fillId="2" borderId="68" xfId="0" applyNumberFormat="1" applyFont="1" applyFill="1" applyBorder="1" applyAlignment="1">
      <alignment vertical="center" wrapText="1"/>
    </xf>
    <xf numFmtId="0" fontId="189" fillId="75" borderId="69" xfId="0" applyFont="1" applyFill="1" applyBorder="1" applyAlignment="1">
      <alignment horizontal="left" vertical="center" wrapText="1"/>
    </xf>
    <xf numFmtId="185" fontId="19" fillId="2" borderId="69" xfId="0" applyNumberFormat="1" applyFont="1" applyFill="1" applyBorder="1" applyAlignment="1">
      <alignment vertical="center" wrapText="1"/>
    </xf>
    <xf numFmtId="0" fontId="189" fillId="75" borderId="70" xfId="0" applyFont="1" applyFill="1" applyBorder="1" applyAlignment="1">
      <alignment horizontal="left" vertical="center" wrapText="1"/>
    </xf>
    <xf numFmtId="185" fontId="19" fillId="2" borderId="70" xfId="0" applyNumberFormat="1" applyFont="1" applyFill="1" applyBorder="1" applyAlignment="1">
      <alignment vertical="center" wrapText="1"/>
    </xf>
    <xf numFmtId="0" fontId="190" fillId="75" borderId="70" xfId="0" applyFont="1" applyFill="1" applyBorder="1" applyAlignment="1">
      <alignment horizontal="right" vertical="center"/>
    </xf>
    <xf numFmtId="0" fontId="192" fillId="75" borderId="70" xfId="0" applyFont="1" applyFill="1" applyBorder="1" applyAlignment="1">
      <alignment horizontal="right" vertical="center"/>
    </xf>
    <xf numFmtId="0" fontId="189" fillId="76" borderId="70" xfId="0" applyFont="1" applyFill="1" applyBorder="1" applyAlignment="1">
      <alignment horizontal="right" vertical="center"/>
    </xf>
    <xf numFmtId="0" fontId="189" fillId="75" borderId="70" xfId="0" applyFont="1" applyFill="1" applyBorder="1" applyAlignment="1">
      <alignment horizontal="right" vertical="center"/>
    </xf>
    <xf numFmtId="0" fontId="59" fillId="75" borderId="70" xfId="0" applyFont="1" applyFill="1" applyBorder="1" applyAlignment="1">
      <alignment horizontal="right" vertical="center"/>
    </xf>
    <xf numFmtId="0" fontId="12" fillId="2" borderId="66" xfId="0" applyFont="1" applyFill="1" applyBorder="1" applyAlignment="1">
      <alignment vertical="center" wrapText="1"/>
    </xf>
    <xf numFmtId="170" fontId="12" fillId="2" borderId="66" xfId="0" applyNumberFormat="1" applyFont="1" applyFill="1" applyBorder="1" applyAlignment="1">
      <alignment vertical="center"/>
    </xf>
    <xf numFmtId="170" fontId="169" fillId="3" borderId="67" xfId="0" applyNumberFormat="1" applyFont="1" applyFill="1" applyBorder="1" applyAlignment="1">
      <alignment horizontal="right" vertical="center"/>
    </xf>
    <xf numFmtId="0" fontId="12" fillId="2" borderId="71" xfId="0" applyFont="1" applyFill="1" applyBorder="1" applyAlignment="1">
      <alignment vertical="center" wrapText="1"/>
    </xf>
    <xf numFmtId="170" fontId="12" fillId="2" borderId="71" xfId="0" applyNumberFormat="1" applyFont="1" applyFill="1" applyBorder="1" applyAlignment="1">
      <alignment vertical="center"/>
    </xf>
    <xf numFmtId="170" fontId="169" fillId="3" borderId="72" xfId="0" applyNumberFormat="1" applyFont="1" applyFill="1" applyBorder="1" applyAlignment="1">
      <alignment horizontal="right" vertical="center"/>
    </xf>
    <xf numFmtId="0" fontId="190" fillId="83" borderId="73" xfId="0" applyFont="1" applyFill="1" applyBorder="1" applyAlignment="1">
      <alignment vertical="center" wrapText="1"/>
    </xf>
    <xf numFmtId="0" fontId="190" fillId="83" borderId="74" xfId="0" applyFont="1" applyFill="1" applyBorder="1" applyAlignment="1">
      <alignment vertical="center" wrapText="1"/>
    </xf>
    <xf numFmtId="171" fontId="190" fillId="83" borderId="75" xfId="0" applyNumberFormat="1" applyFont="1" applyFill="1" applyBorder="1" applyAlignment="1">
      <alignment vertical="center"/>
    </xf>
    <xf numFmtId="170" fontId="190" fillId="84" borderId="76" xfId="0" applyNumberFormat="1" applyFont="1" applyFill="1" applyBorder="1" applyAlignment="1">
      <alignment vertical="center" wrapText="1"/>
    </xf>
    <xf numFmtId="171" fontId="190" fillId="83" borderId="73" xfId="0" applyNumberFormat="1" applyFont="1" applyFill="1" applyBorder="1" applyAlignment="1">
      <alignment vertical="center"/>
    </xf>
    <xf numFmtId="171" fontId="192" fillId="83" borderId="75" xfId="0" applyNumberFormat="1" applyFont="1" applyFill="1" applyBorder="1" applyAlignment="1">
      <alignment vertical="center"/>
    </xf>
    <xf numFmtId="182" fontId="190" fillId="83" borderId="75" xfId="0" applyNumberFormat="1" applyFont="1" applyFill="1" applyBorder="1" applyAlignment="1">
      <alignment vertical="center"/>
    </xf>
    <xf numFmtId="0" fontId="208" fillId="78" borderId="75" xfId="0" applyFont="1" applyFill="1" applyBorder="1"/>
    <xf numFmtId="169" fontId="12" fillId="2" borderId="66" xfId="0" applyNumberFormat="1" applyFont="1" applyFill="1" applyBorder="1" applyAlignment="1">
      <alignment vertical="center" wrapText="1"/>
    </xf>
    <xf numFmtId="169" fontId="12" fillId="2" borderId="66" xfId="0" applyNumberFormat="1" applyFont="1" applyFill="1" applyBorder="1" applyAlignment="1">
      <alignment vertical="center"/>
    </xf>
    <xf numFmtId="169" fontId="169" fillId="3" borderId="67" xfId="0" applyNumberFormat="1" applyFont="1" applyFill="1" applyBorder="1" applyAlignment="1">
      <alignment horizontal="right" vertical="center"/>
    </xf>
    <xf numFmtId="169" fontId="190" fillId="83" borderId="73" xfId="0" applyNumberFormat="1" applyFont="1" applyFill="1" applyBorder="1" applyAlignment="1">
      <alignment vertical="center" wrapText="1"/>
    </xf>
    <xf numFmtId="169" fontId="190" fillId="83" borderId="74" xfId="0" applyNumberFormat="1" applyFont="1" applyFill="1" applyBorder="1" applyAlignment="1">
      <alignment vertical="center" wrapText="1"/>
    </xf>
    <xf numFmtId="169" fontId="190" fillId="83" borderId="75" xfId="0" applyNumberFormat="1" applyFont="1" applyFill="1" applyBorder="1" applyAlignment="1">
      <alignment vertical="center"/>
    </xf>
    <xf numFmtId="169" fontId="190" fillId="84" borderId="76" xfId="0" applyNumberFormat="1" applyFont="1" applyFill="1" applyBorder="1" applyAlignment="1">
      <alignment vertical="center" wrapText="1"/>
    </xf>
    <xf numFmtId="169" fontId="190" fillId="83" borderId="73" xfId="0" applyNumberFormat="1" applyFont="1" applyFill="1" applyBorder="1" applyAlignment="1">
      <alignment vertical="center"/>
    </xf>
    <xf numFmtId="169" fontId="192" fillId="83" borderId="75" xfId="0" applyNumberFormat="1" applyFont="1" applyFill="1" applyBorder="1" applyAlignment="1">
      <alignment vertical="center"/>
    </xf>
    <xf numFmtId="0" fontId="199" fillId="75" borderId="0" xfId="0" applyFont="1" applyFill="1" applyAlignment="1">
      <alignment horizontal="right" vertical="center" wrapText="1"/>
    </xf>
    <xf numFmtId="0" fontId="199" fillId="75" borderId="0" xfId="0" applyFont="1" applyFill="1" applyAlignment="1">
      <alignment horizontal="right" vertical="center"/>
    </xf>
    <xf numFmtId="0" fontId="199" fillId="75" borderId="9" xfId="0" applyFont="1" applyFill="1" applyBorder="1" applyAlignment="1">
      <alignment horizontal="right" vertical="center"/>
    </xf>
    <xf numFmtId="0" fontId="59" fillId="75" borderId="77" xfId="0" applyFont="1" applyFill="1" applyBorder="1" applyAlignment="1">
      <alignment vertical="center" wrapText="1"/>
    </xf>
    <xf numFmtId="0" fontId="59" fillId="75" borderId="78" xfId="0" applyFont="1" applyFill="1" applyBorder="1" applyAlignment="1">
      <alignment vertical="center" wrapText="1"/>
    </xf>
    <xf numFmtId="0" fontId="25" fillId="2" borderId="68" xfId="0" applyFont="1" applyFill="1" applyBorder="1"/>
    <xf numFmtId="0" fontId="25" fillId="0" borderId="68" xfId="0" applyFont="1" applyBorder="1"/>
    <xf numFmtId="0" fontId="59" fillId="75" borderId="80" xfId="0" applyFont="1" applyFill="1" applyBorder="1" applyAlignment="1">
      <alignment vertical="center" wrapText="1"/>
    </xf>
    <xf numFmtId="0" fontId="190" fillId="75" borderId="80" xfId="0" applyFont="1" applyFill="1" applyBorder="1" applyAlignment="1">
      <alignment horizontal="right" vertical="center"/>
    </xf>
    <xf numFmtId="0" fontId="190" fillId="75" borderId="69" xfId="0" applyFont="1" applyFill="1" applyBorder="1" applyAlignment="1">
      <alignment horizontal="right" vertical="center"/>
    </xf>
    <xf numFmtId="0" fontId="190" fillId="75" borderId="81" xfId="0" applyFont="1" applyFill="1" applyBorder="1" applyAlignment="1">
      <alignment horizontal="right" vertical="center"/>
    </xf>
    <xf numFmtId="0" fontId="190" fillId="75" borderId="81" xfId="0" applyFont="1" applyFill="1" applyBorder="1" applyAlignment="1">
      <alignment horizontal="right" vertical="center" wrapText="1"/>
    </xf>
    <xf numFmtId="0" fontId="192" fillId="75" borderId="69" xfId="0" applyFont="1" applyFill="1" applyBorder="1" applyAlignment="1">
      <alignment horizontal="right" vertical="center"/>
    </xf>
    <xf numFmtId="0" fontId="9" fillId="0" borderId="69" xfId="0" applyFont="1" applyBorder="1"/>
    <xf numFmtId="0" fontId="192" fillId="75" borderId="70" xfId="0" applyFont="1" applyFill="1" applyBorder="1" applyAlignment="1">
      <alignment vertical="center" wrapText="1"/>
    </xf>
    <xf numFmtId="0" fontId="192" fillId="75" borderId="82" xfId="0" applyFont="1" applyFill="1" applyBorder="1" applyAlignment="1">
      <alignment vertical="center" wrapText="1"/>
    </xf>
    <xf numFmtId="0" fontId="192" fillId="75" borderId="70" xfId="0" applyFont="1" applyFill="1" applyBorder="1" applyAlignment="1">
      <alignment horizontal="right" vertical="center" wrapText="1"/>
    </xf>
    <xf numFmtId="0" fontId="192" fillId="75" borderId="83" xfId="0" applyFont="1" applyFill="1" applyBorder="1" applyAlignment="1">
      <alignment horizontal="right" vertical="center"/>
    </xf>
    <xf numFmtId="0" fontId="9" fillId="0" borderId="70" xfId="0" applyFont="1" applyBorder="1"/>
    <xf numFmtId="0" fontId="213" fillId="2" borderId="0" xfId="0" applyFont="1" applyFill="1" applyAlignment="1">
      <alignment vertical="center"/>
    </xf>
    <xf numFmtId="0" fontId="6" fillId="0" borderId="0" xfId="0" applyFont="1"/>
    <xf numFmtId="0" fontId="189" fillId="75" borderId="84" xfId="0" applyFont="1" applyFill="1" applyBorder="1" applyAlignment="1">
      <alignment horizontal="left" vertical="center" wrapText="1"/>
    </xf>
    <xf numFmtId="0" fontId="190" fillId="79" borderId="85" xfId="0" applyFont="1" applyFill="1" applyBorder="1" applyAlignment="1">
      <alignment horizontal="right" vertical="center" wrapText="1"/>
    </xf>
    <xf numFmtId="0" fontId="189" fillId="75" borderId="84" xfId="0" applyFont="1" applyFill="1" applyBorder="1" applyAlignment="1">
      <alignment horizontal="right" vertical="center" wrapText="1"/>
    </xf>
    <xf numFmtId="182" fontId="190" fillId="79" borderId="85" xfId="0" applyNumberFormat="1" applyFont="1" applyFill="1" applyBorder="1" applyAlignment="1">
      <alignment horizontal="right" vertical="center" wrapText="1"/>
    </xf>
    <xf numFmtId="0" fontId="9" fillId="0" borderId="84" xfId="0" applyFont="1" applyBorder="1" applyAlignment="1">
      <alignment horizontal="center" vertical="center"/>
    </xf>
    <xf numFmtId="0" fontId="189" fillId="75" borderId="86" xfId="0" applyFont="1" applyFill="1" applyBorder="1" applyAlignment="1">
      <alignment horizontal="left" vertical="center" wrapText="1"/>
    </xf>
    <xf numFmtId="0" fontId="190" fillId="79" borderId="86" xfId="0" applyFont="1" applyFill="1" applyBorder="1" applyAlignment="1">
      <alignment horizontal="right" vertical="center" wrapText="1"/>
    </xf>
    <xf numFmtId="0" fontId="189" fillId="75" borderId="86" xfId="0" applyFont="1" applyFill="1" applyBorder="1" applyAlignment="1">
      <alignment horizontal="right" vertical="center" wrapText="1"/>
    </xf>
    <xf numFmtId="182" fontId="190" fillId="79" borderId="86" xfId="0" applyNumberFormat="1" applyFont="1" applyFill="1" applyBorder="1" applyAlignment="1">
      <alignment horizontal="right" vertical="center" wrapText="1"/>
    </xf>
    <xf numFmtId="0" fontId="9" fillId="0" borderId="87" xfId="0" applyFont="1" applyBorder="1" applyAlignment="1">
      <alignment horizontal="center" vertical="center"/>
    </xf>
    <xf numFmtId="0" fontId="9" fillId="0" borderId="0" xfId="0" applyFont="1" applyAlignment="1">
      <alignment horizontal="left" vertical="center"/>
    </xf>
    <xf numFmtId="169" fontId="28" fillId="80" borderId="0" xfId="2" applyNumberFormat="1" applyFont="1" applyFill="1" applyBorder="1" applyAlignment="1">
      <alignment horizontal="right" vertical="center"/>
    </xf>
    <xf numFmtId="169" fontId="9" fillId="0" borderId="0" xfId="2" applyNumberFormat="1" applyFont="1" applyFill="1" applyBorder="1" applyAlignment="1">
      <alignment horizontal="right" vertical="center"/>
    </xf>
    <xf numFmtId="0" fontId="9" fillId="0" borderId="0" xfId="0" applyFont="1" applyAlignment="1">
      <alignment horizontal="center" vertical="center"/>
    </xf>
    <xf numFmtId="167" fontId="28" fillId="80" borderId="0" xfId="2" applyNumberFormat="1" applyFont="1" applyFill="1" applyBorder="1" applyAlignment="1">
      <alignment horizontal="right" vertical="center"/>
    </xf>
    <xf numFmtId="167" fontId="9" fillId="0" borderId="0" xfId="2" applyNumberFormat="1" applyFont="1" applyFill="1" applyBorder="1" applyAlignment="1">
      <alignment horizontal="right" vertical="center"/>
    </xf>
    <xf numFmtId="49" fontId="216" fillId="0" borderId="0" xfId="0" applyNumberFormat="1" applyFont="1"/>
    <xf numFmtId="0" fontId="216" fillId="0" borderId="0" xfId="0" applyFont="1"/>
    <xf numFmtId="173" fontId="30" fillId="2" borderId="9" xfId="0" applyNumberFormat="1" applyFont="1" applyFill="1" applyBorder="1" applyAlignment="1">
      <alignment horizontal="right" vertical="center"/>
    </xf>
    <xf numFmtId="214" fontId="190" fillId="83" borderId="0" xfId="0" applyNumberFormat="1" applyFont="1" applyFill="1" applyAlignment="1">
      <alignment vertical="center"/>
    </xf>
    <xf numFmtId="215" fontId="190" fillId="84" borderId="9" xfId="0" applyNumberFormat="1" applyFont="1" applyFill="1" applyBorder="1" applyAlignment="1">
      <alignment vertical="center" wrapText="1"/>
    </xf>
    <xf numFmtId="0" fontId="189" fillId="75" borderId="69" xfId="0" applyFont="1" applyFill="1" applyBorder="1" applyAlignment="1">
      <alignment horizontal="center" vertical="center" wrapText="1"/>
    </xf>
    <xf numFmtId="169" fontId="208" fillId="0" borderId="0" xfId="0" applyNumberFormat="1" applyFont="1"/>
    <xf numFmtId="169" fontId="20" fillId="0" borderId="0" xfId="0" applyNumberFormat="1" applyFont="1"/>
    <xf numFmtId="0" fontId="190" fillId="75" borderId="0" xfId="0" applyFont="1" applyFill="1" applyAlignment="1">
      <alignment horizontal="center" vertical="center" wrapText="1"/>
    </xf>
    <xf numFmtId="0" fontId="19" fillId="0" borderId="3" xfId="0" applyFont="1" applyBorder="1" applyAlignment="1">
      <alignment vertical="center" wrapText="1"/>
    </xf>
    <xf numFmtId="0" fontId="192" fillId="75" borderId="77" xfId="0" applyFont="1" applyFill="1" applyBorder="1" applyAlignment="1">
      <alignment vertical="center" wrapText="1"/>
    </xf>
    <xf numFmtId="0" fontId="190" fillId="75" borderId="69" xfId="0" applyFont="1" applyFill="1" applyBorder="1" applyAlignment="1">
      <alignment horizontal="center" vertical="center" wrapText="1"/>
    </xf>
    <xf numFmtId="0" fontId="9" fillId="2" borderId="69" xfId="0" applyFont="1" applyFill="1" applyBorder="1" applyAlignment="1">
      <alignment vertical="center"/>
    </xf>
    <xf numFmtId="0" fontId="9" fillId="0" borderId="69" xfId="0" applyFont="1" applyBorder="1" applyAlignment="1">
      <alignment vertical="center"/>
    </xf>
    <xf numFmtId="0" fontId="9" fillId="0" borderId="89" xfId="0" applyFont="1" applyBorder="1" applyAlignment="1">
      <alignment vertical="center"/>
    </xf>
    <xf numFmtId="169" fontId="28" fillId="80" borderId="89" xfId="2" applyNumberFormat="1" applyFont="1" applyFill="1" applyBorder="1" applyAlignment="1">
      <alignment horizontal="right" vertical="center"/>
    </xf>
    <xf numFmtId="169" fontId="9" fillId="0" borderId="89" xfId="2" applyNumberFormat="1" applyFont="1" applyFill="1" applyBorder="1" applyAlignment="1">
      <alignment horizontal="right" vertical="center"/>
    </xf>
    <xf numFmtId="215" fontId="30" fillId="0" borderId="9" xfId="0" applyNumberFormat="1" applyFont="1" applyBorder="1" applyAlignment="1">
      <alignment horizontal="right" vertical="center"/>
    </xf>
    <xf numFmtId="0" fontId="189" fillId="75" borderId="90" xfId="0" applyFont="1" applyFill="1" applyBorder="1" applyAlignment="1">
      <alignment horizontal="left" vertical="center" wrapText="1"/>
    </xf>
    <xf numFmtId="0" fontId="189" fillId="75" borderId="81" xfId="0" applyFont="1" applyFill="1" applyBorder="1" applyAlignment="1">
      <alignment horizontal="center" vertical="center" wrapText="1"/>
    </xf>
    <xf numFmtId="0" fontId="189" fillId="75" borderId="80" xfId="0" applyFont="1" applyFill="1" applyBorder="1" applyAlignment="1">
      <alignment horizontal="center" vertical="center" wrapText="1"/>
    </xf>
    <xf numFmtId="0" fontId="189" fillId="75" borderId="91" xfId="0" applyFont="1" applyFill="1" applyBorder="1" applyAlignment="1">
      <alignment horizontal="left" vertical="center" wrapText="1"/>
    </xf>
    <xf numFmtId="0" fontId="189" fillId="75" borderId="82" xfId="0" applyFont="1" applyFill="1" applyBorder="1" applyAlignment="1">
      <alignment horizontal="left" vertical="center" wrapText="1"/>
    </xf>
    <xf numFmtId="0" fontId="190" fillId="79" borderId="70" xfId="0" applyFont="1" applyFill="1" applyBorder="1" applyAlignment="1">
      <alignment horizontal="right" vertical="center"/>
    </xf>
    <xf numFmtId="0" fontId="190" fillId="75" borderId="88" xfId="0" applyFont="1" applyFill="1" applyBorder="1" applyAlignment="1">
      <alignment horizontal="right" vertical="center"/>
    </xf>
    <xf numFmtId="0" fontId="190" fillId="79" borderId="83" xfId="0" applyFont="1" applyFill="1" applyBorder="1" applyAlignment="1">
      <alignment horizontal="right" vertical="center"/>
    </xf>
    <xf numFmtId="215" fontId="190" fillId="83" borderId="75" xfId="0" applyNumberFormat="1" applyFont="1" applyFill="1" applyBorder="1" applyAlignment="1">
      <alignment vertical="center"/>
    </xf>
    <xf numFmtId="185" fontId="9" fillId="0" borderId="0" xfId="0" applyNumberFormat="1" applyFont="1"/>
    <xf numFmtId="177" fontId="9" fillId="0" borderId="0" xfId="0" applyNumberFormat="1" applyFont="1"/>
    <xf numFmtId="185" fontId="28" fillId="0" borderId="0" xfId="0" applyNumberFormat="1" applyFont="1"/>
    <xf numFmtId="182" fontId="9" fillId="0" borderId="0" xfId="0" applyNumberFormat="1" applyFont="1"/>
    <xf numFmtId="185" fontId="20" fillId="0" borderId="0" xfId="0" applyNumberFormat="1" applyFont="1"/>
    <xf numFmtId="169" fontId="190" fillId="83" borderId="75" xfId="7" applyNumberFormat="1" applyFont="1" applyFill="1" applyBorder="1" applyAlignment="1">
      <alignment vertical="center"/>
    </xf>
    <xf numFmtId="0" fontId="189" fillId="0" borderId="86" xfId="0" applyFont="1" applyBorder="1" applyAlignment="1">
      <alignment horizontal="right" vertical="center" wrapText="1"/>
    </xf>
    <xf numFmtId="182" fontId="190" fillId="0" borderId="86" xfId="0" applyNumberFormat="1" applyFont="1" applyBorder="1" applyAlignment="1">
      <alignment horizontal="right" vertical="center" wrapText="1"/>
    </xf>
    <xf numFmtId="169" fontId="43" fillId="85" borderId="57" xfId="0" applyNumberFormat="1" applyFont="1" applyFill="1" applyBorder="1" applyAlignment="1">
      <alignment vertical="center" wrapText="1"/>
    </xf>
    <xf numFmtId="10" fontId="43" fillId="85" borderId="57" xfId="0" applyNumberFormat="1" applyFont="1" applyFill="1" applyBorder="1" applyAlignment="1">
      <alignment vertical="center" wrapText="1"/>
    </xf>
    <xf numFmtId="10" fontId="42" fillId="85" borderId="60" xfId="0" applyNumberFormat="1" applyFont="1" applyFill="1" applyBorder="1" applyAlignment="1">
      <alignment vertical="center" wrapText="1"/>
    </xf>
    <xf numFmtId="10" fontId="42" fillId="85" borderId="9" xfId="0" applyNumberFormat="1" applyFont="1" applyFill="1" applyBorder="1" applyAlignment="1">
      <alignment vertical="center" wrapText="1"/>
    </xf>
    <xf numFmtId="10" fontId="42" fillId="85" borderId="13" xfId="0" applyNumberFormat="1" applyFont="1" applyFill="1" applyBorder="1" applyAlignment="1">
      <alignment vertical="center" wrapText="1"/>
    </xf>
    <xf numFmtId="169" fontId="43" fillId="85" borderId="9" xfId="0" applyNumberFormat="1" applyFont="1" applyFill="1" applyBorder="1" applyAlignment="1">
      <alignment vertical="center" wrapText="1"/>
    </xf>
    <xf numFmtId="3" fontId="42" fillId="85" borderId="52" xfId="0" applyNumberFormat="1" applyFont="1" applyFill="1" applyBorder="1" applyAlignment="1">
      <alignment vertical="center" wrapText="1"/>
    </xf>
    <xf numFmtId="3" fontId="43" fillId="85" borderId="57" xfId="0" applyNumberFormat="1" applyFont="1" applyFill="1" applyBorder="1" applyAlignment="1">
      <alignment vertical="center" wrapText="1"/>
    </xf>
    <xf numFmtId="170" fontId="210" fillId="85" borderId="50" xfId="0" applyNumberFormat="1" applyFont="1" applyFill="1" applyBorder="1" applyAlignment="1">
      <alignment vertical="center" wrapText="1"/>
    </xf>
    <xf numFmtId="170" fontId="48" fillId="85" borderId="9" xfId="0" applyNumberFormat="1" applyFont="1" applyFill="1" applyBorder="1" applyAlignment="1">
      <alignment vertical="center" wrapText="1"/>
    </xf>
    <xf numFmtId="170" fontId="48" fillId="85" borderId="13" xfId="0" applyNumberFormat="1" applyFont="1" applyFill="1" applyBorder="1" applyAlignment="1">
      <alignment vertical="center" wrapText="1"/>
    </xf>
    <xf numFmtId="170" fontId="169" fillId="85" borderId="50" xfId="0" applyNumberFormat="1" applyFont="1" applyFill="1" applyBorder="1" applyAlignment="1">
      <alignment vertical="center" wrapText="1"/>
    </xf>
    <xf numFmtId="3" fontId="169" fillId="85" borderId="50" xfId="0" applyNumberFormat="1" applyFont="1" applyFill="1" applyBorder="1" applyAlignment="1">
      <alignment vertical="center" wrapText="1"/>
    </xf>
    <xf numFmtId="3" fontId="48" fillId="85" borderId="9" xfId="0" applyNumberFormat="1" applyFont="1" applyFill="1" applyBorder="1" applyAlignment="1">
      <alignment vertical="center" wrapText="1"/>
    </xf>
    <xf numFmtId="3" fontId="48" fillId="85" borderId="13" xfId="0" applyNumberFormat="1" applyFont="1" applyFill="1" applyBorder="1" applyAlignment="1">
      <alignment vertical="center" wrapText="1"/>
    </xf>
    <xf numFmtId="3" fontId="211" fillId="85" borderId="50" xfId="0" applyNumberFormat="1" applyFont="1" applyFill="1" applyBorder="1" applyAlignment="1">
      <alignment vertical="center" wrapText="1"/>
    </xf>
    <xf numFmtId="0" fontId="47" fillId="2" borderId="0" xfId="0" applyFont="1" applyFill="1" applyAlignment="1">
      <alignment horizontal="left" vertical="center" wrapText="1" indent="3"/>
    </xf>
    <xf numFmtId="170" fontId="47" fillId="2" borderId="0" xfId="0" applyNumberFormat="1" applyFont="1" applyFill="1" applyAlignment="1">
      <alignment vertical="center"/>
    </xf>
    <xf numFmtId="170" fontId="28" fillId="3" borderId="9" xfId="0" applyNumberFormat="1" applyFont="1" applyFill="1" applyBorder="1" applyAlignment="1">
      <alignment horizontal="right" vertical="center"/>
    </xf>
    <xf numFmtId="0" fontId="47" fillId="2" borderId="0" xfId="0" applyFont="1" applyFill="1"/>
    <xf numFmtId="0" fontId="47" fillId="2" borderId="0" xfId="0" applyFont="1" applyFill="1" applyAlignment="1">
      <alignment horizontal="right" vertical="center" wrapText="1"/>
    </xf>
    <xf numFmtId="170" fontId="47" fillId="2" borderId="0" xfId="0" applyNumberFormat="1" applyFont="1" applyFill="1" applyAlignment="1">
      <alignment horizontal="right" vertical="center"/>
    </xf>
    <xf numFmtId="0" fontId="24" fillId="2" borderId="0" xfId="0" applyFont="1" applyFill="1" applyAlignment="1">
      <alignment horizontal="left" vertical="center" wrapText="1" indent="3"/>
    </xf>
    <xf numFmtId="170" fontId="24" fillId="2" borderId="0" xfId="0" applyNumberFormat="1"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24" fillId="2" borderId="0" xfId="0" applyFont="1" applyFill="1" applyAlignment="1">
      <alignment horizontal="left" vertical="center" wrapText="1" indent="2"/>
    </xf>
    <xf numFmtId="170" fontId="44" fillId="80" borderId="0" xfId="0" applyNumberFormat="1" applyFont="1" applyFill="1" applyAlignment="1">
      <alignment vertical="center" wrapText="1"/>
    </xf>
    <xf numFmtId="170" fontId="44" fillId="80" borderId="9" xfId="0" applyNumberFormat="1" applyFont="1" applyFill="1" applyBorder="1" applyAlignment="1">
      <alignment vertical="center" wrapText="1"/>
    </xf>
    <xf numFmtId="170" fontId="174" fillId="80" borderId="0" xfId="0" applyNumberFormat="1" applyFont="1" applyFill="1" applyAlignment="1">
      <alignment vertical="center" wrapText="1"/>
    </xf>
    <xf numFmtId="0" fontId="24" fillId="0" borderId="0" xfId="0" applyFont="1" applyAlignment="1">
      <alignment vertical="center" wrapText="1"/>
    </xf>
    <xf numFmtId="0" fontId="24" fillId="2" borderId="0" xfId="0" applyFont="1" applyFill="1" applyAlignment="1">
      <alignment vertical="center"/>
    </xf>
    <xf numFmtId="0" fontId="24" fillId="0" borderId="0" xfId="0" applyFont="1" applyAlignment="1">
      <alignment vertical="center"/>
    </xf>
    <xf numFmtId="184" fontId="24" fillId="2" borderId="0" xfId="0" applyNumberFormat="1" applyFont="1" applyFill="1" applyAlignment="1">
      <alignment vertical="center"/>
    </xf>
    <xf numFmtId="184" fontId="28" fillId="3" borderId="9" xfId="0" applyNumberFormat="1" applyFont="1" applyFill="1" applyBorder="1" applyAlignment="1">
      <alignment horizontal="right" vertical="center"/>
    </xf>
    <xf numFmtId="181" fontId="174" fillId="80" borderId="0" xfId="0" applyNumberFormat="1" applyFont="1" applyFill="1" applyAlignment="1">
      <alignment vertical="center" wrapText="1"/>
    </xf>
    <xf numFmtId="0" fontId="218" fillId="0" borderId="0" xfId="0" applyFont="1" applyAlignment="1">
      <alignment horizontal="right" vertical="center"/>
    </xf>
    <xf numFmtId="0" fontId="178" fillId="0" borderId="0" xfId="0" applyFont="1"/>
    <xf numFmtId="170" fontId="47" fillId="0" borderId="0" xfId="0" applyNumberFormat="1" applyFont="1" applyAlignment="1">
      <alignment vertical="center"/>
    </xf>
    <xf numFmtId="170" fontId="47" fillId="0" borderId="0" xfId="0" applyNumberFormat="1" applyFont="1" applyAlignment="1">
      <alignment horizontal="right" vertical="center"/>
    </xf>
    <xf numFmtId="0" fontId="189" fillId="75" borderId="93" xfId="0" applyFont="1" applyFill="1" applyBorder="1" applyAlignment="1">
      <alignment horizontal="left" vertical="center" wrapText="1"/>
    </xf>
    <xf numFmtId="0" fontId="12" fillId="2" borderId="94" xfId="0" applyFont="1" applyFill="1" applyBorder="1" applyAlignment="1">
      <alignment vertical="center" wrapText="1"/>
    </xf>
    <xf numFmtId="0" fontId="24" fillId="2" borderId="95" xfId="0" applyFont="1" applyFill="1" applyBorder="1" applyAlignment="1">
      <alignment horizontal="left" vertical="center" wrapText="1" indent="4"/>
    </xf>
    <xf numFmtId="0" fontId="12" fillId="2" borderId="96" xfId="0" applyFont="1" applyFill="1" applyBorder="1" applyAlignment="1">
      <alignment vertical="center" wrapText="1"/>
    </xf>
    <xf numFmtId="170" fontId="174" fillId="80" borderId="97" xfId="0" applyNumberFormat="1" applyFont="1" applyFill="1" applyBorder="1" applyAlignment="1">
      <alignment horizontal="left" vertical="center" wrapText="1" indent="4"/>
    </xf>
    <xf numFmtId="0" fontId="47" fillId="2" borderId="95" xfId="0" applyFont="1" applyFill="1" applyBorder="1" applyAlignment="1">
      <alignment horizontal="left" vertical="center" wrapText="1" indent="4"/>
    </xf>
    <xf numFmtId="169" fontId="12" fillId="2" borderId="96" xfId="0" applyNumberFormat="1" applyFont="1" applyFill="1" applyBorder="1" applyAlignment="1">
      <alignment vertical="center" wrapText="1"/>
    </xf>
    <xf numFmtId="170" fontId="43" fillId="80" borderId="71" xfId="0" applyNumberFormat="1" applyFont="1" applyFill="1" applyBorder="1" applyAlignment="1">
      <alignment vertical="center" wrapText="1"/>
    </xf>
    <xf numFmtId="170" fontId="43" fillId="80" borderId="66" xfId="0" applyNumberFormat="1" applyFont="1" applyFill="1" applyBorder="1" applyAlignment="1">
      <alignment vertical="center" wrapText="1"/>
    </xf>
    <xf numFmtId="169" fontId="43" fillId="80" borderId="66" xfId="0" applyNumberFormat="1" applyFont="1" applyFill="1" applyBorder="1" applyAlignment="1">
      <alignment vertical="center" wrapText="1"/>
    </xf>
    <xf numFmtId="0" fontId="190" fillId="75" borderId="99" xfId="0" applyFont="1" applyFill="1" applyBorder="1" applyAlignment="1">
      <alignment horizontal="right" vertical="center"/>
    </xf>
    <xf numFmtId="170" fontId="12" fillId="2" borderId="100" xfId="0" applyNumberFormat="1" applyFont="1" applyFill="1" applyBorder="1" applyAlignment="1">
      <alignment vertical="center"/>
    </xf>
    <xf numFmtId="170" fontId="43" fillId="80" borderId="101" xfId="0" applyNumberFormat="1" applyFont="1" applyFill="1" applyBorder="1" applyAlignment="1">
      <alignment vertical="center" wrapText="1"/>
    </xf>
    <xf numFmtId="170" fontId="24" fillId="2" borderId="102" xfId="0" applyNumberFormat="1" applyFont="1" applyFill="1" applyBorder="1" applyAlignment="1">
      <alignment vertical="center"/>
    </xf>
    <xf numFmtId="170" fontId="174" fillId="80" borderId="97" xfId="0" applyNumberFormat="1" applyFont="1" applyFill="1" applyBorder="1" applyAlignment="1">
      <alignment vertical="center" wrapText="1"/>
    </xf>
    <xf numFmtId="184" fontId="24" fillId="2" borderId="102" xfId="0" applyNumberFormat="1" applyFont="1" applyFill="1" applyBorder="1" applyAlignment="1">
      <alignment vertical="center"/>
    </xf>
    <xf numFmtId="170" fontId="12" fillId="2" borderId="103" xfId="0" applyNumberFormat="1" applyFont="1" applyFill="1" applyBorder="1" applyAlignment="1">
      <alignment vertical="center"/>
    </xf>
    <xf numFmtId="170" fontId="43" fillId="80" borderId="104" xfId="0" applyNumberFormat="1" applyFont="1" applyFill="1" applyBorder="1" applyAlignment="1">
      <alignment vertical="center" wrapText="1"/>
    </xf>
    <xf numFmtId="170" fontId="44" fillId="80" borderId="102" xfId="0" applyNumberFormat="1" applyFont="1" applyFill="1" applyBorder="1" applyAlignment="1">
      <alignment vertical="center" wrapText="1"/>
    </xf>
    <xf numFmtId="170" fontId="44" fillId="80" borderId="97" xfId="0" applyNumberFormat="1" applyFont="1" applyFill="1" applyBorder="1" applyAlignment="1">
      <alignment vertical="center" wrapText="1"/>
    </xf>
    <xf numFmtId="170" fontId="47" fillId="2" borderId="102" xfId="0" applyNumberFormat="1" applyFont="1" applyFill="1" applyBorder="1" applyAlignment="1">
      <alignment vertical="center"/>
    </xf>
    <xf numFmtId="170" fontId="47" fillId="2" borderId="102" xfId="0" applyNumberFormat="1" applyFont="1" applyFill="1" applyBorder="1" applyAlignment="1">
      <alignment horizontal="right" vertical="center"/>
    </xf>
    <xf numFmtId="169" fontId="12" fillId="2" borderId="103" xfId="0" applyNumberFormat="1" applyFont="1" applyFill="1" applyBorder="1" applyAlignment="1">
      <alignment vertical="center"/>
    </xf>
    <xf numFmtId="169" fontId="43" fillId="80" borderId="104" xfId="0" applyNumberFormat="1" applyFont="1" applyFill="1" applyBorder="1" applyAlignment="1">
      <alignment vertical="center" wrapText="1"/>
    </xf>
    <xf numFmtId="173" fontId="174" fillId="80" borderId="97" xfId="0" applyNumberFormat="1" applyFont="1" applyFill="1" applyBorder="1" applyAlignment="1">
      <alignment vertical="center" wrapText="1"/>
    </xf>
    <xf numFmtId="170" fontId="174" fillId="80" borderId="102" xfId="0" applyNumberFormat="1" applyFont="1" applyFill="1" applyBorder="1" applyAlignment="1">
      <alignment vertical="center" wrapText="1"/>
    </xf>
    <xf numFmtId="0" fontId="12" fillId="2" borderId="98" xfId="0" applyFont="1" applyFill="1" applyBorder="1" applyAlignment="1">
      <alignment vertical="center" wrapText="1"/>
    </xf>
    <xf numFmtId="0" fontId="24" fillId="2" borderId="105" xfId="0" applyFont="1" applyFill="1" applyBorder="1" applyAlignment="1">
      <alignment horizontal="left" vertical="center" wrapText="1" indent="3"/>
    </xf>
    <xf numFmtId="0" fontId="12" fillId="2" borderId="106" xfId="0" applyFont="1" applyFill="1" applyBorder="1" applyAlignment="1">
      <alignment vertical="center" wrapText="1"/>
    </xf>
    <xf numFmtId="170" fontId="174" fillId="80" borderId="105" xfId="0" applyNumberFormat="1" applyFont="1" applyFill="1" applyBorder="1" applyAlignment="1">
      <alignment horizontal="left" vertical="center" wrapText="1" indent="4"/>
    </xf>
    <xf numFmtId="0" fontId="47" fillId="2" borderId="105" xfId="0" applyFont="1" applyFill="1" applyBorder="1" applyAlignment="1">
      <alignment horizontal="left" vertical="center" wrapText="1" indent="3"/>
    </xf>
    <xf numFmtId="169" fontId="12" fillId="2" borderId="106" xfId="0" applyNumberFormat="1" applyFont="1" applyFill="1" applyBorder="1" applyAlignment="1">
      <alignment vertical="center" wrapText="1"/>
    </xf>
    <xf numFmtId="0" fontId="190" fillId="75" borderId="92" xfId="0" applyFont="1" applyFill="1" applyBorder="1" applyAlignment="1">
      <alignment horizontal="right" vertical="center"/>
    </xf>
    <xf numFmtId="182" fontId="174" fillId="80" borderId="97" xfId="0" applyNumberFormat="1" applyFont="1" applyFill="1" applyBorder="1" applyAlignment="1">
      <alignment vertical="center" wrapText="1"/>
    </xf>
    <xf numFmtId="169" fontId="43" fillId="80" borderId="104" xfId="7" applyNumberFormat="1" applyFont="1" applyFill="1" applyBorder="1" applyAlignment="1">
      <alignment vertical="center" wrapText="1"/>
    </xf>
    <xf numFmtId="0" fontId="18" fillId="2" borderId="0" xfId="20233" applyFont="1" applyFill="1" applyAlignment="1">
      <alignment vertical="center"/>
    </xf>
    <xf numFmtId="0" fontId="25" fillId="2" borderId="0" xfId="20233" applyFont="1" applyFill="1" applyAlignment="1">
      <alignment vertical="center"/>
    </xf>
    <xf numFmtId="0" fontId="25" fillId="0" borderId="0" xfId="20233" applyFont="1" applyAlignment="1">
      <alignment vertical="center"/>
    </xf>
    <xf numFmtId="4" fontId="6" fillId="2" borderId="0" xfId="20233" applyNumberFormat="1" applyFont="1" applyFill="1" applyAlignment="1">
      <alignment vertical="center"/>
    </xf>
    <xf numFmtId="0" fontId="6" fillId="2" borderId="0" xfId="20233" applyFont="1" applyFill="1" applyAlignment="1">
      <alignment vertical="center"/>
    </xf>
    <xf numFmtId="0" fontId="192" fillId="75" borderId="107" xfId="20233" applyFont="1" applyFill="1" applyBorder="1" applyAlignment="1">
      <alignment vertical="center" wrapText="1"/>
    </xf>
    <xf numFmtId="0" fontId="208" fillId="0" borderId="0" xfId="20233" applyFont="1" applyAlignment="1">
      <alignment vertical="center"/>
    </xf>
    <xf numFmtId="0" fontId="192" fillId="75" borderId="0" xfId="20233" applyFont="1" applyFill="1" applyAlignment="1">
      <alignment horizontal="center" vertical="center"/>
    </xf>
    <xf numFmtId="0" fontId="192" fillId="75" borderId="108" xfId="20233" applyFont="1" applyFill="1" applyBorder="1" applyAlignment="1">
      <alignment horizontal="center" vertical="center"/>
    </xf>
    <xf numFmtId="0" fontId="192" fillId="75" borderId="109" xfId="20233" applyFont="1" applyFill="1" applyBorder="1" applyAlignment="1">
      <alignment horizontal="center" vertical="center"/>
    </xf>
    <xf numFmtId="0" fontId="192" fillId="86" borderId="107" xfId="20233" applyFont="1" applyFill="1" applyBorder="1" applyAlignment="1">
      <alignment vertical="center" wrapText="1"/>
    </xf>
    <xf numFmtId="169" fontId="219" fillId="86" borderId="0" xfId="29659" applyNumberFormat="1" applyFont="1" applyFill="1" applyBorder="1" applyAlignment="1">
      <alignment horizontal="right" vertical="center" wrapText="1"/>
    </xf>
    <xf numFmtId="169" fontId="219" fillId="86" borderId="108" xfId="29659" applyNumberFormat="1" applyFont="1" applyFill="1" applyBorder="1" applyAlignment="1">
      <alignment horizontal="right" vertical="center" wrapText="1"/>
    </xf>
    <xf numFmtId="169" fontId="219" fillId="86" borderId="111" xfId="29659" applyNumberFormat="1" applyFont="1" applyFill="1" applyBorder="1" applyAlignment="1">
      <alignment horizontal="right" vertical="center" wrapText="1"/>
    </xf>
    <xf numFmtId="0" fontId="220" fillId="2" borderId="0" xfId="20233" applyFont="1" applyFill="1" applyAlignment="1">
      <alignment vertical="center"/>
    </xf>
    <xf numFmtId="0" fontId="15" fillId="0" borderId="107" xfId="20233" applyFont="1" applyBorder="1" applyAlignment="1">
      <alignment horizontal="left" vertical="center" wrapText="1"/>
    </xf>
    <xf numFmtId="0" fontId="15" fillId="0" borderId="107" xfId="20233" applyFont="1" applyBorder="1" applyAlignment="1">
      <alignment horizontal="left" vertical="center"/>
    </xf>
    <xf numFmtId="3" fontId="34" fillId="0" borderId="0" xfId="20233" applyNumberFormat="1" applyFont="1" applyAlignment="1">
      <alignment horizontal="right" vertical="center" wrapText="1"/>
    </xf>
    <xf numFmtId="3" fontId="34" fillId="0" borderId="108" xfId="20233" applyNumberFormat="1" applyFont="1" applyBorder="1" applyAlignment="1">
      <alignment horizontal="right" vertical="center" wrapText="1"/>
    </xf>
    <xf numFmtId="3" fontId="34" fillId="0" borderId="111" xfId="20233" applyNumberFormat="1" applyFont="1" applyBorder="1" applyAlignment="1">
      <alignment horizontal="right" vertical="center" wrapText="1"/>
    </xf>
    <xf numFmtId="3" fontId="6" fillId="0" borderId="0" xfId="20233" applyNumberFormat="1" applyFont="1" applyAlignment="1">
      <alignment vertical="center"/>
    </xf>
    <xf numFmtId="0" fontId="6" fillId="0" borderId="0" xfId="20233" applyFont="1" applyAlignment="1">
      <alignment vertical="center"/>
    </xf>
    <xf numFmtId="0" fontId="35" fillId="0" borderId="107" xfId="20233" applyFont="1" applyBorder="1" applyAlignment="1">
      <alignment horizontal="left" vertical="center" wrapText="1" indent="1"/>
    </xf>
    <xf numFmtId="216" fontId="6" fillId="0" borderId="0" xfId="42855" applyNumberFormat="1" applyFont="1" applyFill="1" applyBorder="1" applyAlignment="1">
      <alignment vertical="center"/>
    </xf>
    <xf numFmtId="216" fontId="6" fillId="0" borderId="111" xfId="42855" applyNumberFormat="1" applyFont="1" applyFill="1" applyBorder="1" applyAlignment="1">
      <alignment vertical="center"/>
    </xf>
    <xf numFmtId="216" fontId="6" fillId="0" borderId="110" xfId="42855" applyNumberFormat="1" applyFont="1" applyFill="1" applyBorder="1" applyAlignment="1">
      <alignment vertical="center"/>
    </xf>
    <xf numFmtId="0" fontId="221" fillId="0" borderId="0" xfId="20233" applyFont="1" applyAlignment="1">
      <alignment vertical="center"/>
    </xf>
    <xf numFmtId="170" fontId="35" fillId="0" borderId="107" xfId="20233" applyNumberFormat="1" applyFont="1" applyBorder="1" applyAlignment="1">
      <alignment horizontal="left" vertical="center" wrapText="1"/>
    </xf>
    <xf numFmtId="170" fontId="35" fillId="0" borderId="107" xfId="20233" applyNumberFormat="1" applyFont="1" applyBorder="1" applyAlignment="1">
      <alignment horizontal="left" vertical="center"/>
    </xf>
    <xf numFmtId="170" fontId="17" fillId="0" borderId="0" xfId="20233" applyNumberFormat="1" applyFont="1" applyAlignment="1">
      <alignment horizontal="right" vertical="center" wrapText="1"/>
    </xf>
    <xf numFmtId="170" fontId="17" fillId="0" borderId="108" xfId="20233" applyNumberFormat="1" applyFont="1" applyBorder="1" applyAlignment="1">
      <alignment horizontal="right" vertical="center" wrapText="1"/>
    </xf>
    <xf numFmtId="170" fontId="17" fillId="0" borderId="111" xfId="20233" applyNumberFormat="1" applyFont="1" applyBorder="1" applyAlignment="1">
      <alignment horizontal="right" vertical="center" wrapText="1"/>
    </xf>
    <xf numFmtId="170" fontId="6" fillId="0" borderId="0" xfId="20233" applyNumberFormat="1" applyFont="1" applyAlignment="1">
      <alignment vertical="center"/>
    </xf>
    <xf numFmtId="0" fontId="35" fillId="0" borderId="107" xfId="20233" applyFont="1" applyBorder="1" applyAlignment="1">
      <alignment horizontal="left" vertical="center" wrapText="1"/>
    </xf>
    <xf numFmtId="169" fontId="17" fillId="0" borderId="0" xfId="20233" applyNumberFormat="1" applyFont="1" applyAlignment="1">
      <alignment horizontal="right" vertical="center" wrapText="1"/>
    </xf>
    <xf numFmtId="169" fontId="17" fillId="0" borderId="108" xfId="20233" applyNumberFormat="1" applyFont="1" applyBorder="1" applyAlignment="1">
      <alignment horizontal="right" vertical="center" wrapText="1"/>
    </xf>
    <xf numFmtId="169" fontId="17" fillId="0" borderId="111" xfId="20233" applyNumberFormat="1" applyFont="1" applyBorder="1" applyAlignment="1">
      <alignment horizontal="right" vertical="center" wrapText="1"/>
    </xf>
    <xf numFmtId="2" fontId="17" fillId="0" borderId="0" xfId="20233" applyNumberFormat="1" applyFont="1" applyAlignment="1">
      <alignment horizontal="right" vertical="center" wrapText="1"/>
    </xf>
    <xf numFmtId="2" fontId="17" fillId="0" borderId="108" xfId="20233" applyNumberFormat="1" applyFont="1" applyBorder="1" applyAlignment="1">
      <alignment horizontal="right" vertical="center" wrapText="1"/>
    </xf>
    <xf numFmtId="2" fontId="17" fillId="0" borderId="111" xfId="20233" applyNumberFormat="1" applyFont="1" applyBorder="1" applyAlignment="1">
      <alignment horizontal="right" vertical="center" wrapText="1"/>
    </xf>
    <xf numFmtId="3" fontId="15" fillId="0" borderId="107" xfId="20233" applyNumberFormat="1" applyFont="1" applyBorder="1" applyAlignment="1">
      <alignment horizontal="left" vertical="center" wrapText="1"/>
    </xf>
    <xf numFmtId="3" fontId="15" fillId="0" borderId="107" xfId="20233" applyNumberFormat="1" applyFont="1" applyBorder="1" applyAlignment="1">
      <alignment horizontal="left" vertical="center"/>
    </xf>
    <xf numFmtId="3" fontId="35" fillId="0" borderId="107" xfId="20233" applyNumberFormat="1" applyFont="1" applyBorder="1" applyAlignment="1">
      <alignment horizontal="left" vertical="center" wrapText="1" indent="1"/>
    </xf>
    <xf numFmtId="3" fontId="17" fillId="0" borderId="0" xfId="20233" applyNumberFormat="1" applyFont="1" applyAlignment="1">
      <alignment horizontal="right" vertical="center" wrapText="1"/>
    </xf>
    <xf numFmtId="3" fontId="17" fillId="0" borderId="108" xfId="20233" applyNumberFormat="1" applyFont="1" applyBorder="1" applyAlignment="1">
      <alignment horizontal="right" vertical="center" wrapText="1"/>
    </xf>
    <xf numFmtId="3" fontId="17" fillId="0" borderId="111" xfId="20233" applyNumberFormat="1" applyFont="1" applyBorder="1" applyAlignment="1">
      <alignment horizontal="right" vertical="center" wrapText="1"/>
    </xf>
    <xf numFmtId="170" fontId="17" fillId="0" borderId="112" xfId="20233" applyNumberFormat="1" applyFont="1" applyBorder="1" applyAlignment="1">
      <alignment horizontal="left" vertical="center" wrapText="1"/>
    </xf>
    <xf numFmtId="170" fontId="35" fillId="0" borderId="112" xfId="20233" applyNumberFormat="1" applyFont="1" applyBorder="1" applyAlignment="1">
      <alignment horizontal="left" vertical="center"/>
    </xf>
    <xf numFmtId="170" fontId="17" fillId="0" borderId="113" xfId="20233" applyNumberFormat="1" applyFont="1" applyBorder="1" applyAlignment="1">
      <alignment horizontal="right" vertical="center" wrapText="1"/>
    </xf>
    <xf numFmtId="170" fontId="17" fillId="0" borderId="114" xfId="20233" applyNumberFormat="1" applyFont="1" applyBorder="1" applyAlignment="1">
      <alignment horizontal="right" vertical="center" wrapText="1"/>
    </xf>
    <xf numFmtId="170" fontId="17" fillId="0" borderId="115" xfId="20233" applyNumberFormat="1" applyFont="1" applyBorder="1" applyAlignment="1">
      <alignment horizontal="right" vertical="center" wrapText="1"/>
    </xf>
    <xf numFmtId="170" fontId="35" fillId="0" borderId="116" xfId="20233" applyNumberFormat="1" applyFont="1" applyBorder="1" applyAlignment="1">
      <alignment horizontal="left" vertical="center" wrapText="1"/>
    </xf>
    <xf numFmtId="170" fontId="35" fillId="0" borderId="116" xfId="20233" applyNumberFormat="1" applyFont="1" applyBorder="1" applyAlignment="1">
      <alignment horizontal="left" vertical="center"/>
    </xf>
    <xf numFmtId="3" fontId="17" fillId="0" borderId="117" xfId="20233" applyNumberFormat="1" applyFont="1" applyBorder="1" applyAlignment="1">
      <alignment horizontal="right" vertical="center" wrapText="1"/>
    </xf>
    <xf numFmtId="3" fontId="17" fillId="0" borderId="118" xfId="20233" applyNumberFormat="1" applyFont="1" applyBorder="1" applyAlignment="1">
      <alignment horizontal="right" vertical="center" wrapText="1"/>
    </xf>
    <xf numFmtId="3" fontId="17" fillId="0" borderId="119" xfId="20233" applyNumberFormat="1" applyFont="1" applyBorder="1" applyAlignment="1">
      <alignment horizontal="right" vertical="center" wrapText="1"/>
    </xf>
    <xf numFmtId="0" fontId="45" fillId="0" borderId="0" xfId="20233" applyFont="1" applyAlignment="1">
      <alignment horizontal="left" vertical="top" wrapText="1"/>
    </xf>
    <xf numFmtId="0" fontId="6" fillId="0" borderId="0" xfId="20233" applyFont="1" applyAlignment="1">
      <alignment horizontal="left" vertical="top" wrapText="1"/>
    </xf>
    <xf numFmtId="170" fontId="6" fillId="0" borderId="0" xfId="20233" applyNumberFormat="1" applyFont="1" applyAlignment="1">
      <alignment vertical="top"/>
    </xf>
    <xf numFmtId="0" fontId="6" fillId="0" borderId="0" xfId="20233" applyFont="1" applyAlignment="1">
      <alignment vertical="top"/>
    </xf>
    <xf numFmtId="3" fontId="6" fillId="0" borderId="0" xfId="26619" applyNumberFormat="1" applyFont="1" applyFill="1" applyBorder="1" applyAlignment="1">
      <alignment vertical="center"/>
    </xf>
    <xf numFmtId="0" fontId="45" fillId="0" borderId="0" xfId="20233" applyFont="1" applyAlignment="1">
      <alignment vertical="top" wrapText="1"/>
    </xf>
    <xf numFmtId="0" fontId="223" fillId="0" borderId="0" xfId="20233" applyFont="1" applyAlignment="1">
      <alignment horizontal="left" vertical="top" wrapText="1"/>
    </xf>
    <xf numFmtId="0" fontId="180" fillId="2" borderId="51" xfId="0" applyFont="1" applyFill="1" applyBorder="1" applyAlignment="1">
      <alignment vertical="center" wrapText="1"/>
    </xf>
    <xf numFmtId="3" fontId="46" fillId="0" borderId="52" xfId="0" applyNumberFormat="1" applyFont="1" applyBorder="1" applyAlignment="1">
      <alignment horizontal="right" vertical="center" wrapText="1"/>
    </xf>
    <xf numFmtId="217" fontId="28" fillId="2" borderId="9" xfId="0" applyNumberFormat="1" applyFont="1" applyFill="1" applyBorder="1" applyAlignment="1">
      <alignment horizontal="right" vertical="center"/>
    </xf>
    <xf numFmtId="181" fontId="30" fillId="2" borderId="9" xfId="0" applyNumberFormat="1" applyFont="1" applyFill="1" applyBorder="1" applyAlignment="1">
      <alignment vertical="center"/>
    </xf>
    <xf numFmtId="181" fontId="30" fillId="0" borderId="9" xfId="0" applyNumberFormat="1" applyFont="1" applyBorder="1" applyAlignment="1">
      <alignment vertical="center"/>
    </xf>
    <xf numFmtId="0" fontId="190" fillId="75" borderId="102" xfId="0" applyFont="1" applyFill="1" applyBorder="1" applyAlignment="1">
      <alignment horizontal="center" vertical="center" wrapText="1"/>
    </xf>
    <xf numFmtId="0" fontId="190" fillId="75" borderId="97" xfId="0" applyFont="1" applyFill="1" applyBorder="1" applyAlignment="1">
      <alignment horizontal="center" vertical="center" wrapText="1"/>
    </xf>
    <xf numFmtId="0" fontId="190" fillId="75" borderId="120" xfId="0" applyFont="1" applyFill="1" applyBorder="1" applyAlignment="1">
      <alignment horizontal="center" vertical="center" wrapText="1"/>
    </xf>
    <xf numFmtId="0" fontId="190" fillId="75" borderId="121" xfId="0" applyFont="1" applyFill="1" applyBorder="1" applyAlignment="1">
      <alignment horizontal="center" vertical="center" wrapText="1"/>
    </xf>
    <xf numFmtId="182" fontId="20" fillId="0" borderId="102" xfId="0" applyNumberFormat="1" applyFont="1" applyBorder="1" applyAlignment="1">
      <alignment vertical="center"/>
    </xf>
    <xf numFmtId="182" fontId="20" fillId="0" borderId="97" xfId="0" applyNumberFormat="1" applyFont="1" applyBorder="1" applyAlignment="1">
      <alignment vertical="center"/>
    </xf>
    <xf numFmtId="182" fontId="20" fillId="0" borderId="103" xfId="0" applyNumberFormat="1" applyFont="1" applyBorder="1" applyAlignment="1">
      <alignment vertical="center"/>
    </xf>
    <xf numFmtId="182" fontId="20" fillId="0" borderId="104" xfId="0" applyNumberFormat="1" applyFont="1" applyBorder="1" applyAlignment="1">
      <alignment vertical="center"/>
    </xf>
    <xf numFmtId="182" fontId="9" fillId="0" borderId="102" xfId="0" applyNumberFormat="1" applyFont="1" applyBorder="1" applyAlignment="1">
      <alignment vertical="center"/>
    </xf>
    <xf numFmtId="182" fontId="9" fillId="0" borderId="97" xfId="0" applyNumberFormat="1" applyFont="1" applyBorder="1" applyAlignment="1">
      <alignment vertical="center"/>
    </xf>
    <xf numFmtId="182" fontId="22" fillId="0" borderId="102" xfId="0" applyNumberFormat="1" applyFont="1" applyBorder="1" applyAlignment="1">
      <alignment horizontal="right" vertical="center"/>
    </xf>
    <xf numFmtId="182" fontId="22" fillId="0" borderId="97" xfId="0" applyNumberFormat="1" applyFont="1" applyBorder="1" applyAlignment="1">
      <alignment horizontal="right" vertical="center"/>
    </xf>
    <xf numFmtId="182" fontId="9" fillId="0" borderId="97" xfId="0" applyNumberFormat="1" applyFont="1" applyBorder="1" applyAlignment="1">
      <alignment horizontal="right" vertical="center"/>
    </xf>
    <xf numFmtId="177" fontId="189" fillId="83" borderId="102" xfId="0" applyNumberFormat="1" applyFont="1" applyFill="1" applyBorder="1" applyAlignment="1">
      <alignment vertical="center"/>
    </xf>
    <xf numFmtId="177" fontId="189" fillId="83" borderId="97" xfId="0" applyNumberFormat="1" applyFont="1" applyFill="1" applyBorder="1" applyAlignment="1">
      <alignment vertical="center"/>
    </xf>
    <xf numFmtId="182" fontId="28" fillId="0" borderId="102" xfId="0" applyNumberFormat="1" applyFont="1" applyBorder="1" applyAlignment="1">
      <alignment vertical="center"/>
    </xf>
    <xf numFmtId="182" fontId="28" fillId="0" borderId="97" xfId="0" applyNumberFormat="1" applyFont="1" applyBorder="1" applyAlignment="1">
      <alignment vertical="center"/>
    </xf>
    <xf numFmtId="0" fontId="171" fillId="0" borderId="0" xfId="0" applyFont="1"/>
    <xf numFmtId="167" fontId="171" fillId="0" borderId="0" xfId="0" applyNumberFormat="1" applyFont="1"/>
    <xf numFmtId="182" fontId="20" fillId="0" borderId="122" xfId="0" applyNumberFormat="1" applyFont="1" applyBorder="1" applyAlignment="1">
      <alignment vertical="center"/>
    </xf>
    <xf numFmtId="182" fontId="20" fillId="0" borderId="123" xfId="0" applyNumberFormat="1" applyFont="1" applyBorder="1" applyAlignment="1">
      <alignment vertical="center"/>
    </xf>
    <xf numFmtId="0" fontId="192" fillId="75" borderId="105" xfId="0" applyFont="1" applyFill="1" applyBorder="1" applyAlignment="1">
      <alignment vertical="center" wrapText="1"/>
    </xf>
    <xf numFmtId="0" fontId="192" fillId="75" borderId="124" xfId="0" applyFont="1" applyFill="1" applyBorder="1" applyAlignment="1">
      <alignment vertical="center" wrapText="1"/>
    </xf>
    <xf numFmtId="0" fontId="19" fillId="0" borderId="105" xfId="0" applyFont="1" applyBorder="1" applyAlignment="1">
      <alignment vertical="center" wrapText="1"/>
    </xf>
    <xf numFmtId="0" fontId="19" fillId="0" borderId="106" xfId="0" applyFont="1" applyBorder="1" applyAlignment="1">
      <alignment vertical="center" wrapText="1"/>
    </xf>
    <xf numFmtId="0" fontId="9" fillId="0" borderId="105" xfId="0" applyFont="1" applyBorder="1" applyAlignment="1">
      <alignment vertical="center" wrapText="1"/>
    </xf>
    <xf numFmtId="0" fontId="28" fillId="0" borderId="105" xfId="0" applyFont="1" applyBorder="1" applyAlignment="1">
      <alignment vertical="center" wrapText="1"/>
    </xf>
    <xf numFmtId="0" fontId="189" fillId="83" borderId="105" xfId="0" applyFont="1" applyFill="1" applyBorder="1" applyAlignment="1">
      <alignment vertical="center" wrapText="1"/>
    </xf>
    <xf numFmtId="0" fontId="20" fillId="0" borderId="125" xfId="0" applyFont="1" applyBorder="1" applyAlignment="1">
      <alignment vertical="center" wrapText="1"/>
    </xf>
    <xf numFmtId="183" fontId="9" fillId="0" borderId="102" xfId="0" applyNumberFormat="1" applyFont="1" applyBorder="1" applyAlignment="1">
      <alignment vertical="center"/>
    </xf>
    <xf numFmtId="183" fontId="9" fillId="0" borderId="97" xfId="0" applyNumberFormat="1" applyFont="1" applyBorder="1" applyAlignment="1">
      <alignment vertical="center"/>
    </xf>
    <xf numFmtId="183" fontId="28" fillId="0" borderId="102" xfId="0" applyNumberFormat="1" applyFont="1" applyBorder="1" applyAlignment="1">
      <alignment vertical="center"/>
    </xf>
    <xf numFmtId="183" fontId="28" fillId="0" borderId="97" xfId="0" applyNumberFormat="1" applyFont="1" applyBorder="1" applyAlignment="1">
      <alignment vertical="center"/>
    </xf>
    <xf numFmtId="169" fontId="9" fillId="0" borderId="0" xfId="7" applyNumberFormat="1" applyFont="1" applyFill="1" applyAlignment="1">
      <alignment vertical="center"/>
    </xf>
    <xf numFmtId="169" fontId="219" fillId="86" borderId="109" xfId="29659" applyNumberFormat="1" applyFont="1" applyFill="1" applyBorder="1" applyAlignment="1">
      <alignment horizontal="right" vertical="center" wrapText="1"/>
    </xf>
    <xf numFmtId="3" fontId="34" fillId="0" borderId="109" xfId="20233" applyNumberFormat="1" applyFont="1" applyBorder="1" applyAlignment="1">
      <alignment horizontal="right" vertical="center" wrapText="1"/>
    </xf>
    <xf numFmtId="216" fontId="6" fillId="0" borderId="109" xfId="42855" applyNumberFormat="1" applyFont="1" applyFill="1" applyBorder="1" applyAlignment="1">
      <alignment vertical="center"/>
    </xf>
    <xf numFmtId="170" fontId="17" fillId="0" borderId="109" xfId="20233" applyNumberFormat="1" applyFont="1" applyBorder="1" applyAlignment="1">
      <alignment horizontal="right" vertical="center" wrapText="1"/>
    </xf>
    <xf numFmtId="169" fontId="17" fillId="0" borderId="109" xfId="20233" applyNumberFormat="1" applyFont="1" applyBorder="1" applyAlignment="1">
      <alignment horizontal="right" vertical="center" wrapText="1"/>
    </xf>
    <xf numFmtId="2" fontId="17" fillId="0" borderId="109" xfId="20233" applyNumberFormat="1" applyFont="1" applyBorder="1" applyAlignment="1">
      <alignment horizontal="right" vertical="center" wrapText="1"/>
    </xf>
    <xf numFmtId="3" fontId="17" fillId="0" borderId="109" xfId="20233" applyNumberFormat="1" applyFont="1" applyBorder="1" applyAlignment="1">
      <alignment horizontal="right" vertical="center" wrapText="1"/>
    </xf>
    <xf numFmtId="170" fontId="17" fillId="0" borderId="127" xfId="20233" applyNumberFormat="1" applyFont="1" applyBorder="1" applyAlignment="1">
      <alignment horizontal="right" vertical="center" wrapText="1"/>
    </xf>
    <xf numFmtId="3" fontId="17" fillId="0" borderId="126" xfId="20233" applyNumberFormat="1" applyFont="1" applyBorder="1" applyAlignment="1">
      <alignment horizontal="right" vertical="center" wrapText="1"/>
    </xf>
    <xf numFmtId="169" fontId="31" fillId="0" borderId="3" xfId="2" applyNumberFormat="1" applyFont="1" applyFill="1" applyBorder="1" applyAlignment="1">
      <alignment vertical="center" wrapText="1"/>
    </xf>
    <xf numFmtId="0" fontId="28" fillId="0" borderId="0" xfId="20233" applyFont="1" applyAlignment="1">
      <alignment vertical="center"/>
    </xf>
    <xf numFmtId="0" fontId="225" fillId="2" borderId="0" xfId="20233" applyFont="1" applyFill="1" applyAlignment="1">
      <alignment vertical="center"/>
    </xf>
    <xf numFmtId="0" fontId="45" fillId="2" borderId="0" xfId="20233" applyFont="1" applyFill="1" applyAlignment="1">
      <alignment vertical="center"/>
    </xf>
    <xf numFmtId="0" fontId="45" fillId="0" borderId="0" xfId="20233" applyFont="1" applyAlignment="1">
      <alignment vertical="center"/>
    </xf>
    <xf numFmtId="169" fontId="28" fillId="0" borderId="0" xfId="7" applyNumberFormat="1" applyFont="1" applyAlignment="1">
      <alignment vertical="center"/>
    </xf>
    <xf numFmtId="181" fontId="190" fillId="87" borderId="9" xfId="0" applyNumberFormat="1" applyFont="1" applyFill="1" applyBorder="1" applyAlignment="1">
      <alignment vertical="center" wrapText="1"/>
    </xf>
    <xf numFmtId="170" fontId="190" fillId="87" borderId="76" xfId="0" applyNumberFormat="1" applyFont="1" applyFill="1" applyBorder="1" applyAlignment="1">
      <alignment vertical="center" wrapText="1"/>
    </xf>
    <xf numFmtId="186" fontId="44" fillId="85" borderId="9" xfId="0" applyNumberFormat="1" applyFont="1" applyFill="1" applyBorder="1" applyAlignment="1">
      <alignment vertical="center" wrapText="1"/>
    </xf>
    <xf numFmtId="170" fontId="190" fillId="87" borderId="9" xfId="0" applyNumberFormat="1" applyFont="1" applyFill="1" applyBorder="1" applyAlignment="1">
      <alignment vertical="center" wrapText="1"/>
    </xf>
    <xf numFmtId="169" fontId="190" fillId="87" borderId="76" xfId="0" applyNumberFormat="1" applyFont="1" applyFill="1" applyBorder="1" applyAlignment="1">
      <alignment vertical="center" wrapText="1"/>
    </xf>
    <xf numFmtId="182" fontId="44" fillId="85" borderId="9" xfId="0" applyNumberFormat="1" applyFont="1" applyFill="1" applyBorder="1" applyAlignment="1">
      <alignment vertical="center" wrapText="1"/>
    </xf>
    <xf numFmtId="169" fontId="190" fillId="87" borderId="76" xfId="7" applyNumberFormat="1" applyFont="1" applyFill="1" applyBorder="1" applyAlignment="1">
      <alignment vertical="center" wrapText="1"/>
    </xf>
    <xf numFmtId="0" fontId="43" fillId="2" borderId="0" xfId="0" applyFont="1" applyFill="1"/>
    <xf numFmtId="170" fontId="44" fillId="85" borderId="9" xfId="0" applyNumberFormat="1" applyFont="1" applyFill="1" applyBorder="1" applyAlignment="1">
      <alignment vertical="center" wrapText="1"/>
    </xf>
    <xf numFmtId="169" fontId="20" fillId="2" borderId="0" xfId="7" applyNumberFormat="1" applyFont="1" applyFill="1" applyAlignment="1">
      <alignment vertical="center"/>
    </xf>
    <xf numFmtId="0" fontId="20" fillId="2" borderId="0" xfId="0" applyFont="1" applyFill="1" applyAlignment="1">
      <alignment horizontal="left" vertical="center" wrapText="1"/>
    </xf>
    <xf numFmtId="0" fontId="20" fillId="2" borderId="0" xfId="0" applyFont="1" applyFill="1" applyAlignment="1">
      <alignment vertical="center"/>
    </xf>
    <xf numFmtId="0" fontId="20" fillId="0" borderId="0" xfId="0" applyFont="1" applyAlignment="1">
      <alignment vertical="center"/>
    </xf>
    <xf numFmtId="0" fontId="169" fillId="2" borderId="0" xfId="0" applyFont="1" applyFill="1"/>
    <xf numFmtId="169" fontId="31" fillId="2" borderId="0" xfId="7" applyNumberFormat="1" applyFont="1" applyFill="1" applyAlignment="1">
      <alignment vertical="center"/>
    </xf>
    <xf numFmtId="0" fontId="31" fillId="2" borderId="0" xfId="0" applyFont="1" applyFill="1" applyAlignment="1">
      <alignment horizontal="left" vertical="center" wrapText="1"/>
    </xf>
    <xf numFmtId="0" fontId="31" fillId="2" borderId="0" xfId="0" applyFont="1" applyFill="1" applyAlignment="1">
      <alignment vertical="center"/>
    </xf>
    <xf numFmtId="0" fontId="31" fillId="2" borderId="0" xfId="0" applyFont="1" applyFill="1"/>
    <xf numFmtId="0" fontId="31" fillId="0" borderId="0" xfId="0" applyFont="1" applyAlignment="1">
      <alignment vertical="center"/>
    </xf>
    <xf numFmtId="0" fontId="190" fillId="88" borderId="83" xfId="0" applyFont="1" applyFill="1" applyBorder="1" applyAlignment="1">
      <alignment horizontal="right" vertical="center"/>
    </xf>
    <xf numFmtId="170" fontId="31" fillId="85" borderId="9" xfId="0" applyNumberFormat="1" applyFont="1" applyFill="1" applyBorder="1" applyAlignment="1">
      <alignment vertical="center" wrapText="1"/>
    </xf>
    <xf numFmtId="182" fontId="31" fillId="85" borderId="9" xfId="0" applyNumberFormat="1" applyFont="1" applyFill="1" applyBorder="1" applyAlignment="1">
      <alignment vertical="center" wrapText="1"/>
    </xf>
    <xf numFmtId="0" fontId="9" fillId="0" borderId="3" xfId="0" applyFont="1" applyBorder="1" applyAlignment="1">
      <alignment horizontal="left" vertical="center"/>
    </xf>
    <xf numFmtId="0" fontId="26" fillId="0" borderId="53" xfId="0" applyFont="1" applyBorder="1" applyAlignment="1">
      <alignment horizontal="left" vertical="center" wrapText="1"/>
    </xf>
    <xf numFmtId="170" fontId="46" fillId="2" borderId="53" xfId="0" applyNumberFormat="1" applyFont="1" applyFill="1" applyBorder="1" applyAlignment="1">
      <alignment horizontal="right" vertical="center" wrapText="1"/>
    </xf>
    <xf numFmtId="3" fontId="46" fillId="2" borderId="53" xfId="0" applyNumberFormat="1" applyFont="1" applyFill="1" applyBorder="1" applyAlignment="1">
      <alignment horizontal="right" vertical="center" wrapText="1"/>
    </xf>
    <xf numFmtId="3" fontId="46" fillId="0" borderId="53" xfId="0" applyNumberFormat="1" applyFont="1" applyBorder="1" applyAlignment="1">
      <alignment horizontal="right" vertical="center" wrapText="1"/>
    </xf>
    <xf numFmtId="3" fontId="17" fillId="0" borderId="53" xfId="0" applyNumberFormat="1" applyFont="1" applyBorder="1" applyAlignment="1">
      <alignment horizontal="right" vertical="center" wrapText="1"/>
    </xf>
    <xf numFmtId="3" fontId="27" fillId="0" borderId="53" xfId="0" applyNumberFormat="1" applyFont="1" applyBorder="1" applyAlignment="1">
      <alignment horizontal="right" vertical="center" wrapText="1"/>
    </xf>
    <xf numFmtId="170" fontId="46" fillId="2" borderId="128" xfId="0" applyNumberFormat="1" applyFont="1" applyFill="1" applyBorder="1" applyAlignment="1">
      <alignment horizontal="right" vertical="center" wrapText="1"/>
    </xf>
    <xf numFmtId="3" fontId="46" fillId="2" borderId="128" xfId="0" applyNumberFormat="1" applyFont="1" applyFill="1" applyBorder="1" applyAlignment="1">
      <alignment horizontal="right" vertical="center" wrapText="1"/>
    </xf>
    <xf numFmtId="170" fontId="48" fillId="85" borderId="129" xfId="0" applyNumberFormat="1" applyFont="1" applyFill="1" applyBorder="1" applyAlignment="1">
      <alignment vertical="center" wrapText="1"/>
    </xf>
    <xf numFmtId="3" fontId="48" fillId="85" borderId="129" xfId="0" applyNumberFormat="1" applyFont="1" applyFill="1" applyBorder="1" applyAlignment="1">
      <alignment vertical="center" wrapText="1"/>
    </xf>
    <xf numFmtId="170" fontId="178" fillId="0" borderId="56" xfId="0" applyNumberFormat="1" applyFont="1" applyBorder="1" applyAlignment="1">
      <alignment horizontal="right" vertical="center" wrapText="1"/>
    </xf>
    <xf numFmtId="0" fontId="226" fillId="0" borderId="0" xfId="0" applyFont="1"/>
    <xf numFmtId="170" fontId="6" fillId="0" borderId="0" xfId="26619" applyNumberFormat="1" applyFont="1" applyFill="1" applyBorder="1" applyAlignment="1">
      <alignment vertical="center"/>
    </xf>
    <xf numFmtId="169" fontId="6" fillId="0" borderId="0" xfId="7" applyNumberFormat="1" applyFont="1" applyFill="1" applyBorder="1" applyAlignment="1">
      <alignment vertical="center"/>
    </xf>
    <xf numFmtId="170" fontId="9" fillId="2" borderId="0" xfId="0" applyNumberFormat="1" applyFont="1" applyFill="1"/>
    <xf numFmtId="169" fontId="9" fillId="2" borderId="0" xfId="7" applyNumberFormat="1" applyFont="1" applyFill="1"/>
    <xf numFmtId="180" fontId="45" fillId="0" borderId="0" xfId="0" applyNumberFormat="1" applyFont="1" applyAlignment="1">
      <alignment horizontal="right" vertical="center"/>
    </xf>
    <xf numFmtId="171" fontId="9" fillId="2" borderId="0" xfId="0" applyNumberFormat="1" applyFont="1" applyFill="1" applyAlignment="1">
      <alignment horizontal="right" vertical="center"/>
    </xf>
    <xf numFmtId="171" fontId="40" fillId="2" borderId="0" xfId="0" applyNumberFormat="1" applyFont="1" applyFill="1" applyAlignment="1">
      <alignment horizontal="right" vertical="center"/>
    </xf>
    <xf numFmtId="171" fontId="9" fillId="0" borderId="0" xfId="0" applyNumberFormat="1" applyFont="1"/>
    <xf numFmtId="215" fontId="208" fillId="78" borderId="0" xfId="0" applyNumberFormat="1" applyFont="1" applyFill="1"/>
    <xf numFmtId="0" fontId="190" fillId="83" borderId="131" xfId="0" applyFont="1" applyFill="1" applyBorder="1" applyAlignment="1">
      <alignment vertical="center" wrapText="1"/>
    </xf>
    <xf numFmtId="0" fontId="190" fillId="83" borderId="130" xfId="0" applyFont="1" applyFill="1" applyBorder="1" applyAlignment="1">
      <alignment vertical="center" wrapText="1"/>
    </xf>
    <xf numFmtId="171" fontId="190" fillId="83" borderId="132" xfId="0" applyNumberFormat="1" applyFont="1" applyFill="1" applyBorder="1" applyAlignment="1">
      <alignment vertical="center"/>
    </xf>
    <xf numFmtId="170" fontId="190" fillId="84" borderId="133" xfId="0" applyNumberFormat="1" applyFont="1" applyFill="1" applyBorder="1" applyAlignment="1">
      <alignment vertical="center" wrapText="1"/>
    </xf>
    <xf numFmtId="171" fontId="190" fillId="83" borderId="131" xfId="0" applyNumberFormat="1" applyFont="1" applyFill="1" applyBorder="1" applyAlignment="1">
      <alignment vertical="center"/>
    </xf>
    <xf numFmtId="171" fontId="192" fillId="83" borderId="132" xfId="0" applyNumberFormat="1" applyFont="1" applyFill="1" applyBorder="1" applyAlignment="1">
      <alignment vertical="center"/>
    </xf>
    <xf numFmtId="182" fontId="190" fillId="83" borderId="132" xfId="0" applyNumberFormat="1" applyFont="1" applyFill="1" applyBorder="1" applyAlignment="1">
      <alignment vertical="center"/>
    </xf>
    <xf numFmtId="171" fontId="208" fillId="0" borderId="132" xfId="0" applyNumberFormat="1" applyFont="1" applyBorder="1"/>
    <xf numFmtId="170" fontId="190" fillId="87" borderId="133" xfId="0" applyNumberFormat="1" applyFont="1" applyFill="1" applyBorder="1" applyAlignment="1">
      <alignment vertical="center" wrapText="1"/>
    </xf>
    <xf numFmtId="215" fontId="190" fillId="83" borderId="131" xfId="0" applyNumberFormat="1" applyFont="1" applyFill="1" applyBorder="1" applyAlignment="1">
      <alignment vertical="center" wrapText="1"/>
    </xf>
    <xf numFmtId="215" fontId="190" fillId="83" borderId="130" xfId="0" applyNumberFormat="1" applyFont="1" applyFill="1" applyBorder="1" applyAlignment="1">
      <alignment vertical="center" wrapText="1"/>
    </xf>
    <xf numFmtId="215" fontId="190" fillId="83" borderId="132" xfId="0" applyNumberFormat="1" applyFont="1" applyFill="1" applyBorder="1" applyAlignment="1">
      <alignment vertical="center"/>
    </xf>
    <xf numFmtId="215" fontId="190" fillId="84" borderId="133" xfId="0" applyNumberFormat="1" applyFont="1" applyFill="1" applyBorder="1" applyAlignment="1">
      <alignment vertical="center" wrapText="1"/>
    </xf>
    <xf numFmtId="215" fontId="190" fillId="83" borderId="131" xfId="0" applyNumberFormat="1" applyFont="1" applyFill="1" applyBorder="1" applyAlignment="1">
      <alignment vertical="center"/>
    </xf>
    <xf numFmtId="215" fontId="192" fillId="83" borderId="132" xfId="0" applyNumberFormat="1" applyFont="1" applyFill="1" applyBorder="1" applyAlignment="1">
      <alignment vertical="center"/>
    </xf>
    <xf numFmtId="215" fontId="208" fillId="0" borderId="132" xfId="0" applyNumberFormat="1" applyFont="1" applyBorder="1"/>
    <xf numFmtId="215" fontId="190" fillId="87" borderId="133" xfId="0" applyNumberFormat="1" applyFont="1" applyFill="1" applyBorder="1" applyAlignment="1">
      <alignment vertical="center" wrapText="1"/>
    </xf>
    <xf numFmtId="181" fontId="190" fillId="83" borderId="3" xfId="0" applyNumberFormat="1" applyFont="1" applyFill="1" applyBorder="1" applyAlignment="1">
      <alignment vertical="center"/>
    </xf>
    <xf numFmtId="181" fontId="190" fillId="83" borderId="0" xfId="0" applyNumberFormat="1" applyFont="1" applyFill="1" applyAlignment="1">
      <alignment vertical="center"/>
    </xf>
    <xf numFmtId="170" fontId="28" fillId="0" borderId="0" xfId="20233" applyNumberFormat="1" applyFont="1" applyAlignment="1">
      <alignment vertical="center"/>
    </xf>
    <xf numFmtId="182" fontId="174" fillId="80" borderId="0" xfId="0" applyNumberFormat="1" applyFont="1" applyFill="1" applyAlignment="1">
      <alignment vertical="center" wrapText="1"/>
    </xf>
    <xf numFmtId="169" fontId="185" fillId="0" borderId="0" xfId="7" applyNumberFormat="1" applyFont="1"/>
    <xf numFmtId="170" fontId="9" fillId="0" borderId="0" xfId="0" applyNumberFormat="1" applyFont="1"/>
    <xf numFmtId="169" fontId="9" fillId="0" borderId="0" xfId="7" applyNumberFormat="1" applyFont="1" applyFill="1"/>
    <xf numFmtId="182" fontId="20" fillId="0" borderId="134" xfId="0" applyNumberFormat="1" applyFont="1" applyBorder="1" applyAlignment="1">
      <alignment vertical="center"/>
    </xf>
    <xf numFmtId="182" fontId="44" fillId="0" borderId="66" xfId="0" applyNumberFormat="1" applyFont="1" applyBorder="1" applyAlignment="1">
      <alignment vertical="center"/>
    </xf>
    <xf numFmtId="181" fontId="28" fillId="2" borderId="0" xfId="0" applyNumberFormat="1" applyFont="1" applyFill="1" applyAlignment="1">
      <alignment vertical="center"/>
    </xf>
    <xf numFmtId="181" fontId="227" fillId="0" borderId="0" xfId="0" applyNumberFormat="1" applyFont="1" applyAlignment="1">
      <alignment vertical="center"/>
    </xf>
    <xf numFmtId="177" fontId="169" fillId="0" borderId="66" xfId="0" applyNumberFormat="1" applyFont="1" applyBorder="1" applyAlignment="1">
      <alignment vertical="center"/>
    </xf>
    <xf numFmtId="181" fontId="227" fillId="2" borderId="0" xfId="0" applyNumberFormat="1" applyFont="1" applyFill="1" applyAlignment="1">
      <alignment vertical="center"/>
    </xf>
    <xf numFmtId="181" fontId="28" fillId="0" borderId="0" xfId="0" applyNumberFormat="1" applyFont="1" applyAlignment="1">
      <alignment vertical="center"/>
    </xf>
    <xf numFmtId="181" fontId="227" fillId="0" borderId="0" xfId="0" applyNumberFormat="1" applyFont="1" applyAlignment="1">
      <alignment horizontal="right" vertical="center"/>
    </xf>
    <xf numFmtId="181" fontId="32" fillId="0" borderId="0" xfId="0" applyNumberFormat="1" applyFont="1" applyAlignment="1">
      <alignment horizontal="right" vertical="center"/>
    </xf>
    <xf numFmtId="184" fontId="47" fillId="2" borderId="0" xfId="0" applyNumberFormat="1" applyFont="1" applyFill="1" applyAlignment="1">
      <alignment vertical="center"/>
    </xf>
    <xf numFmtId="170" fontId="178" fillId="2" borderId="66" xfId="0" applyNumberFormat="1" applyFont="1" applyFill="1" applyBorder="1" applyAlignment="1">
      <alignment vertical="center"/>
    </xf>
    <xf numFmtId="170" fontId="28" fillId="80" borderId="0" xfId="0" applyNumberFormat="1" applyFont="1" applyFill="1" applyAlignment="1">
      <alignment vertical="center" wrapText="1"/>
    </xf>
    <xf numFmtId="182" fontId="28" fillId="80" borderId="0" xfId="0" applyNumberFormat="1" applyFont="1" applyFill="1" applyAlignment="1">
      <alignment vertical="center" wrapText="1"/>
    </xf>
    <xf numFmtId="182" fontId="31" fillId="80" borderId="0" xfId="0" applyNumberFormat="1" applyFont="1" applyFill="1" applyAlignment="1">
      <alignment vertical="center" wrapText="1"/>
    </xf>
    <xf numFmtId="171" fontId="28" fillId="0" borderId="0" xfId="0" applyNumberFormat="1" applyFont="1" applyAlignment="1">
      <alignment horizontal="right" vertical="center"/>
    </xf>
    <xf numFmtId="186" fontId="202" fillId="2" borderId="0" xfId="0" applyNumberFormat="1" applyFont="1" applyFill="1" applyAlignment="1">
      <alignment horizontal="right" vertical="center"/>
    </xf>
    <xf numFmtId="186" fontId="31" fillId="85" borderId="9" xfId="0" applyNumberFormat="1" applyFont="1" applyFill="1" applyBorder="1" applyAlignment="1">
      <alignment vertical="center" wrapText="1"/>
    </xf>
    <xf numFmtId="182" fontId="31" fillId="0" borderId="0" xfId="0" applyNumberFormat="1" applyFont="1" applyAlignment="1">
      <alignment vertical="center"/>
    </xf>
    <xf numFmtId="182" fontId="31" fillId="0" borderId="66" xfId="0" applyNumberFormat="1" applyFont="1" applyBorder="1" applyAlignment="1">
      <alignment vertical="center"/>
    </xf>
    <xf numFmtId="0" fontId="1" fillId="0" borderId="0" xfId="0" applyFont="1"/>
    <xf numFmtId="169" fontId="0" fillId="0" borderId="0" xfId="7" applyNumberFormat="1" applyFont="1"/>
    <xf numFmtId="0" fontId="1" fillId="0" borderId="16" xfId="0" applyFont="1" applyBorder="1" applyAlignment="1">
      <alignment vertical="center"/>
    </xf>
    <xf numFmtId="0" fontId="1" fillId="0" borderId="0" xfId="0" applyFont="1" applyAlignment="1">
      <alignment vertical="center"/>
    </xf>
    <xf numFmtId="170" fontId="1" fillId="2" borderId="0" xfId="0" applyNumberFormat="1" applyFont="1" applyFill="1" applyAlignment="1">
      <alignment vertical="center"/>
    </xf>
    <xf numFmtId="0" fontId="1" fillId="0" borderId="17" xfId="0" applyFont="1" applyBorder="1" applyAlignment="1">
      <alignment vertical="center"/>
    </xf>
    <xf numFmtId="0" fontId="1" fillId="0" borderId="53" xfId="0" applyFont="1" applyBorder="1" applyAlignment="1">
      <alignment vertical="center"/>
    </xf>
    <xf numFmtId="170" fontId="1" fillId="2" borderId="53" xfId="0" applyNumberFormat="1" applyFont="1" applyFill="1" applyBorder="1" applyAlignment="1">
      <alignment vertical="center"/>
    </xf>
    <xf numFmtId="3" fontId="1" fillId="2" borderId="0" xfId="0" applyNumberFormat="1" applyFont="1" applyFill="1" applyAlignment="1">
      <alignment vertical="center"/>
    </xf>
    <xf numFmtId="3" fontId="1" fillId="2" borderId="53" xfId="0" applyNumberFormat="1" applyFont="1" applyFill="1" applyBorder="1" applyAlignment="1">
      <alignmen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vertical="center" wrapText="1"/>
    </xf>
    <xf numFmtId="169" fontId="1" fillId="0" borderId="0" xfId="0" applyNumberFormat="1" applyFont="1"/>
    <xf numFmtId="170" fontId="1" fillId="0" borderId="0" xfId="0" applyNumberFormat="1" applyFont="1" applyAlignment="1">
      <alignment vertical="center"/>
    </xf>
    <xf numFmtId="169" fontId="1" fillId="0" borderId="0" xfId="0" applyNumberFormat="1" applyFont="1" applyAlignment="1">
      <alignment vertical="center"/>
    </xf>
    <xf numFmtId="170" fontId="1" fillId="0" borderId="0" xfId="0" applyNumberFormat="1" applyFont="1"/>
    <xf numFmtId="0" fontId="1" fillId="0" borderId="0" xfId="0" quotePrefix="1" applyFont="1"/>
    <xf numFmtId="0" fontId="9" fillId="2" borderId="0" xfId="0" applyFont="1" applyFill="1" applyAlignment="1">
      <alignment horizontal="left" vertical="center" wrapText="1"/>
    </xf>
    <xf numFmtId="0" fontId="189" fillId="75" borderId="80" xfId="0" applyFont="1" applyFill="1" applyBorder="1" applyAlignment="1">
      <alignment horizontal="center" vertical="center" wrapText="1"/>
    </xf>
    <xf numFmtId="0" fontId="189" fillId="75" borderId="69" xfId="0" applyFont="1" applyFill="1" applyBorder="1" applyAlignment="1">
      <alignment horizontal="center" vertical="center" wrapText="1"/>
    </xf>
    <xf numFmtId="0" fontId="189" fillId="75" borderId="81" xfId="0" applyFont="1" applyFill="1" applyBorder="1" applyAlignment="1">
      <alignment horizontal="center" vertical="center" wrapText="1"/>
    </xf>
    <xf numFmtId="0" fontId="9" fillId="0" borderId="0" xfId="0" applyFont="1" applyAlignment="1">
      <alignment horizontal="left" vertical="center" wrapText="1"/>
    </xf>
    <xf numFmtId="0" fontId="189" fillId="75" borderId="68" xfId="0" applyFont="1" applyFill="1" applyBorder="1" applyAlignment="1">
      <alignment horizontal="center" vertical="center" wrapText="1"/>
    </xf>
    <xf numFmtId="0" fontId="192" fillId="75" borderId="77" xfId="0" applyFont="1" applyFill="1" applyBorder="1" applyAlignment="1">
      <alignment horizontal="center" vertical="center" wrapText="1"/>
    </xf>
    <xf numFmtId="0" fontId="192" fillId="75" borderId="68" xfId="0" applyFont="1" applyFill="1" applyBorder="1" applyAlignment="1">
      <alignment horizontal="center" vertical="center"/>
    </xf>
    <xf numFmtId="0" fontId="192" fillId="75" borderId="79" xfId="0" applyFont="1" applyFill="1" applyBorder="1" applyAlignment="1">
      <alignment horizontal="center" vertical="center"/>
    </xf>
    <xf numFmtId="0" fontId="192" fillId="75" borderId="68" xfId="0" applyFont="1" applyFill="1" applyBorder="1" applyAlignment="1">
      <alignment horizontal="center" vertical="center" wrapText="1"/>
    </xf>
    <xf numFmtId="0" fontId="192" fillId="75" borderId="79" xfId="0" applyFont="1" applyFill="1" applyBorder="1" applyAlignment="1">
      <alignment horizontal="center" vertical="center" wrapText="1"/>
    </xf>
    <xf numFmtId="0" fontId="192" fillId="75" borderId="0" xfId="0" applyFont="1" applyFill="1" applyAlignment="1">
      <alignment horizontal="center" vertical="center" wrapText="1"/>
    </xf>
    <xf numFmtId="0" fontId="192" fillId="75" borderId="0" xfId="0" applyFont="1" applyFill="1" applyAlignment="1">
      <alignment horizontal="center" vertical="center"/>
    </xf>
    <xf numFmtId="0" fontId="192" fillId="75" borderId="97" xfId="0" applyFont="1" applyFill="1" applyBorder="1" applyAlignment="1">
      <alignment horizontal="center" vertical="center"/>
    </xf>
    <xf numFmtId="0" fontId="192" fillId="75" borderId="102" xfId="0" applyFont="1" applyFill="1" applyBorder="1" applyAlignment="1">
      <alignment horizontal="center" vertical="center" wrapText="1"/>
    </xf>
    <xf numFmtId="0" fontId="192" fillId="75" borderId="97" xfId="0" applyFont="1" applyFill="1" applyBorder="1" applyAlignment="1">
      <alignment horizontal="center" vertical="center" wrapText="1"/>
    </xf>
    <xf numFmtId="0" fontId="192" fillId="75" borderId="108" xfId="20233" applyFont="1" applyFill="1" applyBorder="1" applyAlignment="1">
      <alignment horizontal="center" vertical="center" wrapText="1"/>
    </xf>
    <xf numFmtId="0" fontId="192" fillId="75" borderId="0" xfId="20233" applyFont="1" applyFill="1" applyAlignment="1">
      <alignment horizontal="center" vertical="center" wrapText="1"/>
    </xf>
    <xf numFmtId="0" fontId="192" fillId="75" borderId="109" xfId="20233" applyFont="1" applyFill="1" applyBorder="1" applyAlignment="1">
      <alignment horizontal="center" vertical="center" wrapText="1"/>
    </xf>
    <xf numFmtId="0" fontId="16" fillId="0" borderId="0" xfId="20233" applyFont="1" applyAlignment="1">
      <alignment horizontal="left" vertical="top" wrapText="1"/>
    </xf>
    <xf numFmtId="0" fontId="12" fillId="0" borderId="50" xfId="0" applyFont="1" applyBorder="1" applyAlignment="1">
      <alignment horizontal="center" vertical="center" wrapText="1"/>
    </xf>
    <xf numFmtId="0" fontId="12" fillId="0" borderId="13" xfId="0" applyFont="1" applyBorder="1" applyAlignment="1">
      <alignment horizontal="center" vertical="center" wrapText="1"/>
    </xf>
    <xf numFmtId="0" fontId="14" fillId="81" borderId="15" xfId="0" applyFont="1" applyFill="1" applyBorder="1" applyAlignment="1">
      <alignment horizontal="center" vertical="center" wrapText="1"/>
    </xf>
    <xf numFmtId="0" fontId="14" fillId="81" borderId="17"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59" fillId="81" borderId="50" xfId="0" applyFont="1" applyFill="1" applyBorder="1" applyAlignment="1">
      <alignment horizontal="center" vertical="center" wrapText="1"/>
    </xf>
    <xf numFmtId="0" fontId="59" fillId="81" borderId="13" xfId="0" applyFont="1" applyFill="1" applyBorder="1" applyAlignment="1">
      <alignment horizontal="center" vertical="center" wrapText="1"/>
    </xf>
    <xf numFmtId="0" fontId="59" fillId="81" borderId="4" xfId="0" applyFont="1" applyFill="1" applyBorder="1" applyAlignment="1">
      <alignment horizontal="center" vertical="center" wrapText="1"/>
    </xf>
    <xf numFmtId="0" fontId="59" fillId="81" borderId="49" xfId="0" applyFont="1" applyFill="1" applyBorder="1" applyAlignment="1">
      <alignment horizontal="center" vertical="center" wrapText="1"/>
    </xf>
    <xf numFmtId="0" fontId="62" fillId="81" borderId="50" xfId="0" applyFont="1" applyFill="1" applyBorder="1" applyAlignment="1">
      <alignment horizontal="center" vertical="center" wrapText="1"/>
    </xf>
    <xf numFmtId="0" fontId="62" fillId="81" borderId="13" xfId="0" applyFont="1" applyFill="1" applyBorder="1" applyAlignment="1">
      <alignment horizontal="center" vertical="center" wrapText="1"/>
    </xf>
    <xf numFmtId="0" fontId="59" fillId="0" borderId="50" xfId="0" applyFont="1" applyBorder="1" applyAlignment="1">
      <alignment horizontal="center" vertical="center" wrapText="1"/>
    </xf>
    <xf numFmtId="0" fontId="59" fillId="0" borderId="13" xfId="0" applyFont="1" applyBorder="1" applyAlignment="1">
      <alignment horizontal="center" vertical="center" wrapText="1"/>
    </xf>
    <xf numFmtId="0" fontId="59" fillId="81" borderId="15" xfId="0" applyFont="1" applyFill="1" applyBorder="1" applyAlignment="1">
      <alignment horizontal="center" vertical="center" wrapText="1"/>
    </xf>
    <xf numFmtId="0" fontId="59" fillId="81" borderId="17" xfId="0" applyFont="1" applyFill="1" applyBorder="1" applyAlignment="1">
      <alignment horizontal="center" vertical="center" wrapText="1"/>
    </xf>
    <xf numFmtId="0" fontId="62" fillId="81" borderId="15" xfId="0" applyFont="1" applyFill="1" applyBorder="1" applyAlignment="1">
      <alignment horizontal="center" vertical="center" wrapText="1"/>
    </xf>
    <xf numFmtId="0" fontId="62" fillId="81" borderId="17" xfId="0" applyFont="1" applyFill="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192" fillId="75" borderId="4" xfId="0" applyFont="1" applyFill="1" applyBorder="1" applyAlignment="1">
      <alignment horizontal="center" vertical="center" wrapText="1"/>
    </xf>
    <xf numFmtId="0" fontId="192" fillId="75" borderId="49" xfId="0" applyFont="1" applyFill="1" applyBorder="1" applyAlignment="1">
      <alignment horizontal="center" vertical="center" wrapText="1"/>
    </xf>
    <xf numFmtId="0" fontId="16" fillId="0" borderId="0" xfId="0" applyFont="1" applyAlignment="1">
      <alignment horizontal="left" vertical="top" wrapText="1"/>
    </xf>
    <xf numFmtId="0" fontId="192" fillId="75" borderId="50" xfId="0" applyFont="1" applyFill="1" applyBorder="1" applyAlignment="1">
      <alignment horizontal="center" vertical="center" wrapText="1"/>
    </xf>
    <xf numFmtId="0" fontId="192" fillId="75" borderId="13" xfId="0" applyFont="1" applyFill="1" applyBorder="1" applyAlignment="1">
      <alignment horizontal="center" vertical="center" wrapText="1"/>
    </xf>
  </cellXfs>
  <cellStyles count="42856">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7" xfId="42855"/>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8.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EK58"/>
  <sheetViews>
    <sheetView showGridLines="0" zoomScale="90" zoomScaleNormal="90" zoomScaleSheetLayoutView="85" workbookViewId="0">
      <pane xSplit="1" ySplit="4" topLeftCell="BP33" activePane="bottomRight" state="frozen"/>
      <selection pane="topRight" activeCell="B1" sqref="B1"/>
      <selection pane="bottomLeft" activeCell="A5" sqref="A5"/>
      <selection pane="bottomRight" activeCell="BP33" sqref="BP33"/>
    </sheetView>
  </sheetViews>
  <sheetFormatPr defaultColWidth="9" defaultRowHeight="28.5" customHeight="1" outlineLevelCol="1"/>
  <cols>
    <col min="1" max="2" width="41.625" style="5" customWidth="1"/>
    <col min="3" max="8" width="9" style="4" hidden="1" customWidth="1" outlineLevel="1"/>
    <col min="9" max="9" width="9" style="64" hidden="1" customWidth="1" outlineLevel="1"/>
    <col min="10" max="10" width="9" style="4" hidden="1" customWidth="1" outlineLevel="1"/>
    <col min="11" max="13" width="10.125" style="4" hidden="1" customWidth="1" outlineLevel="1"/>
    <col min="14" max="16" width="9.125" style="4" hidden="1" customWidth="1" outlineLevel="1"/>
    <col min="17" max="24" width="10.125" style="4" hidden="1" customWidth="1" outlineLevel="1"/>
    <col min="25" max="25" width="10.125" style="39" hidden="1" customWidth="1" outlineLevel="1"/>
    <col min="26" max="29" width="10.125" style="4" hidden="1" customWidth="1" outlineLevel="1"/>
    <col min="30" max="30" width="10.125" style="39" hidden="1" customWidth="1" outlineLevel="1"/>
    <col min="31" max="32" width="10.125" style="4" hidden="1" customWidth="1" outlineLevel="1"/>
    <col min="33" max="33" width="10.125" style="4" customWidth="1" outlineLevel="1" collapsed="1"/>
    <col min="34" max="34" width="10.125" style="4" customWidth="1" outlineLevel="1"/>
    <col min="35" max="35" width="10.125" style="39" customWidth="1" outlineLevel="1"/>
    <col min="36" max="36" width="10.125" style="4" customWidth="1" outlineLevel="1"/>
    <col min="37" max="37" width="10.125" style="102" customWidth="1" outlineLevel="1"/>
    <col min="38" max="38" width="4" customWidth="1" outlineLevel="1"/>
    <col min="39" max="40" width="10.125" style="4" customWidth="1" outlineLevel="1"/>
    <col min="41" max="41" width="10.125" style="39" customWidth="1" outlineLevel="1"/>
    <col min="42" max="42" width="10.125" style="4" customWidth="1" outlineLevel="1"/>
    <col min="43" max="43" width="10.125" style="4" bestFit="1" customWidth="1" outlineLevel="1"/>
    <col min="44" max="45" width="10.125" style="4" customWidth="1" outlineLevel="1"/>
    <col min="46" max="46" width="10.125" style="39" customWidth="1" outlineLevel="1"/>
    <col min="47" max="47" width="10.125" style="4" customWidth="1" outlineLevel="1"/>
    <col min="48" max="48" width="10.125" style="4" bestFit="1" customWidth="1" outlineLevel="1"/>
    <col min="49" max="50" width="10.125" style="4" customWidth="1" outlineLevel="1"/>
    <col min="51" max="51" width="10.125" style="39" customWidth="1" outlineLevel="1"/>
    <col min="52" max="52" width="10.125" style="4" customWidth="1" outlineLevel="1"/>
    <col min="53" max="53" width="10.125" style="4" bestFit="1" customWidth="1" outlineLevel="1"/>
    <col min="54" max="55" width="10.125" style="4" customWidth="1" outlineLevel="1"/>
    <col min="56" max="56" width="10.125" style="39" customWidth="1" outlineLevel="1"/>
    <col min="57" max="57" width="10.125" style="4" customWidth="1" outlineLevel="1"/>
    <col min="58" max="58" width="10.125" style="735" bestFit="1" customWidth="1" outlineLevel="1"/>
    <col min="59" max="60" width="10.125" style="4" customWidth="1"/>
    <col min="61" max="61" width="10.125" style="39" customWidth="1"/>
    <col min="62" max="62" width="10.125" style="4" customWidth="1"/>
    <col min="63" max="63" width="10.125" style="729" bestFit="1" customWidth="1"/>
    <col min="64" max="65" width="10.125" style="4" customWidth="1"/>
    <col min="66" max="66" width="10.125" style="39" customWidth="1"/>
    <col min="67" max="67" width="10.125" style="4" customWidth="1"/>
    <col min="68" max="68" width="10.125" style="729" bestFit="1" customWidth="1"/>
    <col min="69" max="16384" width="9" style="5"/>
  </cols>
  <sheetData>
    <row r="1" spans="1:68" s="7" customFormat="1" ht="89.25" customHeight="1">
      <c r="A1" s="203"/>
      <c r="B1" s="3"/>
      <c r="C1" s="6"/>
      <c r="D1" s="6"/>
      <c r="E1" s="6"/>
      <c r="F1" s="6"/>
      <c r="G1" s="6"/>
      <c r="H1" s="6"/>
      <c r="I1" s="47"/>
      <c r="J1" s="6"/>
      <c r="K1" s="6"/>
      <c r="L1" s="6"/>
      <c r="M1" s="6"/>
      <c r="N1" s="6"/>
      <c r="O1" s="6"/>
      <c r="P1" s="6"/>
      <c r="Q1" s="6"/>
      <c r="R1" s="6"/>
      <c r="S1" s="6"/>
      <c r="T1" s="6"/>
      <c r="U1" s="48"/>
      <c r="V1" s="48"/>
      <c r="W1" s="48"/>
      <c r="X1" s="48"/>
      <c r="Y1" s="814"/>
      <c r="Z1" s="48"/>
      <c r="AA1" s="48"/>
      <c r="AB1" s="48"/>
      <c r="AC1" s="48"/>
      <c r="AD1" s="814"/>
      <c r="AE1" s="48"/>
      <c r="AF1" s="48"/>
      <c r="AG1" s="48"/>
      <c r="AH1" s="50"/>
      <c r="AI1" s="814"/>
      <c r="AJ1" s="48"/>
      <c r="AK1" s="99"/>
      <c r="AM1" s="48"/>
      <c r="AN1" s="48"/>
      <c r="AO1" s="814"/>
      <c r="AP1" s="48"/>
      <c r="AQ1" s="48"/>
      <c r="AR1" s="48"/>
      <c r="AS1" s="48"/>
      <c r="AT1" s="814"/>
      <c r="AU1" s="48"/>
      <c r="AV1" s="48"/>
      <c r="AW1" s="48"/>
      <c r="AX1" s="48"/>
      <c r="AY1" s="814"/>
      <c r="AZ1" s="48"/>
      <c r="BA1" s="48"/>
      <c r="BB1" s="48"/>
      <c r="BC1" s="48"/>
      <c r="BD1" s="814"/>
      <c r="BE1" s="48"/>
      <c r="BF1" s="730"/>
      <c r="BG1" s="48"/>
      <c r="BH1" s="48"/>
      <c r="BI1" s="814"/>
      <c r="BJ1" s="48"/>
      <c r="BK1" s="724"/>
      <c r="BL1" s="48"/>
      <c r="BM1" s="48"/>
      <c r="BN1" s="814"/>
      <c r="BO1" s="48"/>
      <c r="BP1" s="724"/>
    </row>
    <row r="2" spans="1:68" s="466" customFormat="1" ht="32.1" customHeight="1">
      <c r="A2" s="511" t="s">
        <v>0</v>
      </c>
      <c r="B2" s="508" t="s">
        <v>1</v>
      </c>
      <c r="C2" s="824">
        <v>2012</v>
      </c>
      <c r="D2" s="824"/>
      <c r="E2" s="824"/>
      <c r="F2" s="824"/>
      <c r="G2" s="825"/>
      <c r="H2" s="824">
        <v>2013</v>
      </c>
      <c r="I2" s="824"/>
      <c r="J2" s="824"/>
      <c r="K2" s="824"/>
      <c r="L2" s="825"/>
      <c r="M2" s="823">
        <v>2014</v>
      </c>
      <c r="N2" s="824"/>
      <c r="O2" s="824"/>
      <c r="P2" s="824"/>
      <c r="Q2" s="825"/>
      <c r="R2" s="823">
        <v>2015</v>
      </c>
      <c r="S2" s="824"/>
      <c r="T2" s="824"/>
      <c r="U2" s="824"/>
      <c r="V2" s="825"/>
      <c r="W2" s="823">
        <v>2016</v>
      </c>
      <c r="X2" s="824"/>
      <c r="Y2" s="824"/>
      <c r="Z2" s="824"/>
      <c r="AA2" s="825"/>
      <c r="AB2" s="823">
        <v>2017</v>
      </c>
      <c r="AC2" s="824"/>
      <c r="AD2" s="824"/>
      <c r="AE2" s="824"/>
      <c r="AF2" s="825"/>
      <c r="AG2" s="823" t="s">
        <v>2</v>
      </c>
      <c r="AH2" s="824"/>
      <c r="AI2" s="824"/>
      <c r="AJ2" s="824"/>
      <c r="AK2" s="825"/>
      <c r="AL2"/>
      <c r="AM2" s="823" t="s">
        <v>3</v>
      </c>
      <c r="AN2" s="824"/>
      <c r="AO2" s="824"/>
      <c r="AP2" s="824"/>
      <c r="AQ2" s="825"/>
      <c r="AR2" s="823" t="s">
        <v>4</v>
      </c>
      <c r="AS2" s="824"/>
      <c r="AT2" s="824"/>
      <c r="AU2" s="824"/>
      <c r="AV2" s="825"/>
      <c r="AW2" s="823" t="s">
        <v>5</v>
      </c>
      <c r="AX2" s="824"/>
      <c r="AY2" s="824"/>
      <c r="AZ2" s="824"/>
      <c r="BA2" s="825"/>
      <c r="BB2" s="823" t="s">
        <v>6</v>
      </c>
      <c r="BC2" s="824"/>
      <c r="BD2" s="824"/>
      <c r="BE2" s="824"/>
      <c r="BF2" s="825"/>
      <c r="BG2" s="823" t="s">
        <v>7</v>
      </c>
      <c r="BH2" s="824"/>
      <c r="BI2" s="824"/>
      <c r="BJ2" s="824"/>
      <c r="BK2" s="825"/>
      <c r="BL2" s="823" t="s">
        <v>8</v>
      </c>
      <c r="BM2" s="824"/>
      <c r="BN2" s="824"/>
      <c r="BO2" s="824"/>
      <c r="BP2" s="825"/>
    </row>
    <row r="3" spans="1:68" s="466" customFormat="1" ht="32.1" customHeight="1">
      <c r="A3" s="421"/>
      <c r="B3" s="508"/>
      <c r="C3" s="495"/>
      <c r="D3" s="495"/>
      <c r="E3" s="495"/>
      <c r="F3" s="495"/>
      <c r="G3" s="509"/>
      <c r="H3" s="495"/>
      <c r="I3" s="495"/>
      <c r="J3" s="495"/>
      <c r="K3" s="495"/>
      <c r="L3" s="495"/>
      <c r="M3" s="510"/>
      <c r="N3" s="495"/>
      <c r="O3" s="495"/>
      <c r="P3" s="495"/>
      <c r="Q3" s="509"/>
      <c r="R3" s="495"/>
      <c r="S3" s="495"/>
      <c r="T3" s="495"/>
      <c r="U3" s="495"/>
      <c r="V3" s="509"/>
      <c r="W3" s="495"/>
      <c r="X3" s="495"/>
      <c r="Y3" s="495"/>
      <c r="Z3" s="495"/>
      <c r="AA3" s="509"/>
      <c r="AB3" s="495"/>
      <c r="AC3" s="495"/>
      <c r="AD3" s="495"/>
      <c r="AE3" s="495"/>
      <c r="AF3" s="509"/>
      <c r="AG3" s="823" t="s">
        <v>9</v>
      </c>
      <c r="AH3" s="824"/>
      <c r="AI3" s="824"/>
      <c r="AJ3" s="824"/>
      <c r="AK3" s="825"/>
      <c r="AL3"/>
      <c r="AM3" s="823" t="s">
        <v>10</v>
      </c>
      <c r="AN3" s="824"/>
      <c r="AO3" s="824"/>
      <c r="AP3" s="824"/>
      <c r="AQ3" s="825"/>
      <c r="AR3" s="823" t="s">
        <v>11</v>
      </c>
      <c r="AS3" s="824"/>
      <c r="AT3" s="824"/>
      <c r="AU3" s="824"/>
      <c r="AV3" s="825"/>
      <c r="AW3" s="823" t="s">
        <v>12</v>
      </c>
      <c r="AX3" s="824"/>
      <c r="AY3" s="824"/>
      <c r="AZ3" s="824"/>
      <c r="BA3" s="825"/>
      <c r="BB3" s="823" t="s">
        <v>13</v>
      </c>
      <c r="BC3" s="824"/>
      <c r="BD3" s="824"/>
      <c r="BE3" s="824"/>
      <c r="BF3" s="825"/>
      <c r="BG3" s="823" t="s">
        <v>14</v>
      </c>
      <c r="BH3" s="824"/>
      <c r="BI3" s="824"/>
      <c r="BJ3" s="824"/>
      <c r="BK3" s="825"/>
      <c r="BL3" s="823" t="s">
        <v>15</v>
      </c>
      <c r="BM3" s="824"/>
      <c r="BN3" s="824"/>
      <c r="BO3" s="824"/>
      <c r="BP3" s="825"/>
    </row>
    <row r="4" spans="1:68" s="471" customFormat="1" ht="16.5" customHeight="1">
      <c r="A4" s="423" t="s">
        <v>16</v>
      </c>
      <c r="B4" s="512" t="s">
        <v>17</v>
      </c>
      <c r="C4" s="425" t="s">
        <v>18</v>
      </c>
      <c r="D4" s="425" t="s">
        <v>19</v>
      </c>
      <c r="E4" s="425" t="s">
        <v>20</v>
      </c>
      <c r="F4" s="425" t="s">
        <v>21</v>
      </c>
      <c r="G4" s="513">
        <v>2012</v>
      </c>
      <c r="H4" s="514" t="s">
        <v>18</v>
      </c>
      <c r="I4" s="425" t="s">
        <v>19</v>
      </c>
      <c r="J4" s="425" t="s">
        <v>20</v>
      </c>
      <c r="K4" s="425" t="s">
        <v>21</v>
      </c>
      <c r="L4" s="513">
        <v>2013</v>
      </c>
      <c r="M4" s="514" t="s">
        <v>18</v>
      </c>
      <c r="N4" s="425" t="s">
        <v>19</v>
      </c>
      <c r="O4" s="425" t="s">
        <v>20</v>
      </c>
      <c r="P4" s="425" t="s">
        <v>21</v>
      </c>
      <c r="Q4" s="515">
        <v>2014</v>
      </c>
      <c r="R4" s="425" t="s">
        <v>18</v>
      </c>
      <c r="S4" s="425" t="s">
        <v>19</v>
      </c>
      <c r="T4" s="425" t="s">
        <v>20</v>
      </c>
      <c r="U4" s="425" t="s">
        <v>21</v>
      </c>
      <c r="V4" s="515">
        <v>2015</v>
      </c>
      <c r="W4" s="425" t="s">
        <v>22</v>
      </c>
      <c r="X4" s="425" t="s">
        <v>19</v>
      </c>
      <c r="Y4" s="426" t="s">
        <v>20</v>
      </c>
      <c r="Z4" s="425" t="s">
        <v>21</v>
      </c>
      <c r="AA4" s="515" t="s">
        <v>23</v>
      </c>
      <c r="AB4" s="425" t="s">
        <v>18</v>
      </c>
      <c r="AC4" s="425" t="s">
        <v>19</v>
      </c>
      <c r="AD4" s="426" t="s">
        <v>20</v>
      </c>
      <c r="AE4" s="425" t="s">
        <v>21</v>
      </c>
      <c r="AF4" s="515">
        <v>2017</v>
      </c>
      <c r="AG4" s="425" t="s">
        <v>18</v>
      </c>
      <c r="AH4" s="425" t="s">
        <v>19</v>
      </c>
      <c r="AI4" s="426" t="s">
        <v>20</v>
      </c>
      <c r="AJ4" s="425" t="s">
        <v>21</v>
      </c>
      <c r="AK4" s="515">
        <v>2018</v>
      </c>
      <c r="AL4" s="5"/>
      <c r="AM4" s="514" t="s">
        <v>18</v>
      </c>
      <c r="AN4" s="425" t="s">
        <v>19</v>
      </c>
      <c r="AO4" s="426" t="s">
        <v>20</v>
      </c>
      <c r="AP4" s="425" t="s">
        <v>21</v>
      </c>
      <c r="AQ4" s="515">
        <v>2018</v>
      </c>
      <c r="AR4" s="514" t="s">
        <v>18</v>
      </c>
      <c r="AS4" s="425" t="s">
        <v>19</v>
      </c>
      <c r="AT4" s="426" t="s">
        <v>20</v>
      </c>
      <c r="AU4" s="425" t="s">
        <v>21</v>
      </c>
      <c r="AV4" s="515" t="s">
        <v>24</v>
      </c>
      <c r="AW4" s="514" t="s">
        <v>18</v>
      </c>
      <c r="AX4" s="425" t="s">
        <v>19</v>
      </c>
      <c r="AY4" s="426" t="s">
        <v>20</v>
      </c>
      <c r="AZ4" s="425" t="s">
        <v>21</v>
      </c>
      <c r="BA4" s="515" t="s">
        <v>24</v>
      </c>
      <c r="BB4" s="514" t="s">
        <v>18</v>
      </c>
      <c r="BC4" s="425" t="s">
        <v>19</v>
      </c>
      <c r="BD4" s="426" t="s">
        <v>20</v>
      </c>
      <c r="BE4" s="425" t="s">
        <v>21</v>
      </c>
      <c r="BF4" s="736" t="s">
        <v>25</v>
      </c>
      <c r="BG4" s="514" t="s">
        <v>18</v>
      </c>
      <c r="BH4" s="425" t="s">
        <v>19</v>
      </c>
      <c r="BI4" s="426" t="s">
        <v>20</v>
      </c>
      <c r="BJ4" s="425" t="s">
        <v>21</v>
      </c>
      <c r="BK4" s="515" t="s">
        <v>26</v>
      </c>
      <c r="BL4" s="514" t="s">
        <v>18</v>
      </c>
      <c r="BM4" s="425" t="s">
        <v>19</v>
      </c>
      <c r="BN4" s="426" t="s">
        <v>20</v>
      </c>
      <c r="BO4" s="425" t="s">
        <v>21</v>
      </c>
      <c r="BP4" s="515" t="s">
        <v>27</v>
      </c>
    </row>
    <row r="5" spans="1:68" s="415" customFormat="1" ht="34.5" customHeight="1">
      <c r="A5" s="761" t="s">
        <v>28</v>
      </c>
      <c r="B5" s="762" t="s">
        <v>29</v>
      </c>
      <c r="C5" s="763">
        <f t="shared" ref="C5:AK5" si="0">SUM(C6:C9)</f>
        <v>669.2</v>
      </c>
      <c r="D5" s="763">
        <f t="shared" si="0"/>
        <v>713.8</v>
      </c>
      <c r="E5" s="763">
        <f t="shared" si="0"/>
        <v>644.5</v>
      </c>
      <c r="F5" s="763">
        <f t="shared" si="0"/>
        <v>750.60000000000014</v>
      </c>
      <c r="G5" s="764">
        <f t="shared" si="0"/>
        <v>2778.0999999999995</v>
      </c>
      <c r="H5" s="765">
        <f t="shared" si="0"/>
        <v>697.1</v>
      </c>
      <c r="I5" s="763">
        <f t="shared" si="0"/>
        <v>735.9</v>
      </c>
      <c r="J5" s="763">
        <f t="shared" si="0"/>
        <v>677.3</v>
      </c>
      <c r="K5" s="763">
        <f t="shared" si="0"/>
        <v>800.5</v>
      </c>
      <c r="L5" s="764">
        <f t="shared" si="0"/>
        <v>2910.8</v>
      </c>
      <c r="M5" s="765">
        <f t="shared" si="0"/>
        <v>723.29999999999984</v>
      </c>
      <c r="N5" s="763">
        <f t="shared" si="0"/>
        <v>1745.9</v>
      </c>
      <c r="O5" s="763">
        <f t="shared" si="0"/>
        <v>2419.6</v>
      </c>
      <c r="P5" s="763">
        <f t="shared" si="0"/>
        <v>2521.1000000000004</v>
      </c>
      <c r="Q5" s="764">
        <f t="shared" si="0"/>
        <v>7409.9</v>
      </c>
      <c r="R5" s="763">
        <f t="shared" si="0"/>
        <v>2329</v>
      </c>
      <c r="S5" s="763">
        <f t="shared" si="0"/>
        <v>2469.1999999999998</v>
      </c>
      <c r="T5" s="763">
        <f t="shared" si="0"/>
        <v>2414.8999999999996</v>
      </c>
      <c r="U5" s="763">
        <f t="shared" si="0"/>
        <v>2609.9</v>
      </c>
      <c r="V5" s="764">
        <f t="shared" si="0"/>
        <v>9823</v>
      </c>
      <c r="W5" s="763">
        <f t="shared" si="0"/>
        <v>2364</v>
      </c>
      <c r="X5" s="763">
        <f t="shared" si="0"/>
        <v>2442.9</v>
      </c>
      <c r="Y5" s="766">
        <f t="shared" si="0"/>
        <v>2387.8000000000002</v>
      </c>
      <c r="Z5" s="766">
        <f t="shared" si="0"/>
        <v>2535.1</v>
      </c>
      <c r="AA5" s="764">
        <f t="shared" si="0"/>
        <v>9729.7999999999993</v>
      </c>
      <c r="AB5" s="763">
        <f t="shared" si="0"/>
        <v>2388.6</v>
      </c>
      <c r="AC5" s="763">
        <f t="shared" si="0"/>
        <v>2469.9</v>
      </c>
      <c r="AD5" s="763">
        <f t="shared" si="0"/>
        <v>2390.9</v>
      </c>
      <c r="AE5" s="763">
        <f t="shared" si="0"/>
        <v>2579.1999999999998</v>
      </c>
      <c r="AF5" s="764">
        <f t="shared" si="0"/>
        <v>9828.6</v>
      </c>
      <c r="AG5" s="763">
        <f t="shared" si="0"/>
        <v>2360.6999999999998</v>
      </c>
      <c r="AH5" s="763">
        <f t="shared" si="0"/>
        <v>2476.9</v>
      </c>
      <c r="AI5" s="763">
        <f t="shared" si="0"/>
        <v>2435.4</v>
      </c>
      <c r="AJ5" s="767">
        <f t="shared" si="0"/>
        <v>2682</v>
      </c>
      <c r="AK5" s="764">
        <f t="shared" si="0"/>
        <v>9955</v>
      </c>
      <c r="AL5" s="768"/>
      <c r="AM5" s="765">
        <f t="shared" ref="AM5:BP5" si="1">SUM(AM6:AM9)</f>
        <v>2345.9</v>
      </c>
      <c r="AN5" s="763">
        <f t="shared" si="1"/>
        <v>2603.1999999999998</v>
      </c>
      <c r="AO5" s="763">
        <f t="shared" si="1"/>
        <v>2735</v>
      </c>
      <c r="AP5" s="767">
        <f t="shared" si="1"/>
        <v>3002</v>
      </c>
      <c r="AQ5" s="764">
        <f t="shared" si="1"/>
        <v>10686.100000000002</v>
      </c>
      <c r="AR5" s="765">
        <f t="shared" si="1"/>
        <v>2782.4</v>
      </c>
      <c r="AS5" s="763">
        <f t="shared" si="1"/>
        <v>2913</v>
      </c>
      <c r="AT5" s="763">
        <f t="shared" si="1"/>
        <v>2882.3</v>
      </c>
      <c r="AU5" s="763">
        <f t="shared" si="1"/>
        <v>3059.0000000000005</v>
      </c>
      <c r="AV5" s="764">
        <f t="shared" si="1"/>
        <v>11636.7</v>
      </c>
      <c r="AW5" s="765">
        <f t="shared" si="1"/>
        <v>2791.6</v>
      </c>
      <c r="AX5" s="763">
        <f t="shared" si="1"/>
        <v>2923</v>
      </c>
      <c r="AY5" s="763">
        <f t="shared" si="1"/>
        <v>2892.4</v>
      </c>
      <c r="AZ5" s="763">
        <f t="shared" si="1"/>
        <v>3069.1000000000004</v>
      </c>
      <c r="BA5" s="764">
        <f t="shared" si="1"/>
        <v>11676.1</v>
      </c>
      <c r="BB5" s="765">
        <f t="shared" si="1"/>
        <v>2848.4999999999995</v>
      </c>
      <c r="BC5" s="763">
        <f t="shared" si="1"/>
        <v>2862.7000000000003</v>
      </c>
      <c r="BD5" s="763">
        <f t="shared" si="1"/>
        <v>3003.5</v>
      </c>
      <c r="BE5" s="763">
        <f t="shared" si="1"/>
        <v>3248.2000000000003</v>
      </c>
      <c r="BF5" s="769">
        <f t="shared" si="1"/>
        <v>11962.9</v>
      </c>
      <c r="BG5" s="765">
        <f t="shared" si="1"/>
        <v>2987.4</v>
      </c>
      <c r="BH5" s="763">
        <f t="shared" si="1"/>
        <v>3159.7000000000003</v>
      </c>
      <c r="BI5" s="763">
        <f t="shared" si="1"/>
        <v>3031.9</v>
      </c>
      <c r="BJ5" s="763">
        <f t="shared" si="1"/>
        <v>3265</v>
      </c>
      <c r="BK5" s="769">
        <f t="shared" si="1"/>
        <v>12443.999999999998</v>
      </c>
      <c r="BL5" s="765">
        <f t="shared" si="1"/>
        <v>2986.7000000000003</v>
      </c>
      <c r="BM5" s="763">
        <f t="shared" si="1"/>
        <v>3228.1</v>
      </c>
      <c r="BN5" s="763">
        <f t="shared" si="1"/>
        <v>0</v>
      </c>
      <c r="BO5" s="763">
        <f t="shared" si="1"/>
        <v>0</v>
      </c>
      <c r="BP5" s="769">
        <f t="shared" si="1"/>
        <v>6214.7999999999993</v>
      </c>
    </row>
    <row r="6" spans="1:68" ht="30" customHeight="1">
      <c r="A6" s="49" t="s">
        <v>30</v>
      </c>
      <c r="B6" s="114" t="s">
        <v>31</v>
      </c>
      <c r="C6" s="50">
        <v>424</v>
      </c>
      <c r="D6" s="50">
        <v>427.1</v>
      </c>
      <c r="E6" s="50">
        <v>434.4</v>
      </c>
      <c r="F6" s="50">
        <v>446.6</v>
      </c>
      <c r="G6" s="204">
        <f>SUM(C6:F6)</f>
        <v>1732.1</v>
      </c>
      <c r="H6" s="51">
        <v>451.7</v>
      </c>
      <c r="I6" s="50">
        <v>452</v>
      </c>
      <c r="J6" s="50">
        <v>460.3</v>
      </c>
      <c r="K6" s="50">
        <v>466.1</v>
      </c>
      <c r="L6" s="204">
        <f>SUM(H6:K6)</f>
        <v>1830.1</v>
      </c>
      <c r="M6" s="51">
        <v>467.79999999999995</v>
      </c>
      <c r="N6" s="50">
        <v>1204.5</v>
      </c>
      <c r="O6" s="50">
        <v>1710.7</v>
      </c>
      <c r="P6" s="50">
        <v>1701.7</v>
      </c>
      <c r="Q6" s="204">
        <f>SUM(M6:P6)</f>
        <v>5084.7</v>
      </c>
      <c r="R6" s="50">
        <v>1637.2</v>
      </c>
      <c r="S6" s="50">
        <v>1652</v>
      </c>
      <c r="T6" s="50">
        <v>1643.3</v>
      </c>
      <c r="U6" s="756">
        <v>1620.6</v>
      </c>
      <c r="V6" s="204">
        <v>6553.1</v>
      </c>
      <c r="W6" s="757">
        <v>1565.7</v>
      </c>
      <c r="X6" s="757">
        <v>1586.9</v>
      </c>
      <c r="Y6" s="758">
        <v>1583.7</v>
      </c>
      <c r="Z6" s="756">
        <v>1589</v>
      </c>
      <c r="AA6" s="204">
        <f>SUM(W6:Z6)</f>
        <v>6325.3</v>
      </c>
      <c r="AB6" s="757">
        <v>1542.7</v>
      </c>
      <c r="AC6" s="757">
        <v>1533.3</v>
      </c>
      <c r="AD6" s="758">
        <v>1494</v>
      </c>
      <c r="AE6" s="758">
        <v>1497.9</v>
      </c>
      <c r="AF6" s="204">
        <f>SUM(AB6:AE6)</f>
        <v>6067.9</v>
      </c>
      <c r="AG6" s="757">
        <v>1470.2</v>
      </c>
      <c r="AH6" s="50">
        <v>1483.8</v>
      </c>
      <c r="AI6" s="50">
        <v>1481.7</v>
      </c>
      <c r="AJ6" s="758">
        <v>1484.8</v>
      </c>
      <c r="AK6" s="204">
        <f>SUM(AG6:AJ6)</f>
        <v>5920.5</v>
      </c>
      <c r="AL6" s="759"/>
      <c r="AM6" s="103">
        <v>1352.2</v>
      </c>
      <c r="AN6" s="50">
        <v>1482.1</v>
      </c>
      <c r="AO6" s="50">
        <v>1630.5</v>
      </c>
      <c r="AP6" s="758">
        <v>1627.8000000000002</v>
      </c>
      <c r="AQ6" s="204">
        <f>SUM(AM6:AP6)</f>
        <v>6092.6</v>
      </c>
      <c r="AR6" s="758">
        <v>1606</v>
      </c>
      <c r="AS6" s="50">
        <v>1616.1</v>
      </c>
      <c r="AT6" s="50">
        <v>1618.3</v>
      </c>
      <c r="AU6" s="758">
        <v>1618.4</v>
      </c>
      <c r="AV6" s="204">
        <f>SUM(AR6:AU6)</f>
        <v>6458.7999999999993</v>
      </c>
      <c r="AW6" s="105">
        <v>1606</v>
      </c>
      <c r="AX6" s="50">
        <v>1616.1</v>
      </c>
      <c r="AY6" s="50">
        <v>1618.3</v>
      </c>
      <c r="AZ6" s="758">
        <v>1618.4</v>
      </c>
      <c r="BA6" s="204">
        <f>SUM(AW6:AZ6)</f>
        <v>6458.7999999999993</v>
      </c>
      <c r="BB6" s="105">
        <v>1604.5</v>
      </c>
      <c r="BC6" s="50">
        <v>1592</v>
      </c>
      <c r="BD6" s="50">
        <v>1623.8</v>
      </c>
      <c r="BE6" s="758">
        <v>1660.1</v>
      </c>
      <c r="BF6" s="737">
        <f>SUM(BB6:BE6)</f>
        <v>6480.4</v>
      </c>
      <c r="BG6" s="105">
        <v>1664.1</v>
      </c>
      <c r="BH6" s="50">
        <v>1664.8</v>
      </c>
      <c r="BI6" s="50">
        <v>1707.4</v>
      </c>
      <c r="BJ6" s="758">
        <v>1730.7</v>
      </c>
      <c r="BK6" s="725">
        <f>SUM(BG6:BJ6)</f>
        <v>6766.9999999999991</v>
      </c>
      <c r="BL6" s="105">
        <v>1722.2</v>
      </c>
      <c r="BM6" s="50">
        <v>1725.8</v>
      </c>
      <c r="BN6" s="50"/>
      <c r="BO6" s="758"/>
      <c r="BP6" s="722">
        <f>SUM(BL6:BO6)</f>
        <v>3448</v>
      </c>
    </row>
    <row r="7" spans="1:68" ht="20.100000000000001" customHeight="1">
      <c r="A7" s="49" t="s">
        <v>32</v>
      </c>
      <c r="B7" s="114" t="s">
        <v>33</v>
      </c>
      <c r="C7" s="50">
        <v>234.6</v>
      </c>
      <c r="D7" s="50">
        <v>272.7</v>
      </c>
      <c r="E7" s="50">
        <v>198</v>
      </c>
      <c r="F7" s="50">
        <v>286.3</v>
      </c>
      <c r="G7" s="204">
        <f t="shared" ref="G7:G9" si="2">SUM(C7:F7)</f>
        <v>991.59999999999991</v>
      </c>
      <c r="H7" s="51">
        <v>223.8</v>
      </c>
      <c r="I7" s="50">
        <v>265.2</v>
      </c>
      <c r="J7" s="50">
        <v>204</v>
      </c>
      <c r="K7" s="50">
        <v>317.2</v>
      </c>
      <c r="L7" s="204">
        <f t="shared" ref="L7:L9" si="3">SUM(H7:K7)</f>
        <v>1010.2</v>
      </c>
      <c r="M7" s="51">
        <v>242.19999999999993</v>
      </c>
      <c r="N7" s="50">
        <v>479.1</v>
      </c>
      <c r="O7" s="50">
        <v>591.6</v>
      </c>
      <c r="P7" s="50">
        <v>641.1</v>
      </c>
      <c r="Q7" s="204">
        <f t="shared" ref="Q7:Q9" si="4">SUM(M7:P7)</f>
        <v>1954</v>
      </c>
      <c r="R7" s="50">
        <v>553.29999999999995</v>
      </c>
      <c r="S7" s="50">
        <v>688.7</v>
      </c>
      <c r="T7" s="50">
        <v>616.9</v>
      </c>
      <c r="U7" s="52">
        <v>738</v>
      </c>
      <c r="V7" s="204">
        <v>2596.9</v>
      </c>
      <c r="W7" s="757">
        <v>599.79999999999995</v>
      </c>
      <c r="X7" s="757">
        <v>645</v>
      </c>
      <c r="Y7" s="758">
        <v>562.9</v>
      </c>
      <c r="Z7" s="52">
        <v>658.4</v>
      </c>
      <c r="AA7" s="204">
        <f t="shared" ref="AA7:AA30" si="5">SUM(W7:Z7)</f>
        <v>2466.1</v>
      </c>
      <c r="AB7" s="757">
        <v>562.1</v>
      </c>
      <c r="AC7" s="757">
        <v>652.29999999999995</v>
      </c>
      <c r="AD7" s="758">
        <v>588.4</v>
      </c>
      <c r="AE7" s="758">
        <v>735.8</v>
      </c>
      <c r="AF7" s="204">
        <f t="shared" ref="AF7:AF30" si="6">SUM(AB7:AE7)</f>
        <v>2538.6000000000004</v>
      </c>
      <c r="AG7" s="757">
        <v>635.9</v>
      </c>
      <c r="AH7" s="50">
        <v>708.5</v>
      </c>
      <c r="AI7" s="50">
        <v>677.7</v>
      </c>
      <c r="AJ7" s="758">
        <v>860.1</v>
      </c>
      <c r="AK7" s="204">
        <f t="shared" ref="AK7:AK9" si="7">SUM(AG7:AJ7)</f>
        <v>2882.2000000000003</v>
      </c>
      <c r="AL7" s="517"/>
      <c r="AM7" s="103">
        <v>635.9</v>
      </c>
      <c r="AN7" s="50">
        <v>738.5</v>
      </c>
      <c r="AO7" s="50">
        <v>741.6</v>
      </c>
      <c r="AP7" s="758">
        <v>927.80000000000018</v>
      </c>
      <c r="AQ7" s="204">
        <f t="shared" ref="AQ7:AQ9" si="8">SUM(AM7:AP7)</f>
        <v>3043.8</v>
      </c>
      <c r="AR7" s="758">
        <v>772.7</v>
      </c>
      <c r="AS7" s="50">
        <v>861.6</v>
      </c>
      <c r="AT7" s="50">
        <v>790.5</v>
      </c>
      <c r="AU7" s="758">
        <v>925.4</v>
      </c>
      <c r="AV7" s="204">
        <f t="shared" ref="AV7:AV9" si="9">SUM(AR7:AU7)</f>
        <v>3350.2000000000003</v>
      </c>
      <c r="AW7" s="105">
        <v>772.7</v>
      </c>
      <c r="AX7" s="50">
        <v>861.6</v>
      </c>
      <c r="AY7" s="50">
        <v>790.5</v>
      </c>
      <c r="AZ7" s="758">
        <v>925.4</v>
      </c>
      <c r="BA7" s="204">
        <f t="shared" ref="BA7:BA9" si="10">SUM(AW7:AZ7)</f>
        <v>3350.2000000000003</v>
      </c>
      <c r="BB7" s="105">
        <v>823.7</v>
      </c>
      <c r="BC7" s="50">
        <v>802.5</v>
      </c>
      <c r="BD7" s="50">
        <v>856.6</v>
      </c>
      <c r="BE7" s="758">
        <v>1043.9000000000001</v>
      </c>
      <c r="BF7" s="737">
        <f t="shared" ref="BF7:BF9" si="11">SUM(BB7:BE7)</f>
        <v>3526.7000000000003</v>
      </c>
      <c r="BG7" s="105">
        <v>880.7</v>
      </c>
      <c r="BH7" s="50">
        <v>964.2</v>
      </c>
      <c r="BI7" s="50">
        <v>827.1</v>
      </c>
      <c r="BJ7" s="758">
        <v>1006.8</v>
      </c>
      <c r="BK7" s="725">
        <f t="shared" ref="BK7:BK9" si="12">SUM(BG7:BJ7)</f>
        <v>3678.8</v>
      </c>
      <c r="BL7" s="105">
        <v>813.1</v>
      </c>
      <c r="BM7" s="50">
        <v>879.8</v>
      </c>
      <c r="BN7" s="50"/>
      <c r="BO7" s="758"/>
      <c r="BP7" s="722">
        <f t="shared" ref="BP7:BP9" si="13">SUM(BL7:BO7)</f>
        <v>1692.9</v>
      </c>
    </row>
    <row r="8" spans="1:68" ht="20.100000000000001" customHeight="1">
      <c r="A8" s="49" t="s">
        <v>34</v>
      </c>
      <c r="B8" s="114" t="s">
        <v>35</v>
      </c>
      <c r="C8" s="50">
        <v>2.7</v>
      </c>
      <c r="D8" s="50">
        <v>6.2</v>
      </c>
      <c r="E8" s="50">
        <v>2.6</v>
      </c>
      <c r="F8" s="50">
        <v>7.2</v>
      </c>
      <c r="G8" s="204">
        <f t="shared" si="2"/>
        <v>18.7</v>
      </c>
      <c r="H8" s="51">
        <v>13.1</v>
      </c>
      <c r="I8" s="50">
        <v>11.8</v>
      </c>
      <c r="J8" s="50">
        <v>7.1</v>
      </c>
      <c r="K8" s="50">
        <v>9.6999999999999993</v>
      </c>
      <c r="L8" s="204">
        <f t="shared" si="3"/>
        <v>41.7</v>
      </c>
      <c r="M8" s="51">
        <v>7.8999999999999986</v>
      </c>
      <c r="N8" s="50">
        <v>55.4</v>
      </c>
      <c r="O8" s="50">
        <v>104.1</v>
      </c>
      <c r="P8" s="50">
        <v>159.9</v>
      </c>
      <c r="Q8" s="204">
        <f t="shared" si="4"/>
        <v>327.29999999999995</v>
      </c>
      <c r="R8" s="50">
        <v>118.4</v>
      </c>
      <c r="S8" s="50">
        <v>106.9</v>
      </c>
      <c r="T8" s="50">
        <v>131.19999999999999</v>
      </c>
      <c r="U8" s="52">
        <v>226.89999999999998</v>
      </c>
      <c r="V8" s="204">
        <v>583.4</v>
      </c>
      <c r="W8" s="757">
        <v>172.8</v>
      </c>
      <c r="X8" s="757">
        <v>191.1</v>
      </c>
      <c r="Y8" s="758">
        <v>221.3</v>
      </c>
      <c r="Z8" s="52">
        <v>265.60000000000002</v>
      </c>
      <c r="AA8" s="204">
        <f t="shared" si="5"/>
        <v>850.80000000000007</v>
      </c>
      <c r="AB8" s="757">
        <v>248.6</v>
      </c>
      <c r="AC8" s="757">
        <v>243.3</v>
      </c>
      <c r="AD8" s="758">
        <v>264.5</v>
      </c>
      <c r="AE8" s="758">
        <v>298.8</v>
      </c>
      <c r="AF8" s="204">
        <f t="shared" si="6"/>
        <v>1055.2</v>
      </c>
      <c r="AG8" s="757">
        <v>208.6</v>
      </c>
      <c r="AH8" s="50">
        <v>239</v>
      </c>
      <c r="AI8" s="50">
        <v>237.6</v>
      </c>
      <c r="AJ8" s="758">
        <v>286.2</v>
      </c>
      <c r="AK8" s="204">
        <f t="shared" si="7"/>
        <v>971.40000000000009</v>
      </c>
      <c r="AL8" s="517"/>
      <c r="AM8" s="103">
        <v>317.5</v>
      </c>
      <c r="AN8" s="50">
        <v>341.7</v>
      </c>
      <c r="AO8" s="50">
        <v>328.6</v>
      </c>
      <c r="AP8" s="758">
        <v>398.20000000000005</v>
      </c>
      <c r="AQ8" s="204">
        <f t="shared" si="8"/>
        <v>1386</v>
      </c>
      <c r="AR8" s="758">
        <v>347.4</v>
      </c>
      <c r="AS8" s="50">
        <v>379.3</v>
      </c>
      <c r="AT8" s="50">
        <v>412.9</v>
      </c>
      <c r="AU8" s="758">
        <v>445.4</v>
      </c>
      <c r="AV8" s="204">
        <f t="shared" si="9"/>
        <v>1585</v>
      </c>
      <c r="AW8" s="105">
        <v>347.4</v>
      </c>
      <c r="AX8" s="50">
        <v>379.3</v>
      </c>
      <c r="AY8" s="50">
        <v>412.9</v>
      </c>
      <c r="AZ8" s="758">
        <v>445.4</v>
      </c>
      <c r="BA8" s="204">
        <f t="shared" si="10"/>
        <v>1585</v>
      </c>
      <c r="BB8" s="105">
        <v>345.7</v>
      </c>
      <c r="BC8" s="50">
        <v>392.9</v>
      </c>
      <c r="BD8" s="50">
        <v>433.7</v>
      </c>
      <c r="BE8" s="758">
        <v>424.4</v>
      </c>
      <c r="BF8" s="737">
        <f t="shared" si="11"/>
        <v>1596.6999999999998</v>
      </c>
      <c r="BG8" s="105">
        <v>332.7</v>
      </c>
      <c r="BH8" s="50">
        <v>350.4</v>
      </c>
      <c r="BI8" s="50">
        <v>359.1</v>
      </c>
      <c r="BJ8" s="758">
        <v>408.1</v>
      </c>
      <c r="BK8" s="725">
        <f t="shared" si="12"/>
        <v>1450.2999999999997</v>
      </c>
      <c r="BL8" s="105">
        <v>336.5</v>
      </c>
      <c r="BM8" s="50">
        <v>450.5</v>
      </c>
      <c r="BN8" s="50"/>
      <c r="BO8" s="758"/>
      <c r="BP8" s="722">
        <f t="shared" si="13"/>
        <v>787</v>
      </c>
    </row>
    <row r="9" spans="1:68" ht="20.100000000000001" customHeight="1">
      <c r="A9" s="49" t="s">
        <v>36</v>
      </c>
      <c r="B9" s="114" t="s">
        <v>37</v>
      </c>
      <c r="C9" s="50">
        <v>7.9</v>
      </c>
      <c r="D9" s="50">
        <v>7.8</v>
      </c>
      <c r="E9" s="50">
        <v>9.5</v>
      </c>
      <c r="F9" s="50">
        <v>10.5</v>
      </c>
      <c r="G9" s="204">
        <f t="shared" si="2"/>
        <v>35.700000000000003</v>
      </c>
      <c r="H9" s="51">
        <v>8.5</v>
      </c>
      <c r="I9" s="50">
        <v>6.9</v>
      </c>
      <c r="J9" s="50">
        <v>5.9</v>
      </c>
      <c r="K9" s="50">
        <v>7.5</v>
      </c>
      <c r="L9" s="204">
        <f t="shared" si="3"/>
        <v>28.8</v>
      </c>
      <c r="M9" s="51">
        <v>5.4</v>
      </c>
      <c r="N9" s="50">
        <v>6.9</v>
      </c>
      <c r="O9" s="50">
        <v>13.2</v>
      </c>
      <c r="P9" s="50">
        <v>18.399999999999999</v>
      </c>
      <c r="Q9" s="204">
        <f t="shared" si="4"/>
        <v>43.9</v>
      </c>
      <c r="R9" s="50">
        <v>20.100000000000001</v>
      </c>
      <c r="S9" s="50">
        <v>21.6</v>
      </c>
      <c r="T9" s="50">
        <v>23.5</v>
      </c>
      <c r="U9" s="52">
        <v>24.399999999999991</v>
      </c>
      <c r="V9" s="204">
        <v>89.6</v>
      </c>
      <c r="W9" s="757">
        <v>25.7</v>
      </c>
      <c r="X9" s="757">
        <v>19.899999999999999</v>
      </c>
      <c r="Y9" s="758">
        <v>19.899999999999999</v>
      </c>
      <c r="Z9" s="52">
        <v>22.1</v>
      </c>
      <c r="AA9" s="204">
        <f t="shared" si="5"/>
        <v>87.6</v>
      </c>
      <c r="AB9" s="757">
        <v>35.200000000000003</v>
      </c>
      <c r="AC9" s="757">
        <v>41</v>
      </c>
      <c r="AD9" s="758">
        <v>44</v>
      </c>
      <c r="AE9" s="758">
        <v>46.7</v>
      </c>
      <c r="AF9" s="204">
        <f t="shared" si="6"/>
        <v>166.9</v>
      </c>
      <c r="AG9" s="757">
        <v>46</v>
      </c>
      <c r="AH9" s="50">
        <f>45.6</f>
        <v>45.6</v>
      </c>
      <c r="AI9" s="50">
        <v>38.4</v>
      </c>
      <c r="AJ9" s="758">
        <v>50.9</v>
      </c>
      <c r="AK9" s="204">
        <f t="shared" si="7"/>
        <v>180.9</v>
      </c>
      <c r="AL9" s="517"/>
      <c r="AM9" s="103">
        <v>40.299999999999997</v>
      </c>
      <c r="AN9" s="50">
        <v>40.9</v>
      </c>
      <c r="AO9" s="50">
        <v>34.299999999999997</v>
      </c>
      <c r="AP9" s="758">
        <v>48.199999999999989</v>
      </c>
      <c r="AQ9" s="204">
        <f t="shared" si="8"/>
        <v>163.69999999999999</v>
      </c>
      <c r="AR9" s="758">
        <v>56.3</v>
      </c>
      <c r="AS9" s="50">
        <v>56</v>
      </c>
      <c r="AT9" s="50">
        <v>60.6</v>
      </c>
      <c r="AU9" s="758">
        <v>69.8</v>
      </c>
      <c r="AV9" s="204">
        <f t="shared" si="9"/>
        <v>242.7</v>
      </c>
      <c r="AW9" s="105">
        <v>65.5</v>
      </c>
      <c r="AX9" s="50">
        <v>66</v>
      </c>
      <c r="AY9" s="50">
        <v>70.7</v>
      </c>
      <c r="AZ9" s="758">
        <v>79.900000000000006</v>
      </c>
      <c r="BA9" s="204">
        <f t="shared" si="10"/>
        <v>282.10000000000002</v>
      </c>
      <c r="BB9" s="105">
        <v>74.599999999999994</v>
      </c>
      <c r="BC9" s="50">
        <v>75.3</v>
      </c>
      <c r="BD9" s="54">
        <v>89.4</v>
      </c>
      <c r="BE9" s="758">
        <v>119.8</v>
      </c>
      <c r="BF9" s="737">
        <f t="shared" si="11"/>
        <v>359.09999999999997</v>
      </c>
      <c r="BG9" s="105">
        <v>109.9</v>
      </c>
      <c r="BH9" s="50">
        <v>180.3</v>
      </c>
      <c r="BI9" s="54">
        <v>138.30000000000001</v>
      </c>
      <c r="BJ9" s="758">
        <v>119.4</v>
      </c>
      <c r="BK9" s="725">
        <f t="shared" si="12"/>
        <v>547.90000000000009</v>
      </c>
      <c r="BL9" s="105">
        <v>114.9</v>
      </c>
      <c r="BM9" s="50">
        <v>172</v>
      </c>
      <c r="BN9" s="54"/>
      <c r="BO9" s="758"/>
      <c r="BP9" s="722">
        <f t="shared" si="13"/>
        <v>286.89999999999998</v>
      </c>
    </row>
    <row r="10" spans="1:68" s="760" customFormat="1" ht="22.5" customHeight="1">
      <c r="A10" s="770" t="s">
        <v>38</v>
      </c>
      <c r="B10" s="771" t="s">
        <v>39</v>
      </c>
      <c r="C10" s="772">
        <f t="shared" ref="C10:AK10" si="14">SUM(C11:C18)</f>
        <v>-464.5</v>
      </c>
      <c r="D10" s="772">
        <f t="shared" si="14"/>
        <v>-499.7</v>
      </c>
      <c r="E10" s="772">
        <f t="shared" si="14"/>
        <v>-444.9</v>
      </c>
      <c r="F10" s="772">
        <f t="shared" si="14"/>
        <v>-562.4</v>
      </c>
      <c r="G10" s="773">
        <f t="shared" si="14"/>
        <v>-1971.5000000000002</v>
      </c>
      <c r="H10" s="774">
        <f t="shared" si="14"/>
        <v>-512.92000000000007</v>
      </c>
      <c r="I10" s="772">
        <f t="shared" si="14"/>
        <v>-542.4</v>
      </c>
      <c r="J10" s="772">
        <f t="shared" si="14"/>
        <v>-510.7</v>
      </c>
      <c r="K10" s="772">
        <f t="shared" si="14"/>
        <v>-591.70000000000005</v>
      </c>
      <c r="L10" s="773">
        <f t="shared" si="14"/>
        <v>-2157.7199999999998</v>
      </c>
      <c r="M10" s="774">
        <f t="shared" si="14"/>
        <v>-507.40000000000003</v>
      </c>
      <c r="N10" s="772">
        <f t="shared" si="14"/>
        <v>-1351.8000000000002</v>
      </c>
      <c r="O10" s="772">
        <f t="shared" si="14"/>
        <v>-1992.5000000000002</v>
      </c>
      <c r="P10" s="772">
        <f t="shared" si="14"/>
        <v>-2125.3999999999996</v>
      </c>
      <c r="Q10" s="773">
        <f t="shared" si="14"/>
        <v>-5977.1</v>
      </c>
      <c r="R10" s="772">
        <f t="shared" si="14"/>
        <v>-1909</v>
      </c>
      <c r="S10" s="772">
        <f t="shared" si="14"/>
        <v>-1899.4999999999998</v>
      </c>
      <c r="T10" s="772">
        <f t="shared" si="14"/>
        <v>-1900.1</v>
      </c>
      <c r="U10" s="772">
        <f t="shared" si="14"/>
        <v>-2159.2999999999997</v>
      </c>
      <c r="V10" s="773">
        <f t="shared" si="14"/>
        <v>-7867.9000000000005</v>
      </c>
      <c r="W10" s="772">
        <f t="shared" si="14"/>
        <v>-1948</v>
      </c>
      <c r="X10" s="772">
        <f t="shared" si="14"/>
        <v>-2042</v>
      </c>
      <c r="Y10" s="775">
        <f t="shared" si="14"/>
        <v>-1938.6999999999998</v>
      </c>
      <c r="Z10" s="775">
        <f t="shared" si="14"/>
        <v>-2140.6</v>
      </c>
      <c r="AA10" s="773">
        <f t="shared" si="14"/>
        <v>-8069.2999999999993</v>
      </c>
      <c r="AB10" s="772">
        <f t="shared" si="14"/>
        <v>-1938.1999999999996</v>
      </c>
      <c r="AC10" s="772">
        <f t="shared" si="14"/>
        <v>-1962.8000000000002</v>
      </c>
      <c r="AD10" s="772">
        <f t="shared" si="14"/>
        <v>-1975.7</v>
      </c>
      <c r="AE10" s="772">
        <f t="shared" si="14"/>
        <v>-2139.1999999999998</v>
      </c>
      <c r="AF10" s="773">
        <f t="shared" si="14"/>
        <v>-8015.9</v>
      </c>
      <c r="AG10" s="772">
        <f t="shared" si="14"/>
        <v>-1903.1000000000001</v>
      </c>
      <c r="AH10" s="772">
        <f t="shared" si="14"/>
        <v>-1986.5000000000002</v>
      </c>
      <c r="AI10" s="772">
        <f t="shared" si="14"/>
        <v>-2044</v>
      </c>
      <c r="AJ10" s="772">
        <f t="shared" si="14"/>
        <v>-2266</v>
      </c>
      <c r="AK10" s="773">
        <f t="shared" si="14"/>
        <v>-8199.6</v>
      </c>
      <c r="AL10" s="776"/>
      <c r="AM10" s="774">
        <f t="shared" ref="AM10:BP10" si="15">SUM(AM11:AM18)</f>
        <v>-1917.1000000000001</v>
      </c>
      <c r="AN10" s="772">
        <f t="shared" si="15"/>
        <v>-2127</v>
      </c>
      <c r="AO10" s="772">
        <f t="shared" si="15"/>
        <v>-2345.8000000000002</v>
      </c>
      <c r="AP10" s="772">
        <f t="shared" si="15"/>
        <v>-2588.9</v>
      </c>
      <c r="AQ10" s="773">
        <f t="shared" si="15"/>
        <v>-8978.7999999999993</v>
      </c>
      <c r="AR10" s="774">
        <f t="shared" si="15"/>
        <v>-2317.1</v>
      </c>
      <c r="AS10" s="772">
        <f t="shared" si="15"/>
        <v>-2404.4</v>
      </c>
      <c r="AT10" s="772">
        <f t="shared" si="15"/>
        <v>-2433.0000000000005</v>
      </c>
      <c r="AU10" s="772">
        <f t="shared" si="15"/>
        <v>-2592.9999999999995</v>
      </c>
      <c r="AV10" s="773">
        <f t="shared" si="15"/>
        <v>-9747.4999999999982</v>
      </c>
      <c r="AW10" s="774">
        <f t="shared" si="15"/>
        <v>-2317.0000000000005</v>
      </c>
      <c r="AX10" s="772">
        <f t="shared" si="15"/>
        <v>-2407.2000000000003</v>
      </c>
      <c r="AY10" s="772">
        <f t="shared" si="15"/>
        <v>-2436.8000000000002</v>
      </c>
      <c r="AZ10" s="772">
        <f t="shared" si="15"/>
        <v>-2593.8000000000002</v>
      </c>
      <c r="BA10" s="773">
        <f t="shared" si="15"/>
        <v>-9754.7999999999993</v>
      </c>
      <c r="BB10" s="774">
        <f t="shared" si="15"/>
        <v>-2392.1111734799997</v>
      </c>
      <c r="BC10" s="772">
        <f t="shared" si="15"/>
        <v>-2455.5999999999995</v>
      </c>
      <c r="BD10" s="772">
        <f t="shared" si="15"/>
        <v>-2494.8000000000002</v>
      </c>
      <c r="BE10" s="772">
        <f t="shared" si="15"/>
        <v>-2731.3</v>
      </c>
      <c r="BF10" s="777">
        <f t="shared" si="15"/>
        <v>-10073.81117348</v>
      </c>
      <c r="BG10" s="774">
        <f t="shared" si="15"/>
        <v>-2430.9</v>
      </c>
      <c r="BH10" s="772">
        <f t="shared" si="15"/>
        <v>-2468.1000000000004</v>
      </c>
      <c r="BI10" s="772">
        <f t="shared" si="15"/>
        <v>-2595.9</v>
      </c>
      <c r="BJ10" s="772">
        <f t="shared" si="15"/>
        <v>-2810.6000000000004</v>
      </c>
      <c r="BK10" s="777">
        <f t="shared" si="15"/>
        <v>-10305.5</v>
      </c>
      <c r="BL10" s="774">
        <f t="shared" si="15"/>
        <v>-2633.7000000000003</v>
      </c>
      <c r="BM10" s="772">
        <f t="shared" si="15"/>
        <v>-2815.4</v>
      </c>
      <c r="BN10" s="772">
        <f t="shared" si="15"/>
        <v>0</v>
      </c>
      <c r="BO10" s="772">
        <f t="shared" si="15"/>
        <v>0</v>
      </c>
      <c r="BP10" s="777">
        <f t="shared" si="15"/>
        <v>-5449.1</v>
      </c>
    </row>
    <row r="11" spans="1:68" ht="30" customHeight="1">
      <c r="A11" s="49" t="s">
        <v>40</v>
      </c>
      <c r="B11" s="115" t="s">
        <v>41</v>
      </c>
      <c r="C11" s="54">
        <v>-49.7</v>
      </c>
      <c r="D11" s="54">
        <v>-55.1</v>
      </c>
      <c r="E11" s="54">
        <v>-58.6</v>
      </c>
      <c r="F11" s="54">
        <v>-59.3</v>
      </c>
      <c r="G11" s="205">
        <f>SUM(C11:F11)</f>
        <v>-222.7</v>
      </c>
      <c r="H11" s="55">
        <v>-60.7</v>
      </c>
      <c r="I11" s="54">
        <v>-62</v>
      </c>
      <c r="J11" s="54">
        <v>-62.2</v>
      </c>
      <c r="K11" s="54">
        <v>-71.400000000000006</v>
      </c>
      <c r="L11" s="205">
        <f>SUM(H11:K11)</f>
        <v>-256.3</v>
      </c>
      <c r="M11" s="55">
        <v>-71.300000000000011</v>
      </c>
      <c r="N11" s="54">
        <v>-288</v>
      </c>
      <c r="O11" s="54">
        <v>-495.9</v>
      </c>
      <c r="P11" s="54">
        <v>-557.20000000000005</v>
      </c>
      <c r="Q11" s="205">
        <f>SUM(M11:P11)</f>
        <v>-1412.4</v>
      </c>
      <c r="R11" s="54">
        <v>-482.3</v>
      </c>
      <c r="S11" s="54">
        <v>-522.4</v>
      </c>
      <c r="T11" s="54">
        <v>-551.20000000000005</v>
      </c>
      <c r="U11" s="52">
        <v>-585.09999999999991</v>
      </c>
      <c r="V11" s="205">
        <v>-2141</v>
      </c>
      <c r="W11" s="56">
        <v>-550.29999999999995</v>
      </c>
      <c r="X11" s="56">
        <v>-456.6</v>
      </c>
      <c r="Y11" s="36">
        <v>-459.2</v>
      </c>
      <c r="Z11" s="52">
        <v>-472.6</v>
      </c>
      <c r="AA11" s="205">
        <f>SUM(W11:Z11)</f>
        <v>-1938.6999999999998</v>
      </c>
      <c r="AB11" s="56">
        <v>-468.2</v>
      </c>
      <c r="AC11" s="56">
        <v>-483.5</v>
      </c>
      <c r="AD11" s="36">
        <v>-528.5</v>
      </c>
      <c r="AE11" s="36">
        <v>-533.79999999999995</v>
      </c>
      <c r="AF11" s="205">
        <f t="shared" si="6"/>
        <v>-2014</v>
      </c>
      <c r="AG11" s="56">
        <v>-504.5</v>
      </c>
      <c r="AH11" s="54">
        <v>-521.1</v>
      </c>
      <c r="AI11" s="54">
        <v>-550.29999999999995</v>
      </c>
      <c r="AJ11" s="36">
        <v>-560.1</v>
      </c>
      <c r="AK11" s="205">
        <f t="shared" ref="AK11:AK20" si="16">SUM(AG11:AJ11)</f>
        <v>-2136</v>
      </c>
      <c r="AL11" s="517"/>
      <c r="AM11" s="104">
        <v>-504.5</v>
      </c>
      <c r="AN11" s="54">
        <v>-578.5</v>
      </c>
      <c r="AO11" s="54">
        <v>-674.8</v>
      </c>
      <c r="AP11" s="36">
        <v>-691.10000000000014</v>
      </c>
      <c r="AQ11" s="205">
        <f t="shared" ref="AQ11:AQ20" si="17">SUM(AM11:AP11)</f>
        <v>-2448.9</v>
      </c>
      <c r="AR11" s="104">
        <v>-651.29999999999995</v>
      </c>
      <c r="AS11" s="54">
        <v>-678.4</v>
      </c>
      <c r="AT11" s="54">
        <v>-664.1</v>
      </c>
      <c r="AU11" s="36">
        <v>-670.2</v>
      </c>
      <c r="AV11" s="205">
        <f t="shared" ref="AV11:AV20" si="18">SUM(AR11:AU11)</f>
        <v>-2664</v>
      </c>
      <c r="AW11" s="104">
        <v>-563.79999999999995</v>
      </c>
      <c r="AX11" s="54">
        <v>-591.4</v>
      </c>
      <c r="AY11" s="54">
        <v>-575.79999999999995</v>
      </c>
      <c r="AZ11" s="36">
        <v>-580.29999999999995</v>
      </c>
      <c r="BA11" s="205">
        <f t="shared" ref="BA11:BA20" si="19">SUM(AW11:AZ11)</f>
        <v>-2311.2999999999997</v>
      </c>
      <c r="BB11" s="104">
        <v>-600.79999999999995</v>
      </c>
      <c r="BC11" s="54">
        <v>-636.1</v>
      </c>
      <c r="BD11" s="54">
        <v>-609</v>
      </c>
      <c r="BE11" s="36">
        <v>-615</v>
      </c>
      <c r="BF11" s="738">
        <f t="shared" ref="BF11:BF20" si="20">SUM(BB11:BE11)</f>
        <v>-2460.9</v>
      </c>
      <c r="BG11" s="104">
        <v>-624.70000000000005</v>
      </c>
      <c r="BH11" s="54">
        <v>-633</v>
      </c>
      <c r="BI11" s="54">
        <v>-790.3</v>
      </c>
      <c r="BJ11" s="36">
        <v>-801.7</v>
      </c>
      <c r="BK11" s="722">
        <f t="shared" ref="BK11:BK19" si="21">SUM(BG11:BJ11)</f>
        <v>-2849.7</v>
      </c>
      <c r="BL11" s="104">
        <v>-809.5</v>
      </c>
      <c r="BM11" s="54">
        <f>-808</f>
        <v>-808</v>
      </c>
      <c r="BN11" s="54"/>
      <c r="BO11" s="36"/>
      <c r="BP11" s="722">
        <f t="shared" ref="BP11:BP19" si="22">SUM(BL11:BO11)</f>
        <v>-1617.5</v>
      </c>
    </row>
    <row r="12" spans="1:68" ht="18.75" customHeight="1">
      <c r="A12" s="49" t="s">
        <v>42</v>
      </c>
      <c r="B12" s="114" t="s">
        <v>43</v>
      </c>
      <c r="C12" s="54">
        <v>-54.4</v>
      </c>
      <c r="D12" s="54">
        <v>-56.7</v>
      </c>
      <c r="E12" s="54">
        <v>-60.2</v>
      </c>
      <c r="F12" s="54">
        <v>-71.7</v>
      </c>
      <c r="G12" s="205">
        <f>SUM(C12:F12)</f>
        <v>-243</v>
      </c>
      <c r="H12" s="55">
        <v>-60.7</v>
      </c>
      <c r="I12" s="54">
        <v>-62.3</v>
      </c>
      <c r="J12" s="54">
        <v>-64.8</v>
      </c>
      <c r="K12" s="54">
        <v>-68.599999999999994</v>
      </c>
      <c r="L12" s="205">
        <f>SUM(H12:K12)</f>
        <v>-256.39999999999998</v>
      </c>
      <c r="M12" s="55">
        <v>-62.5</v>
      </c>
      <c r="N12" s="54">
        <v>-311.3</v>
      </c>
      <c r="O12" s="54">
        <v>-478.3</v>
      </c>
      <c r="P12" s="54">
        <v>-443.8</v>
      </c>
      <c r="Q12" s="205">
        <f>SUM(M12:P12)</f>
        <v>-1295.9000000000001</v>
      </c>
      <c r="R12" s="54">
        <v>-467.9</v>
      </c>
      <c r="S12" s="54">
        <v>-393.5</v>
      </c>
      <c r="T12" s="54">
        <v>-401.2</v>
      </c>
      <c r="U12" s="52">
        <v>-436.70000000000005</v>
      </c>
      <c r="V12" s="205">
        <v>-1699.3</v>
      </c>
      <c r="W12" s="56">
        <v>-423.7</v>
      </c>
      <c r="X12" s="56">
        <v>-527.5</v>
      </c>
      <c r="Y12" s="36">
        <v>-507.9</v>
      </c>
      <c r="Z12" s="52">
        <v>-512.4</v>
      </c>
      <c r="AA12" s="205">
        <f>SUM(W12:Z12)</f>
        <v>-1971.5</v>
      </c>
      <c r="AB12" s="56">
        <v>-472.3</v>
      </c>
      <c r="AC12" s="56">
        <v>-446.7</v>
      </c>
      <c r="AD12" s="36">
        <v>-429.2</v>
      </c>
      <c r="AE12" s="36">
        <v>-434.8</v>
      </c>
      <c r="AF12" s="205">
        <f t="shared" si="6"/>
        <v>-1783</v>
      </c>
      <c r="AG12" s="56">
        <v>-454.5</v>
      </c>
      <c r="AH12" s="54">
        <v>-439.1</v>
      </c>
      <c r="AI12" s="54">
        <v>-452.5</v>
      </c>
      <c r="AJ12" s="36">
        <v>-430.6</v>
      </c>
      <c r="AK12" s="205">
        <f t="shared" si="16"/>
        <v>-1776.6999999999998</v>
      </c>
      <c r="AL12" s="517"/>
      <c r="AM12" s="104">
        <v>-454.5</v>
      </c>
      <c r="AN12" s="54">
        <v>-470.8</v>
      </c>
      <c r="AO12" s="54">
        <v>-523.5</v>
      </c>
      <c r="AP12" s="36">
        <v>-521.90000000000009</v>
      </c>
      <c r="AQ12" s="205">
        <f t="shared" si="17"/>
        <v>-1970.7</v>
      </c>
      <c r="AR12" s="104">
        <v>-440.1</v>
      </c>
      <c r="AS12" s="54">
        <v>-444.6</v>
      </c>
      <c r="AT12" s="54">
        <v>-448.5</v>
      </c>
      <c r="AU12" s="36">
        <v>-453.2</v>
      </c>
      <c r="AV12" s="205">
        <f t="shared" si="18"/>
        <v>-1786.4</v>
      </c>
      <c r="AW12" s="104">
        <v>-547.1</v>
      </c>
      <c r="AX12" s="54">
        <v>-553.6</v>
      </c>
      <c r="AY12" s="54">
        <v>-561.5</v>
      </c>
      <c r="AZ12" s="36">
        <v>-567.5</v>
      </c>
      <c r="BA12" s="205">
        <f t="shared" si="19"/>
        <v>-2229.6999999999998</v>
      </c>
      <c r="BB12" s="104">
        <v>-564.5</v>
      </c>
      <c r="BC12" s="54">
        <v>-565.9</v>
      </c>
      <c r="BD12" s="54">
        <v>-573</v>
      </c>
      <c r="BE12" s="36">
        <v>-602.29999999999995</v>
      </c>
      <c r="BF12" s="738">
        <f t="shared" si="20"/>
        <v>-2305.6999999999998</v>
      </c>
      <c r="BG12" s="104">
        <v>-521.20000000000005</v>
      </c>
      <c r="BH12" s="54">
        <v>-457.2</v>
      </c>
      <c r="BI12" s="54">
        <v>-463.6</v>
      </c>
      <c r="BJ12" s="36">
        <v>-461.2</v>
      </c>
      <c r="BK12" s="722">
        <f t="shared" si="21"/>
        <v>-1903.2</v>
      </c>
      <c r="BL12" s="104">
        <v>-446.3</v>
      </c>
      <c r="BM12" s="54">
        <v>-467.5</v>
      </c>
      <c r="BN12" s="54"/>
      <c r="BO12" s="36"/>
      <c r="BP12" s="722">
        <f t="shared" si="22"/>
        <v>-913.8</v>
      </c>
    </row>
    <row r="13" spans="1:68" ht="18.75" customHeight="1">
      <c r="A13" s="49" t="s">
        <v>44</v>
      </c>
      <c r="B13" s="114" t="s">
        <v>45</v>
      </c>
      <c r="C13" s="54">
        <v>-5.5</v>
      </c>
      <c r="D13" s="54">
        <v>-7.6</v>
      </c>
      <c r="E13" s="54">
        <v>-7</v>
      </c>
      <c r="F13" s="54">
        <v>-16.100000000000001</v>
      </c>
      <c r="G13" s="205">
        <f>SUM(C13:F13)</f>
        <v>-36.200000000000003</v>
      </c>
      <c r="H13" s="55">
        <v>-25.8</v>
      </c>
      <c r="I13" s="54">
        <v>-16.8</v>
      </c>
      <c r="J13" s="54">
        <v>-10.7</v>
      </c>
      <c r="K13" s="54">
        <v>-10.6</v>
      </c>
      <c r="L13" s="205">
        <f>SUM(H13:K13)</f>
        <v>-63.9</v>
      </c>
      <c r="M13" s="55">
        <v>-10.300000000000011</v>
      </c>
      <c r="N13" s="54">
        <v>-189.7</v>
      </c>
      <c r="O13" s="54">
        <v>-348.6</v>
      </c>
      <c r="P13" s="54">
        <v>-376.6</v>
      </c>
      <c r="Q13" s="205">
        <f>SUM(M13:P13)</f>
        <v>-925.2</v>
      </c>
      <c r="R13" s="54">
        <v>-332.5</v>
      </c>
      <c r="S13" s="54">
        <v>-291.7</v>
      </c>
      <c r="T13" s="54">
        <v>-314.89999999999998</v>
      </c>
      <c r="U13" s="52">
        <v>-393.59999999999991</v>
      </c>
      <c r="V13" s="205">
        <v>-1332.8</v>
      </c>
      <c r="W13" s="56">
        <v>-326.8</v>
      </c>
      <c r="X13" s="56">
        <v>-317.3</v>
      </c>
      <c r="Y13" s="36">
        <v>-330.5</v>
      </c>
      <c r="Z13" s="52">
        <v>-380.1</v>
      </c>
      <c r="AA13" s="205">
        <f>SUM(W13:Z13)</f>
        <v>-1354.7</v>
      </c>
      <c r="AB13" s="56">
        <v>-323.60000000000002</v>
      </c>
      <c r="AC13" s="56">
        <v>-318.8</v>
      </c>
      <c r="AD13" s="36">
        <v>-323.3</v>
      </c>
      <c r="AE13" s="36">
        <v>-357.9</v>
      </c>
      <c r="AF13" s="205">
        <f t="shared" si="6"/>
        <v>-1323.6</v>
      </c>
      <c r="AG13" s="56">
        <v>-258.5</v>
      </c>
      <c r="AH13" s="54">
        <v>-275.2</v>
      </c>
      <c r="AI13" s="54">
        <v>-277.3</v>
      </c>
      <c r="AJ13" s="36">
        <v>-331.7</v>
      </c>
      <c r="AK13" s="205">
        <f t="shared" si="16"/>
        <v>-1142.7</v>
      </c>
      <c r="AL13" s="517"/>
      <c r="AM13" s="104">
        <v>-272.5</v>
      </c>
      <c r="AN13" s="54">
        <v>-282.5</v>
      </c>
      <c r="AO13" s="54">
        <v>-281.10000000000002</v>
      </c>
      <c r="AP13" s="36">
        <v>-338.1</v>
      </c>
      <c r="AQ13" s="205">
        <f t="shared" si="17"/>
        <v>-1174.2</v>
      </c>
      <c r="AR13" s="104">
        <v>-289.39999999999998</v>
      </c>
      <c r="AS13" s="54">
        <v>-321.7</v>
      </c>
      <c r="AT13" s="54">
        <v>-340.7</v>
      </c>
      <c r="AU13" s="36">
        <v>-368.6</v>
      </c>
      <c r="AV13" s="205">
        <f t="shared" si="18"/>
        <v>-1320.4</v>
      </c>
      <c r="AW13" s="104">
        <v>-289.39999999999998</v>
      </c>
      <c r="AX13" s="54">
        <v>-321.7</v>
      </c>
      <c r="AY13" s="54">
        <v>-340.7</v>
      </c>
      <c r="AZ13" s="36">
        <v>-368.6</v>
      </c>
      <c r="BA13" s="205">
        <f t="shared" si="19"/>
        <v>-1320.4</v>
      </c>
      <c r="BB13" s="104">
        <v>-282.3</v>
      </c>
      <c r="BC13" s="54">
        <v>-334.8</v>
      </c>
      <c r="BD13" s="54">
        <v>-361.6</v>
      </c>
      <c r="BE13" s="36">
        <v>-359.5</v>
      </c>
      <c r="BF13" s="738">
        <f t="shared" si="20"/>
        <v>-1338.2</v>
      </c>
      <c r="BG13" s="104">
        <v>-276.7</v>
      </c>
      <c r="BH13" s="54">
        <v>-289.2</v>
      </c>
      <c r="BI13" s="54">
        <v>-297.60000000000002</v>
      </c>
      <c r="BJ13" s="36">
        <v>-337.2</v>
      </c>
      <c r="BK13" s="722">
        <f t="shared" si="21"/>
        <v>-1200.7</v>
      </c>
      <c r="BL13" s="104">
        <v>-277.5</v>
      </c>
      <c r="BM13" s="54">
        <v>-382</v>
      </c>
      <c r="BN13" s="54"/>
      <c r="BO13" s="36"/>
      <c r="BP13" s="722">
        <f t="shared" si="22"/>
        <v>-659.5</v>
      </c>
    </row>
    <row r="14" spans="1:68" ht="18.75" customHeight="1">
      <c r="A14" s="49" t="s">
        <v>46</v>
      </c>
      <c r="B14" s="114" t="s">
        <v>47</v>
      </c>
      <c r="C14" s="54">
        <v>-206.8</v>
      </c>
      <c r="D14" s="54">
        <v>-226.6</v>
      </c>
      <c r="E14" s="54">
        <v>-171.5</v>
      </c>
      <c r="F14" s="54">
        <v>-219</v>
      </c>
      <c r="G14" s="205">
        <f>SUM(C14:F14)</f>
        <v>-823.9</v>
      </c>
      <c r="H14" s="55">
        <v>-207.5</v>
      </c>
      <c r="I14" s="54">
        <v>-239.5</v>
      </c>
      <c r="J14" s="54">
        <v>-219.3</v>
      </c>
      <c r="K14" s="54">
        <v>-260.7</v>
      </c>
      <c r="L14" s="205">
        <f>SUM(H14:K14)</f>
        <v>-927</v>
      </c>
      <c r="M14" s="55">
        <v>-210.60000000000002</v>
      </c>
      <c r="N14" s="54">
        <v>-260.89999999999998</v>
      </c>
      <c r="O14" s="54">
        <v>-262.39999999999998</v>
      </c>
      <c r="P14" s="54">
        <v>-295.60000000000002</v>
      </c>
      <c r="Q14" s="205">
        <f>SUM(M14:P14)</f>
        <v>-1029.5</v>
      </c>
      <c r="R14" s="54">
        <v>-235.5</v>
      </c>
      <c r="S14" s="54">
        <v>-274</v>
      </c>
      <c r="T14" s="54">
        <v>-257.3</v>
      </c>
      <c r="U14" s="52">
        <v>-299.10000000000014</v>
      </c>
      <c r="V14" s="205">
        <v>-1065.9000000000001</v>
      </c>
      <c r="W14" s="56">
        <v>-248.5</v>
      </c>
      <c r="X14" s="56">
        <v>-316.3</v>
      </c>
      <c r="Y14" s="36">
        <v>-252.1</v>
      </c>
      <c r="Z14" s="52">
        <v>-297.3</v>
      </c>
      <c r="AA14" s="205">
        <f>SUM(W14:Z14)</f>
        <v>-1114.2</v>
      </c>
      <c r="AB14" s="56">
        <v>-264.3</v>
      </c>
      <c r="AC14" s="56">
        <v>-298.39999999999998</v>
      </c>
      <c r="AD14" s="36">
        <v>-269.7</v>
      </c>
      <c r="AE14" s="36">
        <v>-321.2</v>
      </c>
      <c r="AF14" s="205">
        <f t="shared" si="6"/>
        <v>-1153.6000000000001</v>
      </c>
      <c r="AG14" s="56">
        <v>-269.39999999999998</v>
      </c>
      <c r="AH14" s="54">
        <v>-316.8</v>
      </c>
      <c r="AI14" s="54">
        <v>-323.5</v>
      </c>
      <c r="AJ14" s="36">
        <v>-406.8</v>
      </c>
      <c r="AK14" s="205">
        <f t="shared" si="16"/>
        <v>-1316.5</v>
      </c>
      <c r="AL14" s="517"/>
      <c r="AM14" s="104">
        <v>-269.39999999999998</v>
      </c>
      <c r="AN14" s="54">
        <v>-323</v>
      </c>
      <c r="AO14" s="54">
        <v>-338.9</v>
      </c>
      <c r="AP14" s="36">
        <v>-424</v>
      </c>
      <c r="AQ14" s="205">
        <f t="shared" si="17"/>
        <v>-1355.3</v>
      </c>
      <c r="AR14" s="104">
        <v>-369</v>
      </c>
      <c r="AS14" s="54">
        <v>-418</v>
      </c>
      <c r="AT14" s="54">
        <v>-423</v>
      </c>
      <c r="AU14" s="36">
        <v>-456.9</v>
      </c>
      <c r="AV14" s="205">
        <f t="shared" si="18"/>
        <v>-1666.9</v>
      </c>
      <c r="AW14" s="104">
        <v>-366.9</v>
      </c>
      <c r="AX14" s="54">
        <v>-415.8</v>
      </c>
      <c r="AY14" s="54">
        <v>-421</v>
      </c>
      <c r="AZ14" s="36">
        <v>-454.8</v>
      </c>
      <c r="BA14" s="205">
        <f t="shared" si="19"/>
        <v>-1658.5</v>
      </c>
      <c r="BB14" s="104">
        <v>-388.8</v>
      </c>
      <c r="BC14" s="54">
        <v>-368.9</v>
      </c>
      <c r="BD14" s="54">
        <v>-396.7</v>
      </c>
      <c r="BE14" s="36">
        <v>-484</v>
      </c>
      <c r="BF14" s="738">
        <f t="shared" si="20"/>
        <v>-1638.4</v>
      </c>
      <c r="BG14" s="104">
        <v>-419.4</v>
      </c>
      <c r="BH14" s="54">
        <v>-449.2</v>
      </c>
      <c r="BI14" s="54">
        <v>-426.9</v>
      </c>
      <c r="BJ14" s="36">
        <v>-531.4</v>
      </c>
      <c r="BK14" s="722">
        <f t="shared" si="21"/>
        <v>-1826.9</v>
      </c>
      <c r="BL14" s="104">
        <v>-473.5</v>
      </c>
      <c r="BM14" s="54">
        <v>-504.9</v>
      </c>
      <c r="BN14" s="54"/>
      <c r="BO14" s="36"/>
      <c r="BP14" s="722">
        <f t="shared" si="22"/>
        <v>-978.4</v>
      </c>
    </row>
    <row r="15" spans="1:68" ht="30" customHeight="1">
      <c r="A15" s="49" t="s">
        <v>48</v>
      </c>
      <c r="B15" s="116" t="s">
        <v>49</v>
      </c>
      <c r="C15" s="54">
        <v>-71.5</v>
      </c>
      <c r="D15" s="54">
        <v>-71.8</v>
      </c>
      <c r="E15" s="54">
        <v>-73.7</v>
      </c>
      <c r="F15" s="54">
        <v>-95.7</v>
      </c>
      <c r="G15" s="205">
        <f>SUM(C15:F15)</f>
        <v>-312.7</v>
      </c>
      <c r="H15" s="55">
        <v>-79</v>
      </c>
      <c r="I15" s="54">
        <v>-81.3</v>
      </c>
      <c r="J15" s="54">
        <v>-79.3</v>
      </c>
      <c r="K15" s="54">
        <v>-92.4</v>
      </c>
      <c r="L15" s="205">
        <f>SUM(H15:K15)</f>
        <v>-332</v>
      </c>
      <c r="M15" s="55">
        <v>-75.400000000000006</v>
      </c>
      <c r="N15" s="54">
        <v>-132.19999999999999</v>
      </c>
      <c r="O15" s="54">
        <v>-186.8</v>
      </c>
      <c r="P15" s="54">
        <v>-218.3</v>
      </c>
      <c r="Q15" s="205">
        <f>SUM(M15:P15)</f>
        <v>-612.70000000000005</v>
      </c>
      <c r="R15" s="54">
        <v>-189.2</v>
      </c>
      <c r="S15" s="54">
        <v>-193.2</v>
      </c>
      <c r="T15" s="54">
        <v>-200.1</v>
      </c>
      <c r="U15" s="52">
        <v>-220.1</v>
      </c>
      <c r="V15" s="205">
        <v>-802.6</v>
      </c>
      <c r="W15" s="56">
        <v>-200.5</v>
      </c>
      <c r="X15" s="56">
        <v>-202.2</v>
      </c>
      <c r="Y15" s="36">
        <v>-202.6</v>
      </c>
      <c r="Z15" s="52">
        <v>-222.5</v>
      </c>
      <c r="AA15" s="205">
        <f>SUM(W15:Z15)</f>
        <v>-827.8</v>
      </c>
      <c r="AB15" s="56">
        <v>-211.1</v>
      </c>
      <c r="AC15" s="56">
        <v>-215.9</v>
      </c>
      <c r="AD15" s="36">
        <v>-224</v>
      </c>
      <c r="AE15" s="36">
        <v>-243.3</v>
      </c>
      <c r="AF15" s="205">
        <f t="shared" si="6"/>
        <v>-894.3</v>
      </c>
      <c r="AG15" s="56">
        <v>-205.2</v>
      </c>
      <c r="AH15" s="54">
        <v>-214.9</v>
      </c>
      <c r="AI15" s="54">
        <v>-217.1</v>
      </c>
      <c r="AJ15" s="36">
        <v>-265.60000000000002</v>
      </c>
      <c r="AK15" s="205">
        <f t="shared" si="16"/>
        <v>-902.80000000000007</v>
      </c>
      <c r="AL15" s="517"/>
      <c r="AM15" s="104">
        <v>-205.2</v>
      </c>
      <c r="AN15" s="54">
        <v>-223.5</v>
      </c>
      <c r="AO15" s="54">
        <v>-236.5</v>
      </c>
      <c r="AP15" s="36">
        <v>-268.69999999999993</v>
      </c>
      <c r="AQ15" s="205">
        <f t="shared" si="17"/>
        <v>-933.9</v>
      </c>
      <c r="AR15" s="104">
        <v>-249.5</v>
      </c>
      <c r="AS15" s="54">
        <v>-245.6</v>
      </c>
      <c r="AT15" s="54">
        <v>-261</v>
      </c>
      <c r="AU15" s="36">
        <v>-282.7</v>
      </c>
      <c r="AV15" s="205">
        <f t="shared" si="18"/>
        <v>-1038.8</v>
      </c>
      <c r="AW15" s="104">
        <v>-244.8</v>
      </c>
      <c r="AX15" s="54">
        <v>-241.8</v>
      </c>
      <c r="AY15" s="54">
        <v>-256.60000000000002</v>
      </c>
      <c r="AZ15" s="36">
        <v>-278.10000000000002</v>
      </c>
      <c r="BA15" s="205">
        <f t="shared" si="19"/>
        <v>-1021.3000000000001</v>
      </c>
      <c r="BB15" s="104">
        <v>-224.4</v>
      </c>
      <c r="BC15" s="54">
        <v>-232</v>
      </c>
      <c r="BD15" s="54">
        <v>-247.4</v>
      </c>
      <c r="BE15" s="36">
        <v>-259.39999999999998</v>
      </c>
      <c r="BF15" s="738">
        <f t="shared" si="20"/>
        <v>-963.19999999999993</v>
      </c>
      <c r="BG15" s="104">
        <v>-229</v>
      </c>
      <c r="BH15" s="54">
        <v>-230.6</v>
      </c>
      <c r="BI15" s="54">
        <v>-280.60000000000002</v>
      </c>
      <c r="BJ15" s="36">
        <v>-284.8</v>
      </c>
      <c r="BK15" s="722">
        <f t="shared" si="21"/>
        <v>-1025</v>
      </c>
      <c r="BL15" s="104">
        <v>-251.1</v>
      </c>
      <c r="BM15" s="54">
        <v>-256.2</v>
      </c>
      <c r="BN15" s="54"/>
      <c r="BO15" s="36"/>
      <c r="BP15" s="722">
        <f t="shared" si="22"/>
        <v>-507.29999999999995</v>
      </c>
    </row>
    <row r="16" spans="1:68" ht="20.100000000000001" customHeight="1">
      <c r="A16" s="49" t="s">
        <v>50</v>
      </c>
      <c r="B16" s="114" t="s">
        <v>51</v>
      </c>
      <c r="C16" s="54">
        <v>-40.6</v>
      </c>
      <c r="D16" s="54">
        <v>-40.299999999999997</v>
      </c>
      <c r="E16" s="54">
        <v>-38.9</v>
      </c>
      <c r="F16" s="54">
        <v>-58.6</v>
      </c>
      <c r="G16" s="205">
        <f t="shared" ref="G16:G20" si="23">SUM(C16:F16)</f>
        <v>-178.4</v>
      </c>
      <c r="H16" s="55">
        <v>-43.1</v>
      </c>
      <c r="I16" s="54">
        <v>-41.9</v>
      </c>
      <c r="J16" s="54">
        <v>-40.4</v>
      </c>
      <c r="K16" s="54">
        <v>-53.2</v>
      </c>
      <c r="L16" s="205">
        <f t="shared" ref="L16:L20" si="24">SUM(H16:K16)</f>
        <v>-178.60000000000002</v>
      </c>
      <c r="M16" s="55">
        <v>-44.600000000000009</v>
      </c>
      <c r="N16" s="54">
        <v>-108.2</v>
      </c>
      <c r="O16" s="54">
        <v>-118</v>
      </c>
      <c r="P16" s="54">
        <v>-150.9</v>
      </c>
      <c r="Q16" s="205">
        <f t="shared" ref="Q16:Q20" si="25">SUM(M16:P16)</f>
        <v>-421.70000000000005</v>
      </c>
      <c r="R16" s="54">
        <v>-129.1</v>
      </c>
      <c r="S16" s="54">
        <v>-140.80000000000001</v>
      </c>
      <c r="T16" s="54">
        <v>-122.3</v>
      </c>
      <c r="U16" s="52">
        <v>-158.00000000000006</v>
      </c>
      <c r="V16" s="205">
        <v>-550.20000000000005</v>
      </c>
      <c r="W16" s="56">
        <v>-137.9</v>
      </c>
      <c r="X16" s="56">
        <v>-138.19999999999999</v>
      </c>
      <c r="Y16" s="36">
        <v>-130.5</v>
      </c>
      <c r="Z16" s="52">
        <v>-163.9</v>
      </c>
      <c r="AA16" s="205">
        <f t="shared" si="5"/>
        <v>-570.5</v>
      </c>
      <c r="AB16" s="56">
        <v>-127.8</v>
      </c>
      <c r="AC16" s="56">
        <v>-133.69999999999999</v>
      </c>
      <c r="AD16" s="36">
        <v>-127.4</v>
      </c>
      <c r="AE16" s="36">
        <v>-164.2</v>
      </c>
      <c r="AF16" s="205">
        <f t="shared" si="6"/>
        <v>-553.09999999999991</v>
      </c>
      <c r="AG16" s="56">
        <v>-143.80000000000001</v>
      </c>
      <c r="AH16" s="54">
        <v>-146</v>
      </c>
      <c r="AI16" s="54">
        <v>-137</v>
      </c>
      <c r="AJ16" s="36">
        <v>-184.2</v>
      </c>
      <c r="AK16" s="205">
        <f t="shared" si="16"/>
        <v>-611</v>
      </c>
      <c r="AL16" s="518"/>
      <c r="AM16" s="104">
        <v>-143.80000000000001</v>
      </c>
      <c r="AN16" s="54">
        <v>-169.3</v>
      </c>
      <c r="AO16" s="54">
        <v>-187.1</v>
      </c>
      <c r="AP16" s="36">
        <v>-238.7</v>
      </c>
      <c r="AQ16" s="205">
        <f t="shared" si="17"/>
        <v>-738.90000000000009</v>
      </c>
      <c r="AR16" s="104">
        <v>-212.6</v>
      </c>
      <c r="AS16" s="54">
        <v>-205.6</v>
      </c>
      <c r="AT16" s="54">
        <v>-199.3</v>
      </c>
      <c r="AU16" s="36">
        <v>-253.1</v>
      </c>
      <c r="AV16" s="205">
        <f t="shared" si="18"/>
        <v>-870.6</v>
      </c>
      <c r="AW16" s="104">
        <v>-212.6</v>
      </c>
      <c r="AX16" s="54">
        <v>-205.6</v>
      </c>
      <c r="AY16" s="54">
        <v>-199.3</v>
      </c>
      <c r="AZ16" s="36">
        <v>-253.1</v>
      </c>
      <c r="BA16" s="205">
        <f t="shared" si="19"/>
        <v>-870.6</v>
      </c>
      <c r="BB16" s="104">
        <v>-221.9</v>
      </c>
      <c r="BC16" s="54">
        <v>-210.2</v>
      </c>
      <c r="BD16" s="54">
        <v>-208</v>
      </c>
      <c r="BE16" s="36">
        <v>-265.8</v>
      </c>
      <c r="BF16" s="738">
        <f t="shared" si="20"/>
        <v>-905.90000000000009</v>
      </c>
      <c r="BG16" s="104">
        <v>-236.9</v>
      </c>
      <c r="BH16" s="54">
        <v>-227.9</v>
      </c>
      <c r="BI16" s="54">
        <v>-210.8</v>
      </c>
      <c r="BJ16" s="36">
        <v>-271.3</v>
      </c>
      <c r="BK16" s="722">
        <f t="shared" si="21"/>
        <v>-946.90000000000009</v>
      </c>
      <c r="BL16" s="104">
        <v>-244.6</v>
      </c>
      <c r="BM16" s="54">
        <v>-247.1</v>
      </c>
      <c r="BN16" s="54"/>
      <c r="BO16" s="36"/>
      <c r="BP16" s="722">
        <f t="shared" si="22"/>
        <v>-491.7</v>
      </c>
    </row>
    <row r="17" spans="1:68" ht="30" customHeight="1">
      <c r="A17" s="49" t="s">
        <v>52</v>
      </c>
      <c r="B17" s="117" t="s">
        <v>53</v>
      </c>
      <c r="C17" s="54">
        <v>-5.9</v>
      </c>
      <c r="D17" s="54">
        <v>-8.4</v>
      </c>
      <c r="E17" s="54">
        <v>-5.3</v>
      </c>
      <c r="F17" s="54">
        <v>-7.8</v>
      </c>
      <c r="G17" s="205">
        <f t="shared" si="23"/>
        <v>-27.400000000000002</v>
      </c>
      <c r="H17" s="55">
        <v>-6.42</v>
      </c>
      <c r="I17" s="54">
        <v>-9.3000000000000007</v>
      </c>
      <c r="J17" s="54">
        <v>-5.3</v>
      </c>
      <c r="K17" s="54">
        <v>-7.2</v>
      </c>
      <c r="L17" s="205">
        <f t="shared" si="24"/>
        <v>-28.22</v>
      </c>
      <c r="M17" s="55">
        <v>-6.6999999999999993</v>
      </c>
      <c r="N17" s="54">
        <v>-18.100000000000001</v>
      </c>
      <c r="O17" s="54">
        <v>-15.3</v>
      </c>
      <c r="P17" s="54">
        <v>-27.5</v>
      </c>
      <c r="Q17" s="205">
        <f t="shared" si="25"/>
        <v>-67.599999999999994</v>
      </c>
      <c r="R17" s="54">
        <v>-18.7</v>
      </c>
      <c r="S17" s="54">
        <v>-27.8</v>
      </c>
      <c r="T17" s="54">
        <v>-8.5</v>
      </c>
      <c r="U17" s="52">
        <v>-7.6000000000000014</v>
      </c>
      <c r="V17" s="205">
        <v>-62.6</v>
      </c>
      <c r="W17" s="56">
        <v>-9.6</v>
      </c>
      <c r="X17" s="56">
        <v>-16.3</v>
      </c>
      <c r="Y17" s="36">
        <v>-5.7</v>
      </c>
      <c r="Z17" s="52">
        <v>-15.3</v>
      </c>
      <c r="AA17" s="205">
        <f t="shared" si="5"/>
        <v>-46.9</v>
      </c>
      <c r="AB17" s="56">
        <v>-19.3</v>
      </c>
      <c r="AC17" s="56">
        <v>-16.3</v>
      </c>
      <c r="AD17" s="36">
        <v>-21.3</v>
      </c>
      <c r="AE17" s="36">
        <v>-10.5</v>
      </c>
      <c r="AF17" s="205">
        <f t="shared" si="6"/>
        <v>-67.400000000000006</v>
      </c>
      <c r="AG17" s="56">
        <v>-11.9</v>
      </c>
      <c r="AH17" s="54">
        <v>-18.2</v>
      </c>
      <c r="AI17" s="54">
        <v>-32.9</v>
      </c>
      <c r="AJ17" s="36">
        <v>-19</v>
      </c>
      <c r="AK17" s="205">
        <f t="shared" si="16"/>
        <v>-82</v>
      </c>
      <c r="AL17" s="517"/>
      <c r="AM17" s="104">
        <v>-11.9</v>
      </c>
      <c r="AN17" s="54">
        <v>-17.600000000000001</v>
      </c>
      <c r="AO17" s="54">
        <v>-34.799999999999997</v>
      </c>
      <c r="AP17" s="36">
        <v>-19.600000000000009</v>
      </c>
      <c r="AQ17" s="205">
        <f t="shared" si="17"/>
        <v>-83.9</v>
      </c>
      <c r="AR17" s="104">
        <v>-34.6</v>
      </c>
      <c r="AS17" s="54">
        <v>-16.899999999999999</v>
      </c>
      <c r="AT17" s="54">
        <v>-19.8</v>
      </c>
      <c r="AU17" s="36">
        <v>-27.6</v>
      </c>
      <c r="AV17" s="205">
        <f t="shared" si="18"/>
        <v>-98.9</v>
      </c>
      <c r="AW17" s="104">
        <v>-34.6</v>
      </c>
      <c r="AX17" s="54">
        <v>-16.899999999999999</v>
      </c>
      <c r="AY17" s="54">
        <v>-19.8</v>
      </c>
      <c r="AZ17" s="36">
        <v>-27.6</v>
      </c>
      <c r="BA17" s="205">
        <f t="shared" si="19"/>
        <v>-98.9</v>
      </c>
      <c r="BB17" s="104">
        <v>-44.311173479999866</v>
      </c>
      <c r="BC17" s="54">
        <v>-36.6</v>
      </c>
      <c r="BD17" s="54">
        <v>-22.8</v>
      </c>
      <c r="BE17" s="36">
        <v>-25.2</v>
      </c>
      <c r="BF17" s="738">
        <f t="shared" si="20"/>
        <v>-128.91117347999986</v>
      </c>
      <c r="BG17" s="104">
        <v>-29.8</v>
      </c>
      <c r="BH17" s="54">
        <v>-22.7</v>
      </c>
      <c r="BI17" s="54">
        <v>-30.4</v>
      </c>
      <c r="BJ17" s="36">
        <v>-12.5</v>
      </c>
      <c r="BK17" s="722">
        <f t="shared" si="21"/>
        <v>-95.4</v>
      </c>
      <c r="BL17" s="104">
        <v>-24.8</v>
      </c>
      <c r="BM17" s="54">
        <v>-22.3</v>
      </c>
      <c r="BN17" s="54"/>
      <c r="BO17" s="36"/>
      <c r="BP17" s="722">
        <f t="shared" si="22"/>
        <v>-47.1</v>
      </c>
    </row>
    <row r="18" spans="1:68" ht="18.75" customHeight="1">
      <c r="A18" s="49" t="s">
        <v>54</v>
      </c>
      <c r="B18" s="114" t="s">
        <v>55</v>
      </c>
      <c r="C18" s="54">
        <v>-30.1</v>
      </c>
      <c r="D18" s="54">
        <v>-33.200000000000003</v>
      </c>
      <c r="E18" s="54">
        <v>-29.7</v>
      </c>
      <c r="F18" s="54">
        <v>-34.200000000000003</v>
      </c>
      <c r="G18" s="205">
        <f t="shared" si="23"/>
        <v>-127.2</v>
      </c>
      <c r="H18" s="55">
        <v>-29.7</v>
      </c>
      <c r="I18" s="54">
        <v>-29.3</v>
      </c>
      <c r="J18" s="54">
        <v>-28.7</v>
      </c>
      <c r="K18" s="54">
        <v>-27.6</v>
      </c>
      <c r="L18" s="205">
        <f t="shared" si="24"/>
        <v>-115.30000000000001</v>
      </c>
      <c r="M18" s="55">
        <v>-26.000000000000007</v>
      </c>
      <c r="N18" s="54">
        <v>-43.4</v>
      </c>
      <c r="O18" s="54">
        <v>-87.2</v>
      </c>
      <c r="P18" s="54">
        <v>-55.5</v>
      </c>
      <c r="Q18" s="205">
        <f t="shared" si="25"/>
        <v>-212.10000000000002</v>
      </c>
      <c r="R18" s="54">
        <v>-53.8</v>
      </c>
      <c r="S18" s="54">
        <v>-56.1</v>
      </c>
      <c r="T18" s="54">
        <v>-44.6</v>
      </c>
      <c r="U18" s="52">
        <v>-59.099999999999994</v>
      </c>
      <c r="V18" s="205">
        <v>-213.5</v>
      </c>
      <c r="W18" s="56">
        <v>-50.7</v>
      </c>
      <c r="X18" s="56">
        <v>-67.599999999999994</v>
      </c>
      <c r="Y18" s="36">
        <v>-50.2</v>
      </c>
      <c r="Z18" s="52">
        <v>-76.5</v>
      </c>
      <c r="AA18" s="205">
        <f t="shared" si="5"/>
        <v>-245</v>
      </c>
      <c r="AB18" s="56">
        <v>-51.6</v>
      </c>
      <c r="AC18" s="56">
        <v>-49.5</v>
      </c>
      <c r="AD18" s="36">
        <v>-52.3</v>
      </c>
      <c r="AE18" s="36">
        <v>-73.5</v>
      </c>
      <c r="AF18" s="205">
        <f t="shared" si="6"/>
        <v>-226.89999999999998</v>
      </c>
      <c r="AG18" s="56">
        <v>-55.3</v>
      </c>
      <c r="AH18" s="54">
        <v>-55.2</v>
      </c>
      <c r="AI18" s="54">
        <v>-53.4</v>
      </c>
      <c r="AJ18" s="36">
        <v>-68</v>
      </c>
      <c r="AK18" s="205">
        <f t="shared" si="16"/>
        <v>-231.9</v>
      </c>
      <c r="AL18" s="517"/>
      <c r="AM18" s="104">
        <v>-55.3</v>
      </c>
      <c r="AN18" s="54">
        <v>-61.8</v>
      </c>
      <c r="AO18" s="54">
        <v>-69.099999999999994</v>
      </c>
      <c r="AP18" s="36">
        <v>-86.800000000000011</v>
      </c>
      <c r="AQ18" s="205">
        <f t="shared" si="17"/>
        <v>-273</v>
      </c>
      <c r="AR18" s="104">
        <v>-70.599999999999994</v>
      </c>
      <c r="AS18" s="54">
        <v>-73.599999999999994</v>
      </c>
      <c r="AT18" s="54">
        <v>-76.599999999999994</v>
      </c>
      <c r="AU18" s="36">
        <v>-80.7</v>
      </c>
      <c r="AV18" s="205">
        <f t="shared" si="18"/>
        <v>-301.5</v>
      </c>
      <c r="AW18" s="104">
        <v>-57.8</v>
      </c>
      <c r="AX18" s="54">
        <v>-60.4</v>
      </c>
      <c r="AY18" s="54">
        <v>-62.1</v>
      </c>
      <c r="AZ18" s="36">
        <v>-63.8</v>
      </c>
      <c r="BA18" s="205">
        <f t="shared" si="19"/>
        <v>-244.09999999999997</v>
      </c>
      <c r="BB18" s="104">
        <v>-65.099999999999994</v>
      </c>
      <c r="BC18" s="54">
        <v>-71.099999999999994</v>
      </c>
      <c r="BD18" s="54">
        <v>-76.3</v>
      </c>
      <c r="BE18" s="36">
        <v>-120.1</v>
      </c>
      <c r="BF18" s="738">
        <f t="shared" si="20"/>
        <v>-332.6</v>
      </c>
      <c r="BG18" s="104">
        <v>-93.2</v>
      </c>
      <c r="BH18" s="54">
        <v>-158.30000000000001</v>
      </c>
      <c r="BI18" s="54">
        <v>-95.7</v>
      </c>
      <c r="BJ18" s="36">
        <v>-110.5</v>
      </c>
      <c r="BK18" s="722">
        <f t="shared" si="21"/>
        <v>-457.7</v>
      </c>
      <c r="BL18" s="104">
        <v>-106.4</v>
      </c>
      <c r="BM18" s="107">
        <v>-127.4</v>
      </c>
      <c r="BN18" s="107"/>
      <c r="BO18" s="97"/>
      <c r="BP18" s="738">
        <f t="shared" si="22"/>
        <v>-233.8</v>
      </c>
    </row>
    <row r="19" spans="1:68" s="415" customFormat="1" ht="22.5" customHeight="1">
      <c r="A19" s="408" t="s">
        <v>56</v>
      </c>
      <c r="B19" s="409" t="s">
        <v>57</v>
      </c>
      <c r="C19" s="414"/>
      <c r="D19" s="414"/>
      <c r="E19" s="414"/>
      <c r="F19" s="414"/>
      <c r="G19" s="494"/>
      <c r="H19" s="412"/>
      <c r="I19" s="410"/>
      <c r="J19" s="410"/>
      <c r="K19" s="414"/>
      <c r="L19" s="411"/>
      <c r="M19" s="412"/>
      <c r="N19" s="410"/>
      <c r="O19" s="410"/>
      <c r="P19" s="414"/>
      <c r="Q19" s="411"/>
      <c r="R19" s="410"/>
      <c r="S19" s="410"/>
      <c r="T19" s="493"/>
      <c r="U19" s="493"/>
      <c r="V19" s="411"/>
      <c r="W19" s="410"/>
      <c r="X19" s="410"/>
      <c r="Y19" s="414"/>
      <c r="Z19" s="493"/>
      <c r="AA19" s="411"/>
      <c r="AB19" s="410"/>
      <c r="AC19" s="410"/>
      <c r="AD19" s="410"/>
      <c r="AE19" s="493"/>
      <c r="AF19" s="411"/>
      <c r="AG19" s="410"/>
      <c r="AH19" s="493"/>
      <c r="AI19" s="410"/>
      <c r="AJ19" s="414"/>
      <c r="AK19" s="411"/>
      <c r="AL19" s="416"/>
      <c r="AM19" s="412"/>
      <c r="AN19" s="493"/>
      <c r="AO19" s="410"/>
      <c r="AP19" s="414"/>
      <c r="AQ19" s="411"/>
      <c r="AR19" s="412"/>
      <c r="AS19" s="410"/>
      <c r="AT19" s="410"/>
      <c r="AU19" s="410"/>
      <c r="AV19" s="411"/>
      <c r="AW19" s="412"/>
      <c r="AX19" s="410"/>
      <c r="AY19" s="410"/>
      <c r="AZ19" s="410"/>
      <c r="BA19" s="411"/>
      <c r="BB19" s="412"/>
      <c r="BC19" s="493"/>
      <c r="BD19" s="493"/>
      <c r="BE19" s="410"/>
      <c r="BF19" s="717"/>
      <c r="BG19" s="412"/>
      <c r="BH19" s="493"/>
      <c r="BI19" s="410">
        <v>3690.8</v>
      </c>
      <c r="BJ19" s="516">
        <v>-10.199999999999999</v>
      </c>
      <c r="BK19" s="717">
        <f t="shared" si="21"/>
        <v>3680.6000000000004</v>
      </c>
      <c r="BL19" s="778">
        <v>0</v>
      </c>
      <c r="BM19" s="779">
        <v>0</v>
      </c>
      <c r="BN19" s="410"/>
      <c r="BO19" s="516"/>
      <c r="BP19" s="717">
        <f t="shared" si="22"/>
        <v>0</v>
      </c>
    </row>
    <row r="20" spans="1:68" s="415" customFormat="1" ht="22.5" customHeight="1">
      <c r="A20" s="408" t="s">
        <v>58</v>
      </c>
      <c r="B20" s="409" t="s">
        <v>59</v>
      </c>
      <c r="C20" s="414">
        <v>-1.7</v>
      </c>
      <c r="D20" s="414">
        <v>-1.1000000000000001</v>
      </c>
      <c r="E20" s="414">
        <v>-2</v>
      </c>
      <c r="F20" s="414">
        <v>-12.7</v>
      </c>
      <c r="G20" s="494">
        <f t="shared" si="23"/>
        <v>-17.5</v>
      </c>
      <c r="H20" s="412">
        <v>0.5</v>
      </c>
      <c r="I20" s="410">
        <v>1.5</v>
      </c>
      <c r="J20" s="410">
        <v>36.799999999999997</v>
      </c>
      <c r="K20" s="414">
        <v>-2</v>
      </c>
      <c r="L20" s="411">
        <f t="shared" si="24"/>
        <v>36.799999999999997</v>
      </c>
      <c r="M20" s="412">
        <v>3.6</v>
      </c>
      <c r="N20" s="410">
        <v>3.5</v>
      </c>
      <c r="O20" s="410">
        <v>4.7</v>
      </c>
      <c r="P20" s="414">
        <v>-2.2000000000000002</v>
      </c>
      <c r="Q20" s="411">
        <f t="shared" si="25"/>
        <v>9.6000000000000014</v>
      </c>
      <c r="R20" s="410">
        <v>8.6999999999999993</v>
      </c>
      <c r="S20" s="410">
        <v>13.8</v>
      </c>
      <c r="T20" s="493">
        <v>14.4</v>
      </c>
      <c r="U20" s="493">
        <v>-6.2</v>
      </c>
      <c r="V20" s="411">
        <v>30.7</v>
      </c>
      <c r="W20" s="410">
        <v>6.8</v>
      </c>
      <c r="X20" s="410">
        <v>6.6</v>
      </c>
      <c r="Y20" s="414">
        <v>0</v>
      </c>
      <c r="Z20" s="493">
        <v>-4.5999999999999996</v>
      </c>
      <c r="AA20" s="411">
        <f t="shared" si="5"/>
        <v>8.7999999999999989</v>
      </c>
      <c r="AB20" s="410">
        <v>6.8</v>
      </c>
      <c r="AC20" s="410">
        <v>9.9</v>
      </c>
      <c r="AD20" s="410">
        <v>6.7</v>
      </c>
      <c r="AE20" s="493">
        <v>-2.1</v>
      </c>
      <c r="AF20" s="411">
        <f t="shared" si="6"/>
        <v>21.299999999999997</v>
      </c>
      <c r="AG20" s="410">
        <v>6.7</v>
      </c>
      <c r="AH20" s="493">
        <v>-1.9</v>
      </c>
      <c r="AI20" s="410">
        <v>4.5999999999999996</v>
      </c>
      <c r="AJ20" s="414">
        <v>0</v>
      </c>
      <c r="AK20" s="411">
        <f t="shared" si="16"/>
        <v>9.4</v>
      </c>
      <c r="AL20" s="416"/>
      <c r="AM20" s="412">
        <v>6.7</v>
      </c>
      <c r="AN20" s="493">
        <v>-0.6</v>
      </c>
      <c r="AO20" s="410">
        <v>7.3</v>
      </c>
      <c r="AP20" s="414">
        <v>6.2999999999999989</v>
      </c>
      <c r="AQ20" s="411">
        <f t="shared" si="17"/>
        <v>19.7</v>
      </c>
      <c r="AR20" s="412">
        <v>16.600000000000001</v>
      </c>
      <c r="AS20" s="410">
        <v>6.7</v>
      </c>
      <c r="AT20" s="410">
        <v>3.4</v>
      </c>
      <c r="AU20" s="410">
        <v>19</v>
      </c>
      <c r="AV20" s="411">
        <f t="shared" si="18"/>
        <v>45.7</v>
      </c>
      <c r="AW20" s="412">
        <v>16.600000000000001</v>
      </c>
      <c r="AX20" s="410">
        <v>6.7</v>
      </c>
      <c r="AY20" s="410">
        <v>3.4</v>
      </c>
      <c r="AZ20" s="410">
        <v>19</v>
      </c>
      <c r="BA20" s="411">
        <f t="shared" si="19"/>
        <v>45.7</v>
      </c>
      <c r="BB20" s="412">
        <v>5.8</v>
      </c>
      <c r="BC20" s="493">
        <v>-13</v>
      </c>
      <c r="BD20" s="493">
        <v>-2.8</v>
      </c>
      <c r="BE20" s="410">
        <v>7.1</v>
      </c>
      <c r="BF20" s="717">
        <f t="shared" si="20"/>
        <v>-2.9000000000000004</v>
      </c>
      <c r="BG20" s="412">
        <v>5</v>
      </c>
      <c r="BH20" s="493">
        <v>-7.9</v>
      </c>
      <c r="BI20" s="410">
        <v>4.5999999999999996</v>
      </c>
      <c r="BJ20" s="493">
        <v>-24.4</v>
      </c>
      <c r="BK20" s="717">
        <f>SUM(BG20:BJ20)</f>
        <v>-22.7</v>
      </c>
      <c r="BL20" s="493">
        <v>-32.700000000000003</v>
      </c>
      <c r="BM20" s="493">
        <v>13.1</v>
      </c>
      <c r="BN20" s="410"/>
      <c r="BO20" s="493"/>
      <c r="BP20" s="717">
        <f>SUM(BL20:BO20)</f>
        <v>-19.600000000000001</v>
      </c>
    </row>
    <row r="21" spans="1:68" s="443" customFormat="1" ht="22.5" customHeight="1">
      <c r="A21" s="436" t="s">
        <v>60</v>
      </c>
      <c r="B21" s="437" t="s">
        <v>61</v>
      </c>
      <c r="C21" s="438">
        <f t="shared" ref="C21:AK21" si="26">C5+C10+C20</f>
        <v>203.00000000000006</v>
      </c>
      <c r="D21" s="438">
        <f t="shared" si="26"/>
        <v>212.99999999999997</v>
      </c>
      <c r="E21" s="438">
        <f t="shared" si="26"/>
        <v>197.60000000000002</v>
      </c>
      <c r="F21" s="438">
        <f t="shared" si="26"/>
        <v>175.50000000000017</v>
      </c>
      <c r="G21" s="439">
        <f t="shared" si="26"/>
        <v>789.09999999999923</v>
      </c>
      <c r="H21" s="440">
        <f t="shared" si="26"/>
        <v>184.67999999999995</v>
      </c>
      <c r="I21" s="438">
        <f t="shared" si="26"/>
        <v>195</v>
      </c>
      <c r="J21" s="438">
        <f t="shared" si="26"/>
        <v>203.39999999999998</v>
      </c>
      <c r="K21" s="438">
        <f t="shared" si="26"/>
        <v>206.79999999999995</v>
      </c>
      <c r="L21" s="439">
        <f t="shared" si="26"/>
        <v>789.88000000000034</v>
      </c>
      <c r="M21" s="440">
        <f t="shared" si="26"/>
        <v>219.4999999999998</v>
      </c>
      <c r="N21" s="438">
        <f t="shared" si="26"/>
        <v>397.59999999999991</v>
      </c>
      <c r="O21" s="438">
        <f t="shared" si="26"/>
        <v>431.79999999999967</v>
      </c>
      <c r="P21" s="438">
        <f t="shared" si="26"/>
        <v>393.50000000000074</v>
      </c>
      <c r="Q21" s="439">
        <f t="shared" si="26"/>
        <v>1442.3999999999992</v>
      </c>
      <c r="R21" s="438">
        <f t="shared" si="26"/>
        <v>428.7</v>
      </c>
      <c r="S21" s="438">
        <f t="shared" si="26"/>
        <v>583.5</v>
      </c>
      <c r="T21" s="438">
        <f t="shared" si="26"/>
        <v>529.1999999999997</v>
      </c>
      <c r="U21" s="438">
        <f t="shared" si="26"/>
        <v>444.40000000000038</v>
      </c>
      <c r="V21" s="439">
        <f t="shared" si="26"/>
        <v>1985.7999999999995</v>
      </c>
      <c r="W21" s="438">
        <f t="shared" si="26"/>
        <v>422.8</v>
      </c>
      <c r="X21" s="438">
        <f t="shared" si="26"/>
        <v>407.50000000000011</v>
      </c>
      <c r="Y21" s="441">
        <f t="shared" si="26"/>
        <v>449.10000000000036</v>
      </c>
      <c r="Z21" s="441">
        <f t="shared" si="26"/>
        <v>389.9</v>
      </c>
      <c r="AA21" s="439">
        <f t="shared" si="26"/>
        <v>1669.3</v>
      </c>
      <c r="AB21" s="438">
        <f t="shared" si="26"/>
        <v>457.20000000000033</v>
      </c>
      <c r="AC21" s="438">
        <f t="shared" si="26"/>
        <v>516.99999999999989</v>
      </c>
      <c r="AD21" s="438">
        <f t="shared" si="26"/>
        <v>421.90000000000003</v>
      </c>
      <c r="AE21" s="438">
        <f t="shared" si="26"/>
        <v>437.9</v>
      </c>
      <c r="AF21" s="439">
        <f t="shared" si="26"/>
        <v>1834.0000000000007</v>
      </c>
      <c r="AG21" s="438">
        <f t="shared" si="26"/>
        <v>464.29999999999967</v>
      </c>
      <c r="AH21" s="438">
        <f t="shared" si="26"/>
        <v>488.49999999999989</v>
      </c>
      <c r="AI21" s="438">
        <f t="shared" si="26"/>
        <v>396.00000000000011</v>
      </c>
      <c r="AJ21" s="442">
        <f t="shared" si="26"/>
        <v>416</v>
      </c>
      <c r="AK21" s="439">
        <f t="shared" si="26"/>
        <v>1764.7999999999997</v>
      </c>
      <c r="AL21" s="416"/>
      <c r="AM21" s="440">
        <f t="shared" ref="AM21:BH21" si="27">AM5+AM10+AM20</f>
        <v>435.49999999999994</v>
      </c>
      <c r="AN21" s="438">
        <f t="shared" si="27"/>
        <v>475.5999999999998</v>
      </c>
      <c r="AO21" s="438">
        <f t="shared" si="27"/>
        <v>396.49999999999983</v>
      </c>
      <c r="AP21" s="442">
        <f t="shared" si="27"/>
        <v>419.39999999999992</v>
      </c>
      <c r="AQ21" s="439">
        <f t="shared" si="27"/>
        <v>1727.000000000003</v>
      </c>
      <c r="AR21" s="440">
        <f t="shared" si="27"/>
        <v>481.9000000000002</v>
      </c>
      <c r="AS21" s="438">
        <f t="shared" si="27"/>
        <v>515.29999999999995</v>
      </c>
      <c r="AT21" s="438">
        <f t="shared" si="27"/>
        <v>452.6999999999997</v>
      </c>
      <c r="AU21" s="438">
        <f t="shared" si="27"/>
        <v>485.00000000000091</v>
      </c>
      <c r="AV21" s="439">
        <f t="shared" si="27"/>
        <v>1934.9000000000026</v>
      </c>
      <c r="AW21" s="440">
        <f t="shared" si="27"/>
        <v>491.19999999999948</v>
      </c>
      <c r="AX21" s="438">
        <f t="shared" si="27"/>
        <v>522.49999999999977</v>
      </c>
      <c r="AY21" s="438">
        <f t="shared" si="27"/>
        <v>458.99999999999989</v>
      </c>
      <c r="AZ21" s="438">
        <f t="shared" si="27"/>
        <v>494.30000000000018</v>
      </c>
      <c r="BA21" s="439">
        <f t="shared" si="27"/>
        <v>1967.0000000000011</v>
      </c>
      <c r="BB21" s="440">
        <f t="shared" si="27"/>
        <v>462.18882651999985</v>
      </c>
      <c r="BC21" s="438">
        <f t="shared" si="27"/>
        <v>394.10000000000082</v>
      </c>
      <c r="BD21" s="438">
        <f t="shared" si="27"/>
        <v>505.89999999999981</v>
      </c>
      <c r="BE21" s="438">
        <f t="shared" si="27"/>
        <v>524.00000000000011</v>
      </c>
      <c r="BF21" s="718">
        <f t="shared" si="27"/>
        <v>1886.1888265199991</v>
      </c>
      <c r="BG21" s="440">
        <f t="shared" si="27"/>
        <v>561.5</v>
      </c>
      <c r="BH21" s="438">
        <f t="shared" si="27"/>
        <v>683.69999999999993</v>
      </c>
      <c r="BI21" s="438">
        <f>BI5+BI10+BI20+BI19</f>
        <v>4131.4000000000005</v>
      </c>
      <c r="BJ21" s="438">
        <f>BJ5+BJ10+BJ20+BJ19</f>
        <v>419.79999999999967</v>
      </c>
      <c r="BK21" s="717">
        <f>BK5+BK10+BK20+BK19</f>
        <v>5796.3999999999987</v>
      </c>
      <c r="BL21" s="440">
        <f>BL5+BL10+BL20</f>
        <v>320.3</v>
      </c>
      <c r="BM21" s="438">
        <f>BM5+BM10+BM20</f>
        <v>425.79999999999984</v>
      </c>
      <c r="BN21" s="438">
        <f>BN5+BN10+BN20+BN19</f>
        <v>0</v>
      </c>
      <c r="BO21" s="438">
        <f>BO5+BO10+BO20+BO19</f>
        <v>0</v>
      </c>
      <c r="BP21" s="717">
        <f>BP5+BP10+BP20+BP19</f>
        <v>746.09999999999889</v>
      </c>
    </row>
    <row r="22" spans="1:68" ht="20.100000000000001" customHeight="1">
      <c r="A22" s="49" t="s">
        <v>62</v>
      </c>
      <c r="B22" s="417" t="s">
        <v>63</v>
      </c>
      <c r="C22" s="54">
        <v>12.5</v>
      </c>
      <c r="D22" s="54">
        <v>-8.5</v>
      </c>
      <c r="E22" s="54">
        <v>5.3</v>
      </c>
      <c r="F22" s="54">
        <v>5</v>
      </c>
      <c r="G22" s="205">
        <f>SUM(C22:F22)</f>
        <v>14.3</v>
      </c>
      <c r="H22" s="55">
        <v>3.9</v>
      </c>
      <c r="I22" s="54">
        <v>0.7</v>
      </c>
      <c r="J22" s="54">
        <v>7.4</v>
      </c>
      <c r="K22" s="54">
        <v>4.0999999999999996</v>
      </c>
      <c r="L22" s="205">
        <f>SUM(H22:K22)</f>
        <v>16.100000000000001</v>
      </c>
      <c r="M22" s="55">
        <v>1.2000000000000028</v>
      </c>
      <c r="N22" s="54">
        <v>23.9</v>
      </c>
      <c r="O22" s="54">
        <v>1.5</v>
      </c>
      <c r="P22" s="54">
        <v>-11.4</v>
      </c>
      <c r="Q22" s="205">
        <f>SUM(M22:P22)</f>
        <v>15.200000000000001</v>
      </c>
      <c r="R22" s="54">
        <v>28.9</v>
      </c>
      <c r="S22" s="54">
        <v>-11.9</v>
      </c>
      <c r="T22" s="54">
        <v>-5.2</v>
      </c>
      <c r="U22" s="52">
        <v>-3.2</v>
      </c>
      <c r="V22" s="205">
        <v>8.6000000000000014</v>
      </c>
      <c r="W22" s="56">
        <v>-35.200000000000003</v>
      </c>
      <c r="X22" s="56">
        <v>-21.4</v>
      </c>
      <c r="Y22" s="36">
        <v>13.1</v>
      </c>
      <c r="Z22" s="52">
        <v>-26.3</v>
      </c>
      <c r="AA22" s="205">
        <f t="shared" si="5"/>
        <v>-69.8</v>
      </c>
      <c r="AB22" s="56">
        <v>30.5</v>
      </c>
      <c r="AC22" s="56">
        <v>-14.4</v>
      </c>
      <c r="AD22" s="36">
        <v>-28</v>
      </c>
      <c r="AE22" s="36">
        <v>19.100000000000001</v>
      </c>
      <c r="AF22" s="205">
        <f t="shared" si="6"/>
        <v>7.2000000000000028</v>
      </c>
      <c r="AG22" s="56">
        <v>-3.4</v>
      </c>
      <c r="AH22" s="54">
        <v>-34.4</v>
      </c>
      <c r="AI22" s="54">
        <v>12.7</v>
      </c>
      <c r="AJ22" s="36">
        <v>4.7</v>
      </c>
      <c r="AK22" s="205">
        <f t="shared" ref="AK22:AK24" si="28">SUM(AG22:AJ22)</f>
        <v>-20.399999999999999</v>
      </c>
      <c r="AL22" s="517"/>
      <c r="AM22" s="104">
        <v>-3.4</v>
      </c>
      <c r="AN22" s="54">
        <v>-45.9</v>
      </c>
      <c r="AO22" s="54">
        <v>11.7</v>
      </c>
      <c r="AP22" s="36">
        <v>4.6000000000000014</v>
      </c>
      <c r="AQ22" s="205">
        <f t="shared" ref="AQ22:AQ24" si="29">SUM(AM22:AP22)</f>
        <v>-32.999999999999993</v>
      </c>
      <c r="AR22" s="104">
        <v>1.3</v>
      </c>
      <c r="AS22" s="54">
        <v>13.6</v>
      </c>
      <c r="AT22" s="54">
        <v>-34.5</v>
      </c>
      <c r="AU22" s="36">
        <v>39.200000000000003</v>
      </c>
      <c r="AV22" s="205">
        <f t="shared" ref="AV22:AV24" si="30">SUM(AR22:AU22)</f>
        <v>19.600000000000001</v>
      </c>
      <c r="AW22" s="104">
        <v>-12.2</v>
      </c>
      <c r="AX22" s="54">
        <v>4.8</v>
      </c>
      <c r="AY22" s="54">
        <v>-53.8</v>
      </c>
      <c r="AZ22" s="36">
        <v>34.200000000000003</v>
      </c>
      <c r="BA22" s="205">
        <f t="shared" ref="BA22:BA24" si="31">SUM(AW22:AZ22)</f>
        <v>-26.999999999999993</v>
      </c>
      <c r="BB22" s="54">
        <v>-74.2</v>
      </c>
      <c r="BC22" s="54">
        <v>-1.2</v>
      </c>
      <c r="BD22" s="54">
        <v>-26.2</v>
      </c>
      <c r="BE22" s="36">
        <v>-11.5</v>
      </c>
      <c r="BF22" s="738">
        <f>SUM(BB22:BE22)</f>
        <v>-113.10000000000001</v>
      </c>
      <c r="BG22" s="54">
        <v>-22.4</v>
      </c>
      <c r="BH22" s="54">
        <v>7.8</v>
      </c>
      <c r="BI22" s="54">
        <v>-16.5</v>
      </c>
      <c r="BJ22" s="36">
        <v>4.2</v>
      </c>
      <c r="BK22" s="722">
        <f>SUM(BG22:BJ22)</f>
        <v>-26.9</v>
      </c>
      <c r="BL22" s="54">
        <v>6.9</v>
      </c>
      <c r="BM22" s="54">
        <v>5.7</v>
      </c>
      <c r="BN22" s="54"/>
      <c r="BO22" s="36"/>
      <c r="BP22" s="722">
        <f>SUM(BL22:BO22)</f>
        <v>12.600000000000001</v>
      </c>
    </row>
    <row r="23" spans="1:68" s="111" customFormat="1" ht="20.100000000000001" customHeight="1">
      <c r="A23" s="106" t="s">
        <v>64</v>
      </c>
      <c r="B23" s="117" t="s">
        <v>65</v>
      </c>
      <c r="C23" s="107">
        <v>30.1</v>
      </c>
      <c r="D23" s="107">
        <v>-92.4</v>
      </c>
      <c r="E23" s="107">
        <v>-5.2</v>
      </c>
      <c r="F23" s="107">
        <v>-43.1</v>
      </c>
      <c r="G23" s="205">
        <f t="shared" ref="G23" si="32">SUM(C23:F23)</f>
        <v>-110.6</v>
      </c>
      <c r="H23" s="108">
        <v>-80.099999999999994</v>
      </c>
      <c r="I23" s="107">
        <v>-102.4</v>
      </c>
      <c r="J23" s="107">
        <v>-10.7</v>
      </c>
      <c r="K23" s="107">
        <v>-22.8</v>
      </c>
      <c r="L23" s="205">
        <f t="shared" ref="L23" si="33">SUM(H23:K23)</f>
        <v>-216</v>
      </c>
      <c r="M23" s="108">
        <v>-108.70000000000005</v>
      </c>
      <c r="N23" s="107">
        <v>-273.39999999999998</v>
      </c>
      <c r="O23" s="107">
        <v>-384.7</v>
      </c>
      <c r="P23" s="107">
        <v>-379.2</v>
      </c>
      <c r="Q23" s="205">
        <f t="shared" ref="Q23" si="34">SUM(M23:P23)</f>
        <v>-1146</v>
      </c>
      <c r="R23" s="107">
        <v>-261.3</v>
      </c>
      <c r="S23" s="107">
        <v>-222.1</v>
      </c>
      <c r="T23" s="107">
        <v>88.8</v>
      </c>
      <c r="U23" s="52">
        <v>-270</v>
      </c>
      <c r="V23" s="205">
        <v>-664.59999999999991</v>
      </c>
      <c r="W23" s="109">
        <v>-182.7</v>
      </c>
      <c r="X23" s="109">
        <v>-133.19999999999999</v>
      </c>
      <c r="Y23" s="97">
        <v>-127.3</v>
      </c>
      <c r="Z23" s="52">
        <v>-122.9</v>
      </c>
      <c r="AA23" s="205">
        <f t="shared" si="5"/>
        <v>-566.1</v>
      </c>
      <c r="AB23" s="109">
        <v>-185.5</v>
      </c>
      <c r="AC23" s="109">
        <v>-113.3</v>
      </c>
      <c r="AD23" s="97">
        <v>-104.8</v>
      </c>
      <c r="AE23" s="97">
        <v>-105.4</v>
      </c>
      <c r="AF23" s="205">
        <f t="shared" si="6"/>
        <v>-509</v>
      </c>
      <c r="AG23" s="109">
        <v>-72.599999999999994</v>
      </c>
      <c r="AH23" s="107">
        <v>-98.8</v>
      </c>
      <c r="AI23" s="107">
        <v>-100.9</v>
      </c>
      <c r="AJ23" s="97">
        <v>-113.3</v>
      </c>
      <c r="AK23" s="205">
        <f t="shared" si="28"/>
        <v>-385.59999999999997</v>
      </c>
      <c r="AL23" s="519"/>
      <c r="AM23" s="110">
        <v>-72.599999999999994</v>
      </c>
      <c r="AN23" s="107">
        <v>-98.9</v>
      </c>
      <c r="AO23" s="107">
        <v>-101.6</v>
      </c>
      <c r="AP23" s="97">
        <v>-113.59999999999997</v>
      </c>
      <c r="AQ23" s="205">
        <f t="shared" si="29"/>
        <v>-386.7</v>
      </c>
      <c r="AR23" s="110">
        <v>-102.7</v>
      </c>
      <c r="AS23" s="107">
        <v>-170</v>
      </c>
      <c r="AT23" s="107">
        <v>-97.9</v>
      </c>
      <c r="AU23" s="97">
        <v>-95.3</v>
      </c>
      <c r="AV23" s="205">
        <f t="shared" si="30"/>
        <v>-465.90000000000003</v>
      </c>
      <c r="AW23" s="110">
        <v>-102.7</v>
      </c>
      <c r="AX23" s="107">
        <v>-170</v>
      </c>
      <c r="AY23" s="107">
        <v>-97.9</v>
      </c>
      <c r="AZ23" s="97">
        <v>-95.3</v>
      </c>
      <c r="BA23" s="205">
        <f t="shared" si="31"/>
        <v>-465.90000000000003</v>
      </c>
      <c r="BB23" s="54">
        <v>-153.80000000000001</v>
      </c>
      <c r="BC23" s="107">
        <v>-47.7</v>
      </c>
      <c r="BD23" s="107">
        <v>-66.599999999999994</v>
      </c>
      <c r="BE23" s="97">
        <v>-64.900000000000006</v>
      </c>
      <c r="BF23" s="738">
        <f t="shared" ref="BF23:BF24" si="35">SUM(BB23:BE23)</f>
        <v>-333</v>
      </c>
      <c r="BG23" s="54">
        <v>-57.1</v>
      </c>
      <c r="BH23" s="54">
        <v>-60.5</v>
      </c>
      <c r="BI23" s="107">
        <v>-54.7</v>
      </c>
      <c r="BJ23" s="97">
        <v>-6.5</v>
      </c>
      <c r="BK23" s="722">
        <f t="shared" ref="BK23:BK24" si="36">SUM(BG23:BJ23)</f>
        <v>-178.8</v>
      </c>
      <c r="BL23" s="54">
        <v>-76.8</v>
      </c>
      <c r="BM23" s="54">
        <v>-130.69999999999999</v>
      </c>
      <c r="BN23" s="107"/>
      <c r="BO23" s="97"/>
      <c r="BP23" s="722">
        <f t="shared" ref="BP23:BP24" si="37">SUM(BL23:BO23)</f>
        <v>-207.5</v>
      </c>
    </row>
    <row r="24" spans="1:68" ht="30" customHeight="1">
      <c r="A24" s="49" t="s">
        <v>66</v>
      </c>
      <c r="B24" s="118" t="s">
        <v>67</v>
      </c>
      <c r="C24" s="54">
        <v>0.7</v>
      </c>
      <c r="D24" s="54">
        <v>0.8</v>
      </c>
      <c r="E24" s="54">
        <v>0.5</v>
      </c>
      <c r="F24" s="54">
        <v>0.8</v>
      </c>
      <c r="G24" s="205">
        <f t="shared" ref="G24" si="38">SUM(C24:F24)</f>
        <v>2.8</v>
      </c>
      <c r="H24" s="55">
        <v>0.8</v>
      </c>
      <c r="I24" s="54">
        <v>0.8</v>
      </c>
      <c r="J24" s="54">
        <v>0.7</v>
      </c>
      <c r="K24" s="54">
        <v>0.6</v>
      </c>
      <c r="L24" s="205">
        <f t="shared" ref="L24" si="39">SUM(H24:K24)</f>
        <v>2.9</v>
      </c>
      <c r="M24" s="55">
        <v>0.60000000000000009</v>
      </c>
      <c r="N24" s="54">
        <v>0.7</v>
      </c>
      <c r="O24" s="54">
        <v>0.7</v>
      </c>
      <c r="P24" s="54">
        <v>0.6</v>
      </c>
      <c r="Q24" s="205">
        <f t="shared" ref="Q24" si="40">SUM(M24:P24)</f>
        <v>2.6</v>
      </c>
      <c r="R24" s="54">
        <v>0.5</v>
      </c>
      <c r="S24" s="54">
        <v>0.9</v>
      </c>
      <c r="T24" s="54">
        <v>0.5</v>
      </c>
      <c r="U24" s="52">
        <v>0.70000000000000018</v>
      </c>
      <c r="V24" s="205">
        <v>2.6</v>
      </c>
      <c r="W24" s="56">
        <v>0.8</v>
      </c>
      <c r="X24" s="56">
        <v>-0.8</v>
      </c>
      <c r="Y24" s="46">
        <v>0</v>
      </c>
      <c r="Z24" s="46">
        <v>0</v>
      </c>
      <c r="AA24" s="205">
        <f t="shared" ref="AA24" si="41">SUM(W24:Z24)</f>
        <v>0</v>
      </c>
      <c r="AB24" s="46">
        <v>0</v>
      </c>
      <c r="AC24" s="46">
        <v>0</v>
      </c>
      <c r="AD24" s="46">
        <v>0</v>
      </c>
      <c r="AE24" s="46">
        <v>0</v>
      </c>
      <c r="AF24" s="205">
        <f t="shared" ref="AF24:AF25" si="42">SUM(AB24:AE24)</f>
        <v>0</v>
      </c>
      <c r="AG24" s="46">
        <v>0</v>
      </c>
      <c r="AH24" s="46">
        <v>0</v>
      </c>
      <c r="AI24" s="46">
        <v>0</v>
      </c>
      <c r="AJ24" s="46">
        <v>0</v>
      </c>
      <c r="AK24" s="205">
        <f t="shared" si="28"/>
        <v>0</v>
      </c>
      <c r="AL24" s="520"/>
      <c r="AM24" s="72">
        <v>0</v>
      </c>
      <c r="AN24" s="46">
        <v>0</v>
      </c>
      <c r="AO24" s="46">
        <v>0</v>
      </c>
      <c r="AP24" s="46">
        <v>0</v>
      </c>
      <c r="AQ24" s="205">
        <f t="shared" si="29"/>
        <v>0</v>
      </c>
      <c r="AR24" s="72">
        <v>0</v>
      </c>
      <c r="AS24" s="46">
        <v>0</v>
      </c>
      <c r="AT24" s="46">
        <v>0</v>
      </c>
      <c r="AU24" s="46">
        <v>0</v>
      </c>
      <c r="AV24" s="205">
        <f t="shared" si="30"/>
        <v>0</v>
      </c>
      <c r="AW24" s="72">
        <v>0</v>
      </c>
      <c r="AX24" s="46">
        <v>0</v>
      </c>
      <c r="AY24" s="46">
        <v>0</v>
      </c>
      <c r="AZ24" s="46">
        <v>0</v>
      </c>
      <c r="BA24" s="205">
        <f t="shared" si="31"/>
        <v>0</v>
      </c>
      <c r="BB24" s="46">
        <v>0</v>
      </c>
      <c r="BC24" s="46">
        <v>0</v>
      </c>
      <c r="BD24" s="46">
        <v>0</v>
      </c>
      <c r="BE24" s="46">
        <v>0</v>
      </c>
      <c r="BF24" s="738">
        <f t="shared" si="35"/>
        <v>0</v>
      </c>
      <c r="BG24" s="46">
        <v>0</v>
      </c>
      <c r="BH24" s="46">
        <v>0</v>
      </c>
      <c r="BI24" s="46">
        <v>0</v>
      </c>
      <c r="BJ24" s="46">
        <v>0</v>
      </c>
      <c r="BK24" s="722">
        <f t="shared" si="36"/>
        <v>0</v>
      </c>
      <c r="BL24" s="46">
        <v>0</v>
      </c>
      <c r="BM24" s="46">
        <v>0</v>
      </c>
      <c r="BN24" s="46"/>
      <c r="BO24" s="46"/>
      <c r="BP24" s="722">
        <f t="shared" si="37"/>
        <v>0</v>
      </c>
    </row>
    <row r="25" spans="1:68" ht="30" customHeight="1">
      <c r="A25" s="49" t="s">
        <v>68</v>
      </c>
      <c r="B25" s="118" t="s">
        <v>69</v>
      </c>
      <c r="C25" s="54"/>
      <c r="D25" s="54"/>
      <c r="E25" s="54"/>
      <c r="F25" s="54"/>
      <c r="G25" s="205"/>
      <c r="H25" s="55"/>
      <c r="I25" s="54"/>
      <c r="J25" s="54"/>
      <c r="K25" s="54"/>
      <c r="L25" s="205"/>
      <c r="M25" s="55"/>
      <c r="N25" s="54"/>
      <c r="O25" s="54"/>
      <c r="P25" s="54"/>
      <c r="Q25" s="205"/>
      <c r="R25" s="54"/>
      <c r="S25" s="54"/>
      <c r="T25" s="54"/>
      <c r="U25" s="52"/>
      <c r="V25" s="205"/>
      <c r="W25" s="56"/>
      <c r="X25" s="56"/>
      <c r="Y25" s="46"/>
      <c r="Z25" s="46"/>
      <c r="AA25" s="205"/>
      <c r="AB25" s="46"/>
      <c r="AC25" s="46"/>
      <c r="AD25" s="46"/>
      <c r="AE25" s="46">
        <v>2.8</v>
      </c>
      <c r="AF25" s="205">
        <f t="shared" si="42"/>
        <v>2.8</v>
      </c>
      <c r="AG25" s="46">
        <v>5.2</v>
      </c>
      <c r="AH25" s="76">
        <v>-0.1</v>
      </c>
      <c r="AI25" s="76">
        <v>-3.5</v>
      </c>
      <c r="AJ25" s="36">
        <v>-2.8</v>
      </c>
      <c r="AK25" s="205">
        <f t="shared" ref="AK25" si="43">SUM(AG25:AJ25)</f>
        <v>-1.1999999999999993</v>
      </c>
      <c r="AL25" s="517"/>
      <c r="AM25" s="72">
        <v>5.2</v>
      </c>
      <c r="AN25" s="76">
        <v>-0.1</v>
      </c>
      <c r="AO25" s="76">
        <v>-3.5</v>
      </c>
      <c r="AP25" s="46">
        <v>-2.8</v>
      </c>
      <c r="AQ25" s="205">
        <f t="shared" ref="AQ25" si="44">SUM(AM25:AP25)</f>
        <v>-1.1999999999999993</v>
      </c>
      <c r="AR25" s="72">
        <v>-1.7</v>
      </c>
      <c r="AS25" s="76">
        <v>-1.9</v>
      </c>
      <c r="AT25" s="76">
        <v>-1.3</v>
      </c>
      <c r="AU25" s="46">
        <v>-1.6</v>
      </c>
      <c r="AV25" s="205">
        <f>SUM(AR25:AU25)</f>
        <v>-6.5</v>
      </c>
      <c r="AW25" s="72">
        <v>-1.7</v>
      </c>
      <c r="AX25" s="76">
        <v>-1.9</v>
      </c>
      <c r="AY25" s="76">
        <v>-1.3</v>
      </c>
      <c r="AZ25" s="46">
        <v>-1.6</v>
      </c>
      <c r="BA25" s="205">
        <f>SUM(AW25:AZ25)</f>
        <v>-6.5</v>
      </c>
      <c r="BB25" s="54">
        <v>16.3</v>
      </c>
      <c r="BC25" s="76">
        <v>17.8</v>
      </c>
      <c r="BD25" s="76">
        <v>13.5</v>
      </c>
      <c r="BE25" s="46">
        <v>-45.6</v>
      </c>
      <c r="BF25" s="738">
        <f>SUM(BB25:BE25)</f>
        <v>2</v>
      </c>
      <c r="BG25" s="54">
        <v>16.5</v>
      </c>
      <c r="BH25" s="54">
        <v>25</v>
      </c>
      <c r="BI25" s="76">
        <v>22.5</v>
      </c>
      <c r="BJ25" s="76">
        <v>11.4</v>
      </c>
      <c r="BK25" s="722">
        <f>SUM(BG25:BJ25)</f>
        <v>75.400000000000006</v>
      </c>
      <c r="BL25" s="54">
        <v>14.7</v>
      </c>
      <c r="BM25" s="54">
        <v>24.2</v>
      </c>
      <c r="BN25" s="76"/>
      <c r="BO25" s="76"/>
      <c r="BP25" s="722">
        <f>SUM(BL25:BO25)</f>
        <v>38.9</v>
      </c>
    </row>
    <row r="26" spans="1:68" s="443" customFormat="1" ht="22.5" customHeight="1">
      <c r="A26" s="436" t="s">
        <v>70</v>
      </c>
      <c r="B26" s="437" t="s">
        <v>71</v>
      </c>
      <c r="C26" s="438">
        <f t="shared" ref="C26:AD26" si="45">C21+C22+C23+C24+C25</f>
        <v>246.30000000000004</v>
      </c>
      <c r="D26" s="438">
        <f t="shared" si="45"/>
        <v>112.89999999999996</v>
      </c>
      <c r="E26" s="438">
        <f t="shared" si="45"/>
        <v>198.20000000000005</v>
      </c>
      <c r="F26" s="438">
        <f t="shared" si="45"/>
        <v>138.20000000000019</v>
      </c>
      <c r="G26" s="439">
        <f t="shared" si="45"/>
        <v>695.59999999999911</v>
      </c>
      <c r="H26" s="440">
        <f t="shared" si="45"/>
        <v>109.27999999999996</v>
      </c>
      <c r="I26" s="438">
        <f t="shared" si="45"/>
        <v>94.09999999999998</v>
      </c>
      <c r="J26" s="438">
        <f t="shared" si="45"/>
        <v>200.79999999999998</v>
      </c>
      <c r="K26" s="438">
        <f t="shared" si="45"/>
        <v>188.69999999999993</v>
      </c>
      <c r="L26" s="439">
        <f t="shared" si="45"/>
        <v>592.88000000000034</v>
      </c>
      <c r="M26" s="440">
        <f t="shared" si="45"/>
        <v>112.59999999999977</v>
      </c>
      <c r="N26" s="438">
        <f t="shared" si="45"/>
        <v>148.7999999999999</v>
      </c>
      <c r="O26" s="438">
        <f t="shared" si="45"/>
        <v>49.299999999999685</v>
      </c>
      <c r="P26" s="438">
        <f t="shared" si="45"/>
        <v>3.5000000000007732</v>
      </c>
      <c r="Q26" s="439">
        <f t="shared" si="45"/>
        <v>314.19999999999925</v>
      </c>
      <c r="R26" s="438">
        <f t="shared" si="45"/>
        <v>196.79999999999995</v>
      </c>
      <c r="S26" s="438">
        <f t="shared" si="45"/>
        <v>350.4</v>
      </c>
      <c r="T26" s="438">
        <f t="shared" si="45"/>
        <v>613.29999999999961</v>
      </c>
      <c r="U26" s="438">
        <f t="shared" si="45"/>
        <v>171.90000000000038</v>
      </c>
      <c r="V26" s="439">
        <f t="shared" si="45"/>
        <v>1332.3999999999994</v>
      </c>
      <c r="W26" s="438">
        <f t="shared" si="45"/>
        <v>205.70000000000005</v>
      </c>
      <c r="X26" s="438">
        <f t="shared" si="45"/>
        <v>252.10000000000014</v>
      </c>
      <c r="Y26" s="441">
        <f t="shared" si="45"/>
        <v>334.90000000000038</v>
      </c>
      <c r="Z26" s="441">
        <f t="shared" si="45"/>
        <v>240.69999999999996</v>
      </c>
      <c r="AA26" s="439">
        <f t="shared" si="45"/>
        <v>1033.4000000000001</v>
      </c>
      <c r="AB26" s="438">
        <f t="shared" si="45"/>
        <v>302.20000000000033</v>
      </c>
      <c r="AC26" s="438">
        <f t="shared" si="45"/>
        <v>389.2999999999999</v>
      </c>
      <c r="AD26" s="438">
        <f t="shared" si="45"/>
        <v>289.10000000000002</v>
      </c>
      <c r="AE26" s="438">
        <f>AE21+AE22+AE23+AE24+AE25</f>
        <v>354.40000000000003</v>
      </c>
      <c r="AF26" s="439">
        <f t="shared" ref="AF26:AJ26" si="46">AF21+AF22+AF23+AF24+AF25</f>
        <v>1335.0000000000007</v>
      </c>
      <c r="AG26" s="438">
        <f t="shared" si="46"/>
        <v>393.49999999999972</v>
      </c>
      <c r="AH26" s="438">
        <f>AH21+AH22+AH23+AH24+AH25</f>
        <v>355.19999999999987</v>
      </c>
      <c r="AI26" s="438">
        <f>AI21+AI22+AI23+AI24+AI25</f>
        <v>304.30000000000007</v>
      </c>
      <c r="AJ26" s="442">
        <f t="shared" si="46"/>
        <v>304.59999999999997</v>
      </c>
      <c r="AK26" s="439">
        <f>AK21+AK22+AK23+AK24+AK25</f>
        <v>1357.5999999999997</v>
      </c>
      <c r="AL26" s="416"/>
      <c r="AM26" s="440">
        <f t="shared" ref="AM26:AO26" si="47">AM21+AM22+AM23+AM24+AM25</f>
        <v>364.7</v>
      </c>
      <c r="AN26" s="438">
        <f t="shared" si="47"/>
        <v>330.69999999999982</v>
      </c>
      <c r="AO26" s="438">
        <f t="shared" si="47"/>
        <v>303.0999999999998</v>
      </c>
      <c r="AP26" s="442">
        <f>AP21+AP22+AP23+AP24+AP25</f>
        <v>307.59999999999997</v>
      </c>
      <c r="AQ26" s="439">
        <f>AQ21+AQ22+AQ23+AQ24+AQ25</f>
        <v>1306.1000000000029</v>
      </c>
      <c r="AR26" s="440">
        <f>AR21+AR22+AR23+AR24+AR25</f>
        <v>378.80000000000024</v>
      </c>
      <c r="AS26" s="438">
        <f t="shared" ref="AS26:AU26" si="48">AS21+AS22+AS23+AS24+AS25</f>
        <v>357</v>
      </c>
      <c r="AT26" s="438">
        <f t="shared" si="48"/>
        <v>318.99999999999972</v>
      </c>
      <c r="AU26" s="438">
        <f t="shared" si="48"/>
        <v>427.30000000000092</v>
      </c>
      <c r="AV26" s="439">
        <f>AV21+AV22+AV23+AV24+AV25</f>
        <v>1482.1000000000024</v>
      </c>
      <c r="AW26" s="440">
        <f>AW21+AW22+AW23+AW25+AW24</f>
        <v>374.59999999999951</v>
      </c>
      <c r="AX26" s="438">
        <f t="shared" ref="AX26:AZ26" si="49">AX21+AX22+AX23+AX24+AX25</f>
        <v>355.39999999999975</v>
      </c>
      <c r="AY26" s="438">
        <f t="shared" si="49"/>
        <v>305.99999999999983</v>
      </c>
      <c r="AZ26" s="438">
        <f t="shared" si="49"/>
        <v>431.60000000000019</v>
      </c>
      <c r="BA26" s="439">
        <f>BA21+BA22+BA23+BA24+BA25</f>
        <v>1467.600000000001</v>
      </c>
      <c r="BB26" s="440">
        <f>BB21+BB22+BB23+BB25+BB24</f>
        <v>250.48882651999986</v>
      </c>
      <c r="BC26" s="438">
        <f t="shared" ref="BC26:BE26" si="50">BC21+BC22+BC23+BC24+BC25</f>
        <v>363.00000000000085</v>
      </c>
      <c r="BD26" s="438">
        <f t="shared" si="50"/>
        <v>426.5999999999998</v>
      </c>
      <c r="BE26" s="438">
        <f t="shared" si="50"/>
        <v>402.00000000000011</v>
      </c>
      <c r="BF26" s="718">
        <f>BF21+BF22+BF23+BF24+BF25</f>
        <v>1442.0888265199992</v>
      </c>
      <c r="BG26" s="440">
        <f>BG21+BG22+BG23+BG25+BG24</f>
        <v>498.5</v>
      </c>
      <c r="BH26" s="438">
        <f t="shared" ref="BH26:BJ26" si="51">BH21+BH22+BH23+BH24+BH25</f>
        <v>655.99999999999989</v>
      </c>
      <c r="BI26" s="438">
        <f t="shared" si="51"/>
        <v>4082.7000000000007</v>
      </c>
      <c r="BJ26" s="438">
        <f t="shared" si="51"/>
        <v>428.89999999999964</v>
      </c>
      <c r="BK26" s="718">
        <f>BK21+BK22+BK23+BK24+BK25</f>
        <v>5666.0999999999985</v>
      </c>
      <c r="BL26" s="440">
        <f>BL21+BL22+BL23+BL25+BL24</f>
        <v>265.09999999999997</v>
      </c>
      <c r="BM26" s="438">
        <f t="shared" ref="BM26:BO26" si="52">BM21+BM22+BM23+BM24+BM25</f>
        <v>324.99999999999983</v>
      </c>
      <c r="BN26" s="438">
        <f t="shared" si="52"/>
        <v>0</v>
      </c>
      <c r="BO26" s="438">
        <f t="shared" si="52"/>
        <v>0</v>
      </c>
      <c r="BP26" s="718">
        <f>BP21+BP22+BP23+BP24+BP25</f>
        <v>590.09999999999889</v>
      </c>
    </row>
    <row r="27" spans="1:68" ht="20.100000000000001" customHeight="1">
      <c r="A27" s="49" t="s">
        <v>72</v>
      </c>
      <c r="B27" s="417" t="s">
        <v>73</v>
      </c>
      <c r="C27" s="54">
        <v>-41.2</v>
      </c>
      <c r="D27" s="54">
        <v>-13.4</v>
      </c>
      <c r="E27" s="54">
        <v>-26.2</v>
      </c>
      <c r="F27" s="54">
        <v>-16.600000000000001</v>
      </c>
      <c r="G27" s="205">
        <f>SUM(C27:F27)</f>
        <v>-97.4</v>
      </c>
      <c r="H27" s="55">
        <v>-14.1</v>
      </c>
      <c r="I27" s="54">
        <v>-13.4</v>
      </c>
      <c r="J27" s="54">
        <v>-24.4</v>
      </c>
      <c r="K27" s="54">
        <v>-15.5</v>
      </c>
      <c r="L27" s="205">
        <f>SUM(H27:K27)</f>
        <v>-67.400000000000006</v>
      </c>
      <c r="M27" s="55">
        <v>-14.400000000000002</v>
      </c>
      <c r="N27" s="54">
        <v>-16.7</v>
      </c>
      <c r="O27" s="54">
        <v>-1.1000000000000001</v>
      </c>
      <c r="P27" s="54">
        <v>10.5</v>
      </c>
      <c r="Q27" s="205">
        <f>SUM(M27:P27)</f>
        <v>-21.700000000000003</v>
      </c>
      <c r="R27" s="54">
        <v>-26</v>
      </c>
      <c r="S27" s="54">
        <v>-45.9</v>
      </c>
      <c r="T27" s="54">
        <v>-110.8</v>
      </c>
      <c r="U27" s="56">
        <v>13.7</v>
      </c>
      <c r="V27" s="205">
        <v>-169</v>
      </c>
      <c r="W27" s="56">
        <v>-27.2</v>
      </c>
      <c r="X27" s="56">
        <v>-21.2</v>
      </c>
      <c r="Y27" s="36">
        <v>-65.099999999999994</v>
      </c>
      <c r="Z27" s="56">
        <v>101.1</v>
      </c>
      <c r="AA27" s="205">
        <f t="shared" si="5"/>
        <v>-12.400000000000006</v>
      </c>
      <c r="AB27" s="56">
        <v>-30.8</v>
      </c>
      <c r="AC27" s="56">
        <v>-107.6</v>
      </c>
      <c r="AD27" s="36">
        <v>-54.2</v>
      </c>
      <c r="AE27" s="56">
        <v>-197.2</v>
      </c>
      <c r="AF27" s="205">
        <f t="shared" si="6"/>
        <v>-389.8</v>
      </c>
      <c r="AG27" s="56">
        <v>-78</v>
      </c>
      <c r="AH27" s="56">
        <v>-102.1</v>
      </c>
      <c r="AI27" s="85">
        <v>-77.3</v>
      </c>
      <c r="AJ27" s="56">
        <v>-246.74845572261776</v>
      </c>
      <c r="AK27" s="205">
        <f>SUM(AG27:AJ27)</f>
        <v>-504.14845572261777</v>
      </c>
      <c r="AL27" s="517"/>
      <c r="AM27" s="104">
        <v>-72.5</v>
      </c>
      <c r="AN27" s="56">
        <v>-99.3</v>
      </c>
      <c r="AO27" s="86">
        <v>-76</v>
      </c>
      <c r="AP27" s="56">
        <v>-242.2</v>
      </c>
      <c r="AQ27" s="205">
        <f>SUM(AM27:AP27)</f>
        <v>-490</v>
      </c>
      <c r="AR27" s="104">
        <v>-78</v>
      </c>
      <c r="AS27" s="56">
        <v>-86.9</v>
      </c>
      <c r="AT27" s="56">
        <v>-72</v>
      </c>
      <c r="AU27" s="56">
        <v>-118.9</v>
      </c>
      <c r="AV27" s="205">
        <f>SUM(AR27:AU27)</f>
        <v>-355.8</v>
      </c>
      <c r="AW27" s="104">
        <v>-77.3</v>
      </c>
      <c r="AX27" s="56">
        <v>-86.5</v>
      </c>
      <c r="AY27" s="86">
        <v>-69.5</v>
      </c>
      <c r="AZ27" s="56">
        <v>-119.7</v>
      </c>
      <c r="BA27" s="205">
        <f>SUM(AW27:AZ27)</f>
        <v>-353</v>
      </c>
      <c r="BB27" s="104">
        <v>-66.7</v>
      </c>
      <c r="BC27" s="56">
        <v>-72.3</v>
      </c>
      <c r="BD27" s="86">
        <v>-81.599999999999994</v>
      </c>
      <c r="BE27" s="56">
        <v>-75.3</v>
      </c>
      <c r="BF27" s="738">
        <f>SUM(BB27:BE27)</f>
        <v>-295.89999999999998</v>
      </c>
      <c r="BG27" s="104">
        <v>-108.1</v>
      </c>
      <c r="BH27" s="54">
        <v>-114.3</v>
      </c>
      <c r="BI27" s="54">
        <v>-934</v>
      </c>
      <c r="BJ27" s="54">
        <v>-95.2</v>
      </c>
      <c r="BK27" s="722">
        <f>SUM(BG27:BJ27)</f>
        <v>-1251.6000000000001</v>
      </c>
      <c r="BL27" s="104">
        <v>-52.3</v>
      </c>
      <c r="BM27" s="54">
        <v>-42.3</v>
      </c>
      <c r="BN27" s="54"/>
      <c r="BO27" s="54"/>
      <c r="BP27" s="722">
        <f>SUM(BL27:BO27)</f>
        <v>-94.6</v>
      </c>
    </row>
    <row r="28" spans="1:68" s="443" customFormat="1" ht="22.5" customHeight="1">
      <c r="A28" s="436" t="s">
        <v>74</v>
      </c>
      <c r="B28" s="437" t="s">
        <v>75</v>
      </c>
      <c r="C28" s="438">
        <f t="shared" ref="C28:AA28" si="53">C26+C27</f>
        <v>205.10000000000002</v>
      </c>
      <c r="D28" s="438">
        <f t="shared" si="53"/>
        <v>99.499999999999957</v>
      </c>
      <c r="E28" s="438">
        <f t="shared" si="53"/>
        <v>172.00000000000006</v>
      </c>
      <c r="F28" s="438">
        <f t="shared" si="53"/>
        <v>121.60000000000019</v>
      </c>
      <c r="G28" s="439">
        <f>G26+G27</f>
        <v>598.19999999999914</v>
      </c>
      <c r="H28" s="440">
        <f t="shared" si="53"/>
        <v>95.179999999999964</v>
      </c>
      <c r="I28" s="438">
        <f t="shared" si="53"/>
        <v>80.699999999999974</v>
      </c>
      <c r="J28" s="438">
        <f t="shared" si="53"/>
        <v>176.39999999999998</v>
      </c>
      <c r="K28" s="438">
        <f t="shared" si="53"/>
        <v>173.19999999999993</v>
      </c>
      <c r="L28" s="439">
        <f t="shared" si="53"/>
        <v>525.48000000000036</v>
      </c>
      <c r="M28" s="440">
        <f t="shared" si="53"/>
        <v>98.199999999999761</v>
      </c>
      <c r="N28" s="438">
        <f t="shared" si="53"/>
        <v>132.09999999999991</v>
      </c>
      <c r="O28" s="438">
        <f t="shared" si="53"/>
        <v>48.199999999999683</v>
      </c>
      <c r="P28" s="438">
        <f t="shared" si="53"/>
        <v>14.000000000000773</v>
      </c>
      <c r="Q28" s="439">
        <f t="shared" si="53"/>
        <v>292.49999999999926</v>
      </c>
      <c r="R28" s="438">
        <f t="shared" si="53"/>
        <v>170.79999999999995</v>
      </c>
      <c r="S28" s="438">
        <f t="shared" si="53"/>
        <v>304.5</v>
      </c>
      <c r="T28" s="438">
        <f t="shared" si="53"/>
        <v>502.4999999999996</v>
      </c>
      <c r="U28" s="438">
        <f t="shared" si="53"/>
        <v>185.60000000000036</v>
      </c>
      <c r="V28" s="439">
        <f t="shared" si="53"/>
        <v>1163.3999999999994</v>
      </c>
      <c r="W28" s="438">
        <f t="shared" si="53"/>
        <v>178.50000000000006</v>
      </c>
      <c r="X28" s="438">
        <f t="shared" si="53"/>
        <v>230.90000000000015</v>
      </c>
      <c r="Y28" s="441">
        <f t="shared" si="53"/>
        <v>269.80000000000041</v>
      </c>
      <c r="Z28" s="441">
        <f t="shared" si="53"/>
        <v>341.79999999999995</v>
      </c>
      <c r="AA28" s="439">
        <f t="shared" si="53"/>
        <v>1021.0000000000001</v>
      </c>
      <c r="AB28" s="438">
        <f t="shared" ref="AB28:AK28" si="54">AB26+AB27</f>
        <v>271.40000000000032</v>
      </c>
      <c r="AC28" s="438">
        <f t="shared" si="54"/>
        <v>281.69999999999993</v>
      </c>
      <c r="AD28" s="438">
        <f t="shared" si="54"/>
        <v>234.90000000000003</v>
      </c>
      <c r="AE28" s="438">
        <f t="shared" si="54"/>
        <v>157.20000000000005</v>
      </c>
      <c r="AF28" s="439">
        <f t="shared" si="54"/>
        <v>945.20000000000073</v>
      </c>
      <c r="AG28" s="438">
        <f t="shared" si="54"/>
        <v>315.49999999999972</v>
      </c>
      <c r="AH28" s="438">
        <f t="shared" si="54"/>
        <v>253.09999999999988</v>
      </c>
      <c r="AI28" s="438">
        <f t="shared" si="54"/>
        <v>227.00000000000006</v>
      </c>
      <c r="AJ28" s="442">
        <f t="shared" si="54"/>
        <v>57.851544277382203</v>
      </c>
      <c r="AK28" s="439">
        <f t="shared" si="54"/>
        <v>853.45154427738191</v>
      </c>
      <c r="AL28" s="416"/>
      <c r="AM28" s="440">
        <f t="shared" ref="AM28:AU28" si="55">AM26+AM27</f>
        <v>292.2</v>
      </c>
      <c r="AN28" s="438">
        <f t="shared" si="55"/>
        <v>231.39999999999981</v>
      </c>
      <c r="AO28" s="438">
        <f t="shared" si="55"/>
        <v>227.0999999999998</v>
      </c>
      <c r="AP28" s="442">
        <f t="shared" si="55"/>
        <v>65.399999999999977</v>
      </c>
      <c r="AQ28" s="439">
        <f t="shared" si="55"/>
        <v>816.10000000000286</v>
      </c>
      <c r="AR28" s="440">
        <f>AR26+AR27</f>
        <v>300.80000000000024</v>
      </c>
      <c r="AS28" s="438">
        <f t="shared" si="55"/>
        <v>270.10000000000002</v>
      </c>
      <c r="AT28" s="438">
        <f t="shared" si="55"/>
        <v>246.99999999999972</v>
      </c>
      <c r="AU28" s="438">
        <f t="shared" si="55"/>
        <v>308.40000000000089</v>
      </c>
      <c r="AV28" s="439">
        <f t="shared" ref="AV28" si="56">AV26+AV27</f>
        <v>1126.3000000000025</v>
      </c>
      <c r="AW28" s="440">
        <f t="shared" ref="AW28:AZ28" si="57">AW26+AW27</f>
        <v>297.2999999999995</v>
      </c>
      <c r="AX28" s="438">
        <f t="shared" si="57"/>
        <v>268.89999999999975</v>
      </c>
      <c r="AY28" s="438">
        <f t="shared" si="57"/>
        <v>236.49999999999983</v>
      </c>
      <c r="AZ28" s="438">
        <f t="shared" si="57"/>
        <v>311.9000000000002</v>
      </c>
      <c r="BA28" s="439">
        <f t="shared" ref="BA28" si="58">BA26+BA27</f>
        <v>1114.600000000001</v>
      </c>
      <c r="BB28" s="440">
        <f t="shared" ref="BB28:BF28" si="59">BB26+BB27</f>
        <v>183.78882651999987</v>
      </c>
      <c r="BC28" s="438">
        <f t="shared" si="59"/>
        <v>290.70000000000084</v>
      </c>
      <c r="BD28" s="438">
        <f t="shared" si="59"/>
        <v>344.99999999999977</v>
      </c>
      <c r="BE28" s="438">
        <f t="shared" si="59"/>
        <v>326.7000000000001</v>
      </c>
      <c r="BF28" s="718">
        <f t="shared" si="59"/>
        <v>1146.1888265199991</v>
      </c>
      <c r="BG28" s="440">
        <f t="shared" ref="BG28:BK28" si="60">BG26+BG27</f>
        <v>390.4</v>
      </c>
      <c r="BH28" s="438">
        <f t="shared" si="60"/>
        <v>541.69999999999993</v>
      </c>
      <c r="BI28" s="438">
        <f t="shared" si="60"/>
        <v>3148.7000000000007</v>
      </c>
      <c r="BJ28" s="438">
        <f t="shared" si="60"/>
        <v>333.69999999999965</v>
      </c>
      <c r="BK28" s="718">
        <f t="shared" si="60"/>
        <v>4414.4999999999982</v>
      </c>
      <c r="BL28" s="440">
        <f>BL26+BL27</f>
        <v>212.79999999999995</v>
      </c>
      <c r="BM28" s="438">
        <f t="shared" ref="BM28:BP28" si="61">BM26+BM27</f>
        <v>282.69999999999982</v>
      </c>
      <c r="BN28" s="438">
        <f t="shared" si="61"/>
        <v>0</v>
      </c>
      <c r="BO28" s="438">
        <f t="shared" si="61"/>
        <v>0</v>
      </c>
      <c r="BP28" s="718">
        <f t="shared" si="61"/>
        <v>495.49999999999886</v>
      </c>
    </row>
    <row r="29" spans="1:68" ht="30" customHeight="1">
      <c r="A29" s="49" t="s">
        <v>76</v>
      </c>
      <c r="B29" s="114" t="s">
        <v>77</v>
      </c>
      <c r="C29" s="54">
        <f>C28</f>
        <v>205.10000000000002</v>
      </c>
      <c r="D29" s="54">
        <f t="shared" ref="D29:V29" si="62">D28</f>
        <v>99.499999999999957</v>
      </c>
      <c r="E29" s="54">
        <f t="shared" si="62"/>
        <v>172.00000000000006</v>
      </c>
      <c r="F29" s="54">
        <f t="shared" si="62"/>
        <v>121.60000000000019</v>
      </c>
      <c r="G29" s="205">
        <f t="shared" si="62"/>
        <v>598.19999999999914</v>
      </c>
      <c r="H29" s="55">
        <f t="shared" si="62"/>
        <v>95.179999999999964</v>
      </c>
      <c r="I29" s="54">
        <f t="shared" si="62"/>
        <v>80.699999999999974</v>
      </c>
      <c r="J29" s="54">
        <f t="shared" si="62"/>
        <v>176.39999999999998</v>
      </c>
      <c r="K29" s="54">
        <f t="shared" si="62"/>
        <v>173.19999999999993</v>
      </c>
      <c r="L29" s="205">
        <f t="shared" si="62"/>
        <v>525.48000000000036</v>
      </c>
      <c r="M29" s="55">
        <f t="shared" si="62"/>
        <v>98.199999999999761</v>
      </c>
      <c r="N29" s="54">
        <f t="shared" si="62"/>
        <v>132.09999999999991</v>
      </c>
      <c r="O29" s="54">
        <f t="shared" si="62"/>
        <v>48.199999999999683</v>
      </c>
      <c r="P29" s="54">
        <f t="shared" si="62"/>
        <v>14.000000000000773</v>
      </c>
      <c r="Q29" s="205">
        <f t="shared" si="62"/>
        <v>292.49999999999926</v>
      </c>
      <c r="R29" s="54">
        <f t="shared" si="62"/>
        <v>170.79999999999995</v>
      </c>
      <c r="S29" s="54">
        <f t="shared" si="62"/>
        <v>304.5</v>
      </c>
      <c r="T29" s="54">
        <f t="shared" si="62"/>
        <v>502.4999999999996</v>
      </c>
      <c r="U29" s="57">
        <f t="shared" si="62"/>
        <v>185.60000000000036</v>
      </c>
      <c r="V29" s="205">
        <f t="shared" si="62"/>
        <v>1163.3999999999994</v>
      </c>
      <c r="W29" s="56">
        <v>175.5</v>
      </c>
      <c r="X29" s="56">
        <v>237.7</v>
      </c>
      <c r="Y29" s="36">
        <v>278.2</v>
      </c>
      <c r="Z29" s="57">
        <v>349.9</v>
      </c>
      <c r="AA29" s="205">
        <f t="shared" si="5"/>
        <v>1041.3</v>
      </c>
      <c r="AB29" s="56">
        <v>279.39999999999998</v>
      </c>
      <c r="AC29" s="56">
        <v>291.2</v>
      </c>
      <c r="AD29" s="36">
        <v>242.9</v>
      </c>
      <c r="AE29" s="36">
        <v>167.1</v>
      </c>
      <c r="AF29" s="205">
        <f t="shared" si="6"/>
        <v>980.59999999999991</v>
      </c>
      <c r="AG29" s="54"/>
      <c r="AH29" s="56"/>
      <c r="AI29" s="85"/>
      <c r="AJ29" s="36"/>
      <c r="AK29" s="205">
        <f t="shared" ref="AK29:AK30" si="63">SUM(AG29:AJ29)</f>
        <v>0</v>
      </c>
      <c r="AL29" s="517"/>
      <c r="AM29" s="73">
        <v>300.8</v>
      </c>
      <c r="AN29" s="56">
        <v>235.8</v>
      </c>
      <c r="AO29" s="56">
        <v>226.1</v>
      </c>
      <c r="AP29" s="36">
        <v>70.900000000000006</v>
      </c>
      <c r="AQ29" s="205">
        <f t="shared" ref="AQ29:AQ30" si="64">SUM(AM29:AP29)</f>
        <v>833.6</v>
      </c>
      <c r="AR29" s="73"/>
      <c r="AS29" s="56"/>
      <c r="AT29" s="56"/>
      <c r="AU29" s="36"/>
      <c r="AV29" s="205"/>
      <c r="AW29" s="73">
        <v>291.89999999999998</v>
      </c>
      <c r="AX29" s="56">
        <v>263.60000000000002</v>
      </c>
      <c r="AY29" s="56">
        <v>231.3</v>
      </c>
      <c r="AZ29" s="36">
        <v>313.8</v>
      </c>
      <c r="BA29" s="205">
        <f t="shared" ref="BA29:BA30" si="65">SUM(AW29:AZ29)</f>
        <v>1100.5999999999999</v>
      </c>
      <c r="BB29" s="73">
        <v>182.4</v>
      </c>
      <c r="BC29" s="56">
        <v>288.39999999999998</v>
      </c>
      <c r="BD29" s="418">
        <v>345.9</v>
      </c>
      <c r="BE29" s="36">
        <v>324.89999999999998</v>
      </c>
      <c r="BF29" s="738">
        <f>SUM(BB29:BE29)</f>
        <v>1141.5999999999999</v>
      </c>
      <c r="BG29" s="73">
        <v>389.6</v>
      </c>
      <c r="BH29" s="54">
        <v>539.29999999999995</v>
      </c>
      <c r="BI29" s="50">
        <v>3142.4</v>
      </c>
      <c r="BJ29" s="36">
        <v>337.5</v>
      </c>
      <c r="BK29" s="722">
        <f>SUM(BG29:BJ29)</f>
        <v>4408.8</v>
      </c>
      <c r="BL29" s="73">
        <v>214.9</v>
      </c>
      <c r="BM29" s="107">
        <v>288.89999999999998</v>
      </c>
      <c r="BN29" s="799"/>
      <c r="BO29" s="97"/>
      <c r="BP29" s="738">
        <f>SUM(BL29:BO29)</f>
        <v>503.79999999999995</v>
      </c>
    </row>
    <row r="30" spans="1:68" ht="30" customHeight="1">
      <c r="A30" s="49" t="s">
        <v>78</v>
      </c>
      <c r="B30" s="114" t="s">
        <v>79</v>
      </c>
      <c r="C30" s="54"/>
      <c r="D30" s="54"/>
      <c r="E30" s="54"/>
      <c r="F30" s="54"/>
      <c r="G30" s="205"/>
      <c r="H30" s="55"/>
      <c r="I30" s="54"/>
      <c r="J30" s="54"/>
      <c r="K30" s="54"/>
      <c r="L30" s="205"/>
      <c r="M30" s="55"/>
      <c r="N30" s="54"/>
      <c r="O30" s="54"/>
      <c r="P30" s="54"/>
      <c r="Q30" s="205"/>
      <c r="R30" s="54"/>
      <c r="S30" s="54"/>
      <c r="T30" s="54"/>
      <c r="U30" s="57"/>
      <c r="V30" s="205"/>
      <c r="W30" s="56">
        <v>3</v>
      </c>
      <c r="X30" s="56">
        <v>-6.8</v>
      </c>
      <c r="Y30" s="36">
        <v>-8.4</v>
      </c>
      <c r="Z30" s="57">
        <v>-8.1</v>
      </c>
      <c r="AA30" s="205">
        <f t="shared" si="5"/>
        <v>-20.299999999999997</v>
      </c>
      <c r="AB30" s="56">
        <v>-8</v>
      </c>
      <c r="AC30" s="56">
        <v>-9.5</v>
      </c>
      <c r="AD30" s="36">
        <v>-8</v>
      </c>
      <c r="AE30" s="36">
        <v>-9.9</v>
      </c>
      <c r="AF30" s="205">
        <f t="shared" si="6"/>
        <v>-35.4</v>
      </c>
      <c r="AG30" s="54"/>
      <c r="AH30" s="56"/>
      <c r="AI30" s="85"/>
      <c r="AJ30" s="36"/>
      <c r="AK30" s="205">
        <f t="shared" si="63"/>
        <v>0</v>
      </c>
      <c r="AL30" s="517"/>
      <c r="AM30" s="73">
        <v>-8.6</v>
      </c>
      <c r="AN30" s="56">
        <v>-4.4000000000000004</v>
      </c>
      <c r="AO30" s="56">
        <v>1</v>
      </c>
      <c r="AP30" s="36">
        <v>-5.5</v>
      </c>
      <c r="AQ30" s="205">
        <f t="shared" si="64"/>
        <v>-17.5</v>
      </c>
      <c r="AR30" s="73"/>
      <c r="AS30" s="56"/>
      <c r="AT30" s="56"/>
      <c r="AU30" s="36"/>
      <c r="AV30" s="205"/>
      <c r="AW30" s="73">
        <v>5.4</v>
      </c>
      <c r="AX30" s="56">
        <v>5.3</v>
      </c>
      <c r="AY30" s="56">
        <v>5.2</v>
      </c>
      <c r="AZ30" s="36">
        <v>-1.9</v>
      </c>
      <c r="BA30" s="205">
        <f t="shared" si="65"/>
        <v>13.999999999999998</v>
      </c>
      <c r="BB30" s="73">
        <v>1.4</v>
      </c>
      <c r="BC30" s="56">
        <v>2.2999999999999998</v>
      </c>
      <c r="BD30" s="56">
        <v>-0.9</v>
      </c>
      <c r="BE30" s="36">
        <v>1.8</v>
      </c>
      <c r="BF30" s="738">
        <f t="shared" ref="BF30" si="66">SUM(BB30:BE30)</f>
        <v>4.5999999999999996</v>
      </c>
      <c r="BG30" s="73">
        <v>0.8</v>
      </c>
      <c r="BH30" s="54">
        <v>2.4</v>
      </c>
      <c r="BI30" s="56">
        <v>6.3</v>
      </c>
      <c r="BJ30" s="36">
        <v>-3.8</v>
      </c>
      <c r="BK30" s="722">
        <f t="shared" ref="BK30" si="67">SUM(BG30:BJ30)</f>
        <v>5.7</v>
      </c>
      <c r="BL30" s="73">
        <v>-2.1</v>
      </c>
      <c r="BM30" s="107">
        <v>-6.2</v>
      </c>
      <c r="BN30" s="109"/>
      <c r="BO30" s="97"/>
      <c r="BP30" s="738">
        <f t="shared" ref="BP30" si="68">SUM(BL30:BO30)</f>
        <v>-8.3000000000000007</v>
      </c>
    </row>
    <row r="31" spans="1:68" s="53" customFormat="1" ht="20.100000000000001" customHeight="1">
      <c r="A31" s="58" t="s">
        <v>80</v>
      </c>
      <c r="B31" s="119" t="s">
        <v>81</v>
      </c>
      <c r="C31" s="59">
        <f t="shared" ref="C31:M31" si="69">ROUND(C28/348.352836,2)</f>
        <v>0.59</v>
      </c>
      <c r="D31" s="59">
        <f t="shared" si="69"/>
        <v>0.28999999999999998</v>
      </c>
      <c r="E31" s="59">
        <f t="shared" si="69"/>
        <v>0.49</v>
      </c>
      <c r="F31" s="59">
        <f t="shared" si="69"/>
        <v>0.35</v>
      </c>
      <c r="G31" s="206">
        <f t="shared" si="69"/>
        <v>1.72</v>
      </c>
      <c r="H31" s="60">
        <f t="shared" si="69"/>
        <v>0.27</v>
      </c>
      <c r="I31" s="59">
        <f t="shared" si="69"/>
        <v>0.23</v>
      </c>
      <c r="J31" s="59">
        <f t="shared" si="69"/>
        <v>0.51</v>
      </c>
      <c r="K31" s="59">
        <f t="shared" si="69"/>
        <v>0.5</v>
      </c>
      <c r="L31" s="206">
        <f t="shared" si="69"/>
        <v>1.51</v>
      </c>
      <c r="M31" s="61">
        <f t="shared" si="69"/>
        <v>0.28000000000000003</v>
      </c>
      <c r="N31" s="59">
        <f>ROUND(N28/524.348714,2)</f>
        <v>0.25</v>
      </c>
      <c r="O31" s="59">
        <f>ROUND(O28/639.546016,2)</f>
        <v>0.08</v>
      </c>
      <c r="P31" s="59">
        <f>ROUND(P28/639.546016,2)</f>
        <v>0.02</v>
      </c>
      <c r="Q31" s="206">
        <f>ROUND(Q28/539.024535,2)</f>
        <v>0.54</v>
      </c>
      <c r="R31" s="59">
        <f t="shared" ref="R31:AA31" si="70">ROUND(R28/639.546016,2)</f>
        <v>0.27</v>
      </c>
      <c r="S31" s="59">
        <f t="shared" si="70"/>
        <v>0.48</v>
      </c>
      <c r="T31" s="59">
        <f t="shared" si="70"/>
        <v>0.79</v>
      </c>
      <c r="U31" s="62">
        <f t="shared" si="70"/>
        <v>0.28999999999999998</v>
      </c>
      <c r="V31" s="206">
        <f t="shared" si="70"/>
        <v>1.82</v>
      </c>
      <c r="W31" s="63">
        <f t="shared" si="70"/>
        <v>0.28000000000000003</v>
      </c>
      <c r="X31" s="63">
        <f>ROUNDUP(X28/639.546016,2)</f>
        <v>0.37</v>
      </c>
      <c r="Y31" s="37">
        <f t="shared" si="70"/>
        <v>0.42</v>
      </c>
      <c r="Z31" s="37">
        <f>ROUNDUP(Z28/639.546016,2)</f>
        <v>0.54</v>
      </c>
      <c r="AA31" s="206">
        <f t="shared" si="70"/>
        <v>1.6</v>
      </c>
      <c r="AB31" s="63">
        <f t="shared" ref="AB31:AK31" si="71">ROUND(AB28/639.546016,2)</f>
        <v>0.42</v>
      </c>
      <c r="AC31" s="63">
        <f t="shared" si="71"/>
        <v>0.44</v>
      </c>
      <c r="AD31" s="63">
        <f t="shared" si="71"/>
        <v>0.37</v>
      </c>
      <c r="AE31" s="63">
        <f t="shared" si="71"/>
        <v>0.25</v>
      </c>
      <c r="AF31" s="206">
        <f t="shared" si="71"/>
        <v>1.48</v>
      </c>
      <c r="AG31" s="63">
        <f t="shared" si="71"/>
        <v>0.49</v>
      </c>
      <c r="AH31" s="63">
        <f t="shared" si="71"/>
        <v>0.4</v>
      </c>
      <c r="AI31" s="63">
        <f t="shared" si="71"/>
        <v>0.35</v>
      </c>
      <c r="AJ31" s="98">
        <f t="shared" si="71"/>
        <v>0.09</v>
      </c>
      <c r="AK31" s="206">
        <f t="shared" si="71"/>
        <v>1.33</v>
      </c>
      <c r="AL31" s="521"/>
      <c r="AM31" s="74">
        <f t="shared" ref="AM31:AQ31" si="72">ROUND(AM28/639.546016,2)</f>
        <v>0.46</v>
      </c>
      <c r="AN31" s="63">
        <f t="shared" si="72"/>
        <v>0.36</v>
      </c>
      <c r="AO31" s="63">
        <v>0.35</v>
      </c>
      <c r="AP31" s="98">
        <v>0.11</v>
      </c>
      <c r="AQ31" s="206">
        <f t="shared" si="72"/>
        <v>1.28</v>
      </c>
      <c r="AR31" s="74"/>
      <c r="AS31" s="63"/>
      <c r="AT31" s="63"/>
      <c r="AU31" s="98"/>
      <c r="AV31" s="206"/>
      <c r="AW31" s="74">
        <f>ROUND(AW28/639.546016,2)</f>
        <v>0.46</v>
      </c>
      <c r="AX31" s="63">
        <v>0.43</v>
      </c>
      <c r="AY31" s="63">
        <v>0.37</v>
      </c>
      <c r="AZ31" s="98">
        <v>0.48</v>
      </c>
      <c r="BA31" s="206">
        <f t="shared" ref="BA31" si="73">ROUND(BA28/639.546016,2)</f>
        <v>1.74</v>
      </c>
      <c r="BB31" s="74">
        <f>ROUND(BB28/639.546016,2)</f>
        <v>0.28999999999999998</v>
      </c>
      <c r="BC31" s="98">
        <f t="shared" ref="BC31:BE31" si="74">ROUND(BC28/639.546016,2)</f>
        <v>0.45</v>
      </c>
      <c r="BD31" s="98">
        <f t="shared" si="74"/>
        <v>0.54</v>
      </c>
      <c r="BE31" s="98">
        <f t="shared" si="74"/>
        <v>0.51</v>
      </c>
      <c r="BF31" s="738">
        <f t="shared" ref="BF31" si="75">ROUND(BF28/639.546016,2)</f>
        <v>1.79</v>
      </c>
      <c r="BG31" s="74">
        <f>ROUND(BG28/639.546016,2)</f>
        <v>0.61</v>
      </c>
      <c r="BH31" s="98">
        <f t="shared" ref="BH31" si="76">ROUND(BH28/639.546016,2)</f>
        <v>0.85</v>
      </c>
      <c r="BI31" s="98">
        <f>ROUNDDOWN(BI28/639.546016,2)</f>
        <v>4.92</v>
      </c>
      <c r="BJ31" s="98">
        <f>BJ28/621.258207</f>
        <v>0.53713576133087548</v>
      </c>
      <c r="BK31" s="719">
        <f>BK28/634.936486</f>
        <v>6.9526639236164458</v>
      </c>
      <c r="BL31" s="98">
        <f>BL28/568.37189</f>
        <v>0.37440275239509108</v>
      </c>
      <c r="BM31" s="800">
        <f>BM28/561.525804</f>
        <v>0.50344970433451319</v>
      </c>
      <c r="BN31" s="800">
        <f>ROUNDDOWN(BN28/639.546016,2)</f>
        <v>0</v>
      </c>
      <c r="BO31" s="800">
        <f>BO28/621.258207</f>
        <v>0</v>
      </c>
      <c r="BP31" s="801">
        <f>BP28/564.929935</f>
        <v>0.87709991859432779</v>
      </c>
    </row>
    <row r="32" spans="1:68" s="415" customFormat="1" ht="22.5" customHeight="1">
      <c r="A32" s="408" t="s">
        <v>82</v>
      </c>
      <c r="B32" s="409" t="s">
        <v>82</v>
      </c>
      <c r="C32" s="410">
        <f t="shared" ref="C32:AK32" si="77">C21-C12</f>
        <v>257.40000000000003</v>
      </c>
      <c r="D32" s="410">
        <f t="shared" si="77"/>
        <v>269.7</v>
      </c>
      <c r="E32" s="410">
        <f t="shared" si="77"/>
        <v>257.8</v>
      </c>
      <c r="F32" s="410">
        <f t="shared" si="77"/>
        <v>247.20000000000016</v>
      </c>
      <c r="G32" s="411">
        <f t="shared" si="77"/>
        <v>1032.0999999999992</v>
      </c>
      <c r="H32" s="412">
        <f t="shared" si="77"/>
        <v>245.37999999999994</v>
      </c>
      <c r="I32" s="410">
        <f t="shared" si="77"/>
        <v>257.3</v>
      </c>
      <c r="J32" s="410">
        <f t="shared" si="77"/>
        <v>268.2</v>
      </c>
      <c r="K32" s="410">
        <f t="shared" si="77"/>
        <v>275.39999999999998</v>
      </c>
      <c r="L32" s="411">
        <f t="shared" si="77"/>
        <v>1046.2800000000002</v>
      </c>
      <c r="M32" s="412">
        <f t="shared" si="77"/>
        <v>281.99999999999977</v>
      </c>
      <c r="N32" s="410">
        <f t="shared" si="77"/>
        <v>708.89999999999986</v>
      </c>
      <c r="O32" s="410">
        <f t="shared" si="77"/>
        <v>910.09999999999968</v>
      </c>
      <c r="P32" s="410">
        <f t="shared" si="77"/>
        <v>837.30000000000075</v>
      </c>
      <c r="Q32" s="411">
        <f t="shared" si="77"/>
        <v>2738.2999999999993</v>
      </c>
      <c r="R32" s="410">
        <f t="shared" si="77"/>
        <v>896.59999999999991</v>
      </c>
      <c r="S32" s="410">
        <f t="shared" si="77"/>
        <v>977</v>
      </c>
      <c r="T32" s="410">
        <f t="shared" si="77"/>
        <v>930.39999999999964</v>
      </c>
      <c r="U32" s="410">
        <f t="shared" si="77"/>
        <v>881.10000000000036</v>
      </c>
      <c r="V32" s="411">
        <f t="shared" si="77"/>
        <v>3685.0999999999995</v>
      </c>
      <c r="W32" s="410">
        <f t="shared" si="77"/>
        <v>846.5</v>
      </c>
      <c r="X32" s="410">
        <f t="shared" si="77"/>
        <v>935.00000000000011</v>
      </c>
      <c r="Y32" s="413">
        <f t="shared" si="77"/>
        <v>957.00000000000034</v>
      </c>
      <c r="Z32" s="413">
        <f t="shared" si="77"/>
        <v>902.3</v>
      </c>
      <c r="AA32" s="411">
        <f t="shared" si="77"/>
        <v>3640.8</v>
      </c>
      <c r="AB32" s="410">
        <f t="shared" si="77"/>
        <v>929.50000000000034</v>
      </c>
      <c r="AC32" s="410">
        <f t="shared" si="77"/>
        <v>963.69999999999982</v>
      </c>
      <c r="AD32" s="410">
        <f t="shared" si="77"/>
        <v>851.1</v>
      </c>
      <c r="AE32" s="410">
        <f t="shared" si="77"/>
        <v>872.7</v>
      </c>
      <c r="AF32" s="411">
        <f t="shared" si="77"/>
        <v>3617.0000000000009</v>
      </c>
      <c r="AG32" s="410">
        <f t="shared" si="77"/>
        <v>918.79999999999973</v>
      </c>
      <c r="AH32" s="410">
        <f t="shared" si="77"/>
        <v>927.59999999999991</v>
      </c>
      <c r="AI32" s="410">
        <f t="shared" si="77"/>
        <v>848.50000000000011</v>
      </c>
      <c r="AJ32" s="414">
        <f t="shared" si="77"/>
        <v>846.6</v>
      </c>
      <c r="AK32" s="411">
        <f t="shared" si="77"/>
        <v>3541.4999999999995</v>
      </c>
      <c r="AL32" s="416"/>
      <c r="AM32" s="412">
        <f t="shared" ref="AM32:BP32" si="78">AM21-AM12</f>
        <v>890</v>
      </c>
      <c r="AN32" s="410">
        <f t="shared" si="78"/>
        <v>946.39999999999986</v>
      </c>
      <c r="AO32" s="410">
        <f t="shared" si="78"/>
        <v>919.99999999999977</v>
      </c>
      <c r="AP32" s="414">
        <f t="shared" si="78"/>
        <v>941.3</v>
      </c>
      <c r="AQ32" s="411">
        <f t="shared" si="78"/>
        <v>3697.700000000003</v>
      </c>
      <c r="AR32" s="412">
        <f t="shared" si="78"/>
        <v>922.00000000000023</v>
      </c>
      <c r="AS32" s="410">
        <f t="shared" si="78"/>
        <v>959.9</v>
      </c>
      <c r="AT32" s="410">
        <f t="shared" si="78"/>
        <v>901.1999999999997</v>
      </c>
      <c r="AU32" s="410">
        <f t="shared" si="78"/>
        <v>938.20000000000095</v>
      </c>
      <c r="AV32" s="411">
        <f t="shared" si="78"/>
        <v>3721.3000000000029</v>
      </c>
      <c r="AW32" s="412">
        <f t="shared" si="78"/>
        <v>1038.2999999999995</v>
      </c>
      <c r="AX32" s="410">
        <f t="shared" si="78"/>
        <v>1076.0999999999999</v>
      </c>
      <c r="AY32" s="410">
        <f t="shared" si="78"/>
        <v>1020.4999999999999</v>
      </c>
      <c r="AZ32" s="410">
        <f t="shared" si="78"/>
        <v>1061.8000000000002</v>
      </c>
      <c r="BA32" s="411">
        <f t="shared" si="78"/>
        <v>4196.7000000000007</v>
      </c>
      <c r="BB32" s="412">
        <f t="shared" si="78"/>
        <v>1026.6888265199998</v>
      </c>
      <c r="BC32" s="410">
        <f t="shared" si="78"/>
        <v>960.0000000000008</v>
      </c>
      <c r="BD32" s="410">
        <f t="shared" si="78"/>
        <v>1078.8999999999999</v>
      </c>
      <c r="BE32" s="410">
        <f t="shared" si="78"/>
        <v>1126.3000000000002</v>
      </c>
      <c r="BF32" s="720">
        <f t="shared" si="78"/>
        <v>4191.8888265199985</v>
      </c>
      <c r="BG32" s="412">
        <f t="shared" si="78"/>
        <v>1082.7</v>
      </c>
      <c r="BH32" s="410">
        <f t="shared" si="78"/>
        <v>1140.8999999999999</v>
      </c>
      <c r="BI32" s="410">
        <f t="shared" si="78"/>
        <v>4595.0000000000009</v>
      </c>
      <c r="BJ32" s="410">
        <f t="shared" si="78"/>
        <v>880.99999999999966</v>
      </c>
      <c r="BK32" s="720">
        <f t="shared" si="78"/>
        <v>7699.5999999999985</v>
      </c>
      <c r="BL32" s="412">
        <f t="shared" si="78"/>
        <v>766.6</v>
      </c>
      <c r="BM32" s="410">
        <f t="shared" si="78"/>
        <v>893.29999999999984</v>
      </c>
      <c r="BN32" s="410">
        <f t="shared" si="78"/>
        <v>0</v>
      </c>
      <c r="BO32" s="410">
        <f t="shared" si="78"/>
        <v>0</v>
      </c>
      <c r="BP32" s="720">
        <f t="shared" si="78"/>
        <v>1659.8999999999987</v>
      </c>
    </row>
    <row r="33" spans="1:16365" s="443" customFormat="1" ht="22.5" customHeight="1">
      <c r="A33" s="447" t="s">
        <v>83</v>
      </c>
      <c r="B33" s="448" t="s">
        <v>84</v>
      </c>
      <c r="C33" s="449">
        <f t="shared" ref="C33:AK33" si="79">C32/C5</f>
        <v>0.38463837417812313</v>
      </c>
      <c r="D33" s="449">
        <f t="shared" si="79"/>
        <v>0.377836929111796</v>
      </c>
      <c r="E33" s="449">
        <f t="shared" si="79"/>
        <v>0.4</v>
      </c>
      <c r="F33" s="449">
        <f t="shared" si="79"/>
        <v>0.32933653077537983</v>
      </c>
      <c r="G33" s="450">
        <f t="shared" si="79"/>
        <v>0.37151290450307745</v>
      </c>
      <c r="H33" s="451">
        <f t="shared" si="79"/>
        <v>0.35200114761153339</v>
      </c>
      <c r="I33" s="449">
        <f t="shared" si="79"/>
        <v>0.34963989672509854</v>
      </c>
      <c r="J33" s="449">
        <f t="shared" si="79"/>
        <v>0.39598405433338257</v>
      </c>
      <c r="K33" s="449">
        <f t="shared" si="79"/>
        <v>0.34403497813866329</v>
      </c>
      <c r="L33" s="450">
        <f t="shared" si="79"/>
        <v>0.35944757454995196</v>
      </c>
      <c r="M33" s="451">
        <f t="shared" si="79"/>
        <v>0.38987971795935272</v>
      </c>
      <c r="N33" s="449">
        <f t="shared" si="79"/>
        <v>0.40603700097370976</v>
      </c>
      <c r="O33" s="449">
        <f t="shared" si="79"/>
        <v>0.37613655149611497</v>
      </c>
      <c r="P33" s="449">
        <f t="shared" si="79"/>
        <v>0.33211693308476481</v>
      </c>
      <c r="Q33" s="450">
        <f t="shared" si="79"/>
        <v>0.36954614772129168</v>
      </c>
      <c r="R33" s="449">
        <f t="shared" si="79"/>
        <v>0.38497209102619145</v>
      </c>
      <c r="S33" s="449">
        <f t="shared" si="79"/>
        <v>0.39567471245747615</v>
      </c>
      <c r="T33" s="449">
        <f t="shared" si="79"/>
        <v>0.3852747525777464</v>
      </c>
      <c r="U33" s="449">
        <f t="shared" si="79"/>
        <v>0.33759914172956829</v>
      </c>
      <c r="V33" s="450">
        <f t="shared" si="79"/>
        <v>0.37515015779293487</v>
      </c>
      <c r="W33" s="449">
        <f t="shared" si="79"/>
        <v>0.35807952622673433</v>
      </c>
      <c r="X33" s="449">
        <f t="shared" si="79"/>
        <v>0.3827418232428671</v>
      </c>
      <c r="Y33" s="452">
        <f t="shared" si="79"/>
        <v>0.4007873356227491</v>
      </c>
      <c r="Z33" s="452">
        <f t="shared" si="79"/>
        <v>0.35592284328034396</v>
      </c>
      <c r="AA33" s="450">
        <f t="shared" si="79"/>
        <v>0.37419063084544396</v>
      </c>
      <c r="AB33" s="449">
        <f t="shared" si="79"/>
        <v>0.38914008205643491</v>
      </c>
      <c r="AC33" s="449">
        <f t="shared" si="79"/>
        <v>0.39017773998947319</v>
      </c>
      <c r="AD33" s="449">
        <f t="shared" si="79"/>
        <v>0.35597473754653058</v>
      </c>
      <c r="AE33" s="449">
        <f t="shared" si="79"/>
        <v>0.33836073200992561</v>
      </c>
      <c r="AF33" s="450">
        <f t="shared" si="79"/>
        <v>0.36800765114054906</v>
      </c>
      <c r="AG33" s="449">
        <f t="shared" si="79"/>
        <v>0.3892065912653026</v>
      </c>
      <c r="AH33" s="449">
        <f t="shared" si="79"/>
        <v>0.37450038354394599</v>
      </c>
      <c r="AI33" s="449">
        <f t="shared" si="79"/>
        <v>0.34840272645150699</v>
      </c>
      <c r="AJ33" s="449">
        <f t="shared" si="79"/>
        <v>0.3156599552572707</v>
      </c>
      <c r="AK33" s="450">
        <f t="shared" si="79"/>
        <v>0.35575087895529878</v>
      </c>
      <c r="AL33" s="496"/>
      <c r="AM33" s="451">
        <f t="shared" ref="AM33:BP33" si="80">AM32/AM5</f>
        <v>0.37938531054179631</v>
      </c>
      <c r="AN33" s="449">
        <f t="shared" si="80"/>
        <v>0.36355255070682235</v>
      </c>
      <c r="AO33" s="449">
        <f t="shared" si="80"/>
        <v>0.33638025594149901</v>
      </c>
      <c r="AP33" s="449">
        <f t="shared" si="80"/>
        <v>0.31355762824783479</v>
      </c>
      <c r="AQ33" s="450">
        <f t="shared" si="80"/>
        <v>0.3460289535003418</v>
      </c>
      <c r="AR33" s="451">
        <f t="shared" si="80"/>
        <v>0.33136860264519846</v>
      </c>
      <c r="AS33" s="449">
        <f t="shared" si="80"/>
        <v>0.32952282869893579</v>
      </c>
      <c r="AT33" s="449">
        <f t="shared" si="80"/>
        <v>0.31266696735246147</v>
      </c>
      <c r="AU33" s="449">
        <f t="shared" si="80"/>
        <v>0.30670153644982046</v>
      </c>
      <c r="AV33" s="450">
        <f t="shared" si="80"/>
        <v>0.31978997482104055</v>
      </c>
      <c r="AW33" s="451">
        <f t="shared" si="80"/>
        <v>0.37193724029230529</v>
      </c>
      <c r="AX33" s="449">
        <f t="shared" si="80"/>
        <v>0.36814916182004787</v>
      </c>
      <c r="AY33" s="449">
        <f t="shared" si="80"/>
        <v>0.35282118655787575</v>
      </c>
      <c r="AZ33" s="449">
        <f t="shared" si="80"/>
        <v>0.34596461503372328</v>
      </c>
      <c r="BA33" s="450">
        <f t="shared" si="80"/>
        <v>0.35942652084171944</v>
      </c>
      <c r="BB33" s="451">
        <f t="shared" si="80"/>
        <v>0.36043139424960502</v>
      </c>
      <c r="BC33" s="449">
        <f t="shared" si="80"/>
        <v>0.33534774862891703</v>
      </c>
      <c r="BD33" s="449">
        <f t="shared" si="80"/>
        <v>0.35921425004161806</v>
      </c>
      <c r="BE33" s="449">
        <f t="shared" si="80"/>
        <v>0.34674589003140205</v>
      </c>
      <c r="BF33" s="721">
        <f t="shared" si="80"/>
        <v>0.35040741179145513</v>
      </c>
      <c r="BG33" s="451">
        <f t="shared" si="80"/>
        <v>0.36242217312713398</v>
      </c>
      <c r="BH33" s="449">
        <f t="shared" si="80"/>
        <v>0.3610785834098173</v>
      </c>
      <c r="BI33" s="449">
        <f t="shared" si="80"/>
        <v>1.5155513044625486</v>
      </c>
      <c r="BJ33" s="449">
        <f t="shared" si="80"/>
        <v>0.2698315467075037</v>
      </c>
      <c r="BK33" s="721">
        <f t="shared" si="80"/>
        <v>0.61873995499839274</v>
      </c>
      <c r="BL33" s="451">
        <f t="shared" si="80"/>
        <v>0.25667124250845413</v>
      </c>
      <c r="BM33" s="449">
        <f t="shared" si="80"/>
        <v>0.27672624763792941</v>
      </c>
      <c r="BN33" s="449" t="e">
        <f t="shared" si="80"/>
        <v>#DIV/0!</v>
      </c>
      <c r="BO33" s="449" t="e">
        <f t="shared" si="80"/>
        <v>#DIV/0!</v>
      </c>
      <c r="BP33" s="721">
        <f t="shared" si="80"/>
        <v>0.2670882409731607</v>
      </c>
    </row>
    <row r="34" spans="1:16365" s="53" customFormat="1" ht="20.100000000000001" customHeight="1">
      <c r="A34" s="49" t="s">
        <v>85</v>
      </c>
      <c r="B34" s="137" t="s">
        <v>86</v>
      </c>
      <c r="C34" s="134"/>
      <c r="D34" s="134"/>
      <c r="E34" s="134"/>
      <c r="F34" s="134"/>
      <c r="G34" s="206"/>
      <c r="H34" s="135"/>
      <c r="I34" s="134"/>
      <c r="J34" s="134"/>
      <c r="K34" s="134"/>
      <c r="L34" s="206"/>
      <c r="M34" s="135"/>
      <c r="N34" s="134"/>
      <c r="O34" s="134"/>
      <c r="P34" s="134"/>
      <c r="Q34" s="206"/>
      <c r="R34" s="134"/>
      <c r="S34" s="134"/>
      <c r="T34" s="134"/>
      <c r="U34" s="134"/>
      <c r="V34" s="206"/>
      <c r="W34" s="134"/>
      <c r="X34" s="134"/>
      <c r="Y34" s="136"/>
      <c r="Z34" s="136"/>
      <c r="AA34" s="206"/>
      <c r="AB34" s="134"/>
      <c r="AC34" s="134"/>
      <c r="AD34" s="134"/>
      <c r="AE34" s="134"/>
      <c r="AF34" s="206"/>
      <c r="AG34" s="134"/>
      <c r="AH34" s="134"/>
      <c r="AI34" s="134"/>
      <c r="AJ34" s="136"/>
      <c r="AK34" s="206"/>
      <c r="AL34" s="497"/>
      <c r="AM34" s="135"/>
      <c r="AN34" s="134"/>
      <c r="AO34" s="134"/>
      <c r="AP34" s="136"/>
      <c r="AQ34" s="206"/>
      <c r="AR34" s="135"/>
      <c r="AS34" s="134"/>
      <c r="AT34" s="134"/>
      <c r="AU34" s="134"/>
      <c r="AV34" s="206"/>
      <c r="AW34" s="135"/>
      <c r="AX34" s="134"/>
      <c r="AY34" s="134"/>
      <c r="AZ34" s="134"/>
      <c r="BA34" s="206"/>
      <c r="BB34" s="135"/>
      <c r="BC34" s="56">
        <v>-41.5</v>
      </c>
      <c r="BD34" s="56">
        <v>-3.3</v>
      </c>
      <c r="BE34" s="56">
        <v>-1.1000000000000001</v>
      </c>
      <c r="BF34" s="738">
        <f>SUM(BB34:BE34)</f>
        <v>-45.9</v>
      </c>
      <c r="BG34" s="711"/>
      <c r="BH34" s="109"/>
      <c r="BI34" s="109"/>
      <c r="BJ34" s="109"/>
      <c r="BK34" s="722">
        <f>SUM(BG34:BJ34)</f>
        <v>0</v>
      </c>
      <c r="BL34" s="46">
        <v>0</v>
      </c>
      <c r="BM34" s="46">
        <v>0</v>
      </c>
      <c r="BN34" s="56"/>
      <c r="BO34" s="56"/>
      <c r="BP34" s="722">
        <f>SUM(BL34:BO34)</f>
        <v>0</v>
      </c>
    </row>
    <row r="35" spans="1:16365" s="53" customFormat="1" ht="20.100000000000001" customHeight="1">
      <c r="A35" s="49" t="s">
        <v>87</v>
      </c>
      <c r="B35" s="137" t="s">
        <v>88</v>
      </c>
      <c r="C35" s="134"/>
      <c r="D35" s="134"/>
      <c r="E35" s="134"/>
      <c r="F35" s="134"/>
      <c r="G35" s="206"/>
      <c r="H35" s="135"/>
      <c r="I35" s="134"/>
      <c r="J35" s="134"/>
      <c r="K35" s="134"/>
      <c r="L35" s="206"/>
      <c r="M35" s="135"/>
      <c r="N35" s="134"/>
      <c r="O35" s="134"/>
      <c r="P35" s="134"/>
      <c r="Q35" s="206"/>
      <c r="R35" s="134"/>
      <c r="S35" s="134"/>
      <c r="T35" s="134"/>
      <c r="U35" s="134"/>
      <c r="V35" s="206"/>
      <c r="W35" s="134"/>
      <c r="X35" s="134"/>
      <c r="Y35" s="136"/>
      <c r="Z35" s="136"/>
      <c r="AA35" s="206"/>
      <c r="AB35" s="134"/>
      <c r="AC35" s="134"/>
      <c r="AD35" s="134"/>
      <c r="AE35" s="134"/>
      <c r="AF35" s="206"/>
      <c r="AG35" s="134"/>
      <c r="AH35" s="134"/>
      <c r="AI35" s="134"/>
      <c r="AJ35" s="136"/>
      <c r="AK35" s="206"/>
      <c r="AL35" s="497"/>
      <c r="AM35" s="135"/>
      <c r="AN35" s="134"/>
      <c r="AO35" s="134"/>
      <c r="AP35" s="136"/>
      <c r="AQ35" s="206"/>
      <c r="AR35" s="135"/>
      <c r="AS35" s="134"/>
      <c r="AT35" s="134"/>
      <c r="AU35" s="134"/>
      <c r="AV35" s="206"/>
      <c r="AW35" s="135"/>
      <c r="AX35" s="134"/>
      <c r="AY35" s="134"/>
      <c r="AZ35" s="134"/>
      <c r="BA35" s="206"/>
      <c r="BB35" s="135"/>
      <c r="BC35" s="56"/>
      <c r="BD35" s="56"/>
      <c r="BE35" s="56"/>
      <c r="BF35" s="738"/>
      <c r="BG35" s="711"/>
      <c r="BH35" s="109"/>
      <c r="BI35" s="109"/>
      <c r="BJ35" s="109"/>
      <c r="BK35" s="722"/>
      <c r="BL35" s="56">
        <v>-34.1</v>
      </c>
      <c r="BM35" s="46">
        <v>0</v>
      </c>
      <c r="BN35" s="56"/>
      <c r="BO35" s="56"/>
      <c r="BP35" s="722">
        <f>SUM(BL35:BO35)</f>
        <v>-34.1</v>
      </c>
    </row>
    <row r="36" spans="1:16365" s="415" customFormat="1" ht="22.5" customHeight="1">
      <c r="A36" s="408" t="s">
        <v>89</v>
      </c>
      <c r="B36" s="409" t="s">
        <v>90</v>
      </c>
      <c r="C36" s="410"/>
      <c r="D36" s="410"/>
      <c r="E36" s="410"/>
      <c r="F36" s="410"/>
      <c r="G36" s="411"/>
      <c r="H36" s="412"/>
      <c r="I36" s="410"/>
      <c r="J36" s="410"/>
      <c r="K36" s="410"/>
      <c r="L36" s="411"/>
      <c r="M36" s="412"/>
      <c r="N36" s="410"/>
      <c r="O36" s="410"/>
      <c r="P36" s="410"/>
      <c r="Q36" s="411"/>
      <c r="R36" s="410"/>
      <c r="S36" s="410"/>
      <c r="T36" s="410"/>
      <c r="U36" s="410"/>
      <c r="V36" s="411"/>
      <c r="W36" s="410"/>
      <c r="X36" s="410"/>
      <c r="Y36" s="413"/>
      <c r="Z36" s="413"/>
      <c r="AA36" s="411"/>
      <c r="AB36" s="410"/>
      <c r="AC36" s="410"/>
      <c r="AD36" s="410"/>
      <c r="AE36" s="410"/>
      <c r="AF36" s="411"/>
      <c r="AG36" s="410"/>
      <c r="AH36" s="410"/>
      <c r="AI36" s="410"/>
      <c r="AJ36" s="414"/>
      <c r="AK36" s="411"/>
      <c r="AL36" s="416"/>
      <c r="AM36" s="412"/>
      <c r="AN36" s="410"/>
      <c r="AO36" s="410"/>
      <c r="AP36" s="414"/>
      <c r="AQ36" s="411"/>
      <c r="AR36" s="412"/>
      <c r="AS36" s="410"/>
      <c r="AT36" s="410"/>
      <c r="AU36" s="410"/>
      <c r="AV36" s="411"/>
      <c r="AW36" s="412"/>
      <c r="AX36" s="410"/>
      <c r="AY36" s="410"/>
      <c r="AZ36" s="410"/>
      <c r="BA36" s="411"/>
      <c r="BB36" s="412"/>
      <c r="BC36" s="410">
        <f t="shared" ref="BC36:BF36" si="81">BC32-BC34</f>
        <v>1001.5000000000008</v>
      </c>
      <c r="BD36" s="410">
        <f t="shared" si="81"/>
        <v>1082.1999999999998</v>
      </c>
      <c r="BE36" s="410">
        <f>BE32-BE34</f>
        <v>1127.4000000000001</v>
      </c>
      <c r="BF36" s="720">
        <f t="shared" si="81"/>
        <v>4237.7888265199981</v>
      </c>
      <c r="BG36" s="412">
        <f>BG32</f>
        <v>1082.7</v>
      </c>
      <c r="BH36" s="410">
        <f>BH32</f>
        <v>1140.8999999999999</v>
      </c>
      <c r="BI36" s="410">
        <f>BI32-BI34-BI19</f>
        <v>904.20000000000073</v>
      </c>
      <c r="BJ36" s="410">
        <f>BJ32-BJ34-BJ19</f>
        <v>891.1999999999997</v>
      </c>
      <c r="BK36" s="720">
        <f>SUM(BG36:BJ36)</f>
        <v>4019.0000000000005</v>
      </c>
      <c r="BL36" s="412">
        <f>BL32-SUM(BL34:BL35)</f>
        <v>800.7</v>
      </c>
      <c r="BM36" s="410">
        <f>BM32</f>
        <v>893.29999999999984</v>
      </c>
      <c r="BN36" s="410">
        <f>BN32-BN34-BN19</f>
        <v>0</v>
      </c>
      <c r="BO36" s="410">
        <f>BO32-BO34-BO19</f>
        <v>0</v>
      </c>
      <c r="BP36" s="720">
        <f>SUM(BL36:BO36)</f>
        <v>1694</v>
      </c>
    </row>
    <row r="37" spans="1:16365" s="443" customFormat="1" ht="22.5" customHeight="1">
      <c r="A37" s="436" t="s">
        <v>91</v>
      </c>
      <c r="B37" s="437" t="s">
        <v>92</v>
      </c>
      <c r="C37" s="438"/>
      <c r="D37" s="438"/>
      <c r="E37" s="438"/>
      <c r="F37" s="438"/>
      <c r="G37" s="439"/>
      <c r="H37" s="440"/>
      <c r="I37" s="438"/>
      <c r="J37" s="438"/>
      <c r="K37" s="438"/>
      <c r="L37" s="439"/>
      <c r="M37" s="440"/>
      <c r="N37" s="438"/>
      <c r="O37" s="438"/>
      <c r="P37" s="438"/>
      <c r="Q37" s="439"/>
      <c r="R37" s="438"/>
      <c r="S37" s="438"/>
      <c r="T37" s="438"/>
      <c r="U37" s="438"/>
      <c r="V37" s="439"/>
      <c r="W37" s="438"/>
      <c r="X37" s="438"/>
      <c r="Y37" s="441"/>
      <c r="Z37" s="441"/>
      <c r="AA37" s="439"/>
      <c r="AB37" s="438"/>
      <c r="AC37" s="438"/>
      <c r="AD37" s="438"/>
      <c r="AE37" s="438"/>
      <c r="AF37" s="439"/>
      <c r="AG37" s="438"/>
      <c r="AH37" s="438"/>
      <c r="AI37" s="438"/>
      <c r="AJ37" s="442"/>
      <c r="AK37" s="439"/>
      <c r="AL37" s="416"/>
      <c r="AM37" s="440"/>
      <c r="AN37" s="438"/>
      <c r="AO37" s="438"/>
      <c r="AP37" s="442"/>
      <c r="AQ37" s="439"/>
      <c r="AR37" s="440"/>
      <c r="AS37" s="438"/>
      <c r="AT37" s="438"/>
      <c r="AU37" s="438"/>
      <c r="AV37" s="439"/>
      <c r="AW37" s="440"/>
      <c r="AX37" s="438"/>
      <c r="AY37" s="438"/>
      <c r="AZ37" s="438"/>
      <c r="BA37" s="439"/>
      <c r="BB37" s="440"/>
      <c r="BC37" s="522">
        <f t="shared" ref="BC37:BP37" si="82">BC36/BC5</f>
        <v>0.3498445523456879</v>
      </c>
      <c r="BD37" s="522">
        <f t="shared" si="82"/>
        <v>0.36031296820376224</v>
      </c>
      <c r="BE37" s="522">
        <f t="shared" si="82"/>
        <v>0.34708453912936393</v>
      </c>
      <c r="BF37" s="723">
        <f t="shared" si="82"/>
        <v>0.35424427409073034</v>
      </c>
      <c r="BG37" s="522">
        <f t="shared" si="82"/>
        <v>0.36242217312713398</v>
      </c>
      <c r="BH37" s="522">
        <f t="shared" si="82"/>
        <v>0.3610785834098173</v>
      </c>
      <c r="BI37" s="522">
        <f t="shared" si="82"/>
        <v>0.29822883340479589</v>
      </c>
      <c r="BJ37" s="522">
        <f t="shared" si="82"/>
        <v>0.27295558958652366</v>
      </c>
      <c r="BK37" s="723">
        <f t="shared" si="82"/>
        <v>0.32296689167470277</v>
      </c>
      <c r="BL37" s="522">
        <f t="shared" si="82"/>
        <v>0.26808852579770315</v>
      </c>
      <c r="BM37" s="522">
        <f t="shared" si="82"/>
        <v>0.27672624763792941</v>
      </c>
      <c r="BN37" s="522" t="e">
        <f t="shared" si="82"/>
        <v>#DIV/0!</v>
      </c>
      <c r="BO37" s="522" t="e">
        <f t="shared" si="82"/>
        <v>#DIV/0!</v>
      </c>
      <c r="BP37" s="723">
        <f t="shared" si="82"/>
        <v>0.27257514320653925</v>
      </c>
    </row>
    <row r="38" spans="1:16365" ht="15" customHeight="1">
      <c r="U38" s="6"/>
      <c r="V38" s="6"/>
      <c r="W38" s="6"/>
      <c r="X38" s="6"/>
      <c r="Y38" s="38"/>
      <c r="Z38" s="6"/>
      <c r="AA38" s="6"/>
      <c r="AB38" s="6"/>
      <c r="AC38" s="6"/>
      <c r="AD38" s="38"/>
      <c r="AE38" s="6"/>
      <c r="AF38" s="6"/>
      <c r="AG38" s="6"/>
      <c r="AH38" s="6"/>
      <c r="AI38" s="38"/>
      <c r="AJ38" s="6"/>
      <c r="AK38" s="100"/>
      <c r="AL38" s="5"/>
      <c r="AM38" s="6"/>
      <c r="AN38" s="78"/>
      <c r="AO38" s="38"/>
      <c r="AP38" s="6"/>
      <c r="AQ38" s="78"/>
      <c r="AR38" s="6"/>
      <c r="AS38" s="78"/>
      <c r="AT38" s="38"/>
      <c r="AU38" s="6"/>
      <c r="AV38" s="78"/>
      <c r="AW38" s="6"/>
      <c r="AX38" s="78"/>
      <c r="AY38" s="38"/>
      <c r="AZ38" s="6"/>
      <c r="BA38" s="78"/>
      <c r="BB38" s="6"/>
      <c r="BC38" s="78"/>
      <c r="BD38" s="38"/>
      <c r="BE38" s="6"/>
      <c r="BF38" s="731"/>
      <c r="BG38" s="6"/>
      <c r="BH38" s="78"/>
      <c r="BI38" s="38"/>
      <c r="BJ38" s="6"/>
      <c r="BK38" s="726"/>
      <c r="BL38" s="6"/>
      <c r="BM38" s="78"/>
      <c r="BN38" s="38"/>
      <c r="BO38" s="6"/>
      <c r="BP38" s="726"/>
    </row>
    <row r="39" spans="1:16365" ht="33" customHeight="1">
      <c r="A39" s="120" t="s">
        <v>93</v>
      </c>
      <c r="B39" s="124" t="s">
        <v>94</v>
      </c>
      <c r="C39" s="123"/>
      <c r="D39" s="123"/>
      <c r="E39" s="123"/>
      <c r="F39" s="123"/>
      <c r="G39" s="123"/>
      <c r="H39" s="123"/>
      <c r="I39" s="123"/>
      <c r="J39" s="123"/>
      <c r="K39" s="123"/>
      <c r="L39" s="123"/>
      <c r="M39" s="123"/>
      <c r="N39" s="123"/>
      <c r="O39" s="120"/>
      <c r="P39" s="120"/>
      <c r="Q39" s="120"/>
      <c r="R39" s="120"/>
      <c r="S39" s="822"/>
      <c r="T39" s="822"/>
      <c r="U39" s="822"/>
      <c r="V39" s="822"/>
      <c r="W39" s="822"/>
      <c r="X39" s="822"/>
      <c r="Y39" s="822"/>
      <c r="Z39" s="822"/>
      <c r="AA39" s="822"/>
      <c r="AB39" s="822"/>
      <c r="AC39" s="822"/>
      <c r="AD39" s="822"/>
      <c r="AE39" s="822"/>
      <c r="AF39" s="822"/>
      <c r="AG39" s="822"/>
      <c r="AH39" s="7"/>
      <c r="AI39" s="35"/>
      <c r="AJ39" s="7"/>
      <c r="AK39" s="101"/>
      <c r="AL39" s="5"/>
      <c r="AM39" s="7"/>
      <c r="AN39" s="7"/>
      <c r="AO39" s="35"/>
      <c r="AP39" s="7"/>
      <c r="AQ39" s="7"/>
      <c r="AR39" s="7"/>
      <c r="AS39" s="7"/>
      <c r="AT39" s="35"/>
      <c r="AU39" s="7"/>
      <c r="AV39" s="7"/>
      <c r="AW39" s="7"/>
      <c r="AX39" s="822"/>
      <c r="AY39" s="822"/>
      <c r="AZ39" s="822"/>
      <c r="BA39" s="822"/>
      <c r="BB39" s="822"/>
      <c r="BC39" s="822"/>
      <c r="BD39" s="822"/>
      <c r="BE39" s="822"/>
      <c r="BF39" s="822"/>
      <c r="BG39" s="822"/>
      <c r="BH39" s="822"/>
      <c r="BI39" s="822"/>
      <c r="BJ39" s="822"/>
      <c r="BK39" s="822"/>
      <c r="BL39" s="822"/>
      <c r="BM39" s="822"/>
      <c r="BN39" s="822"/>
      <c r="BO39" s="822"/>
      <c r="BP39" s="822"/>
      <c r="BQ39" s="822"/>
      <c r="BR39" s="822"/>
      <c r="BS39" s="822"/>
      <c r="BT39" s="822"/>
      <c r="BU39" s="822"/>
      <c r="BV39" s="822"/>
      <c r="BW39" s="822"/>
      <c r="BX39" s="822"/>
      <c r="BY39" s="822"/>
      <c r="BZ39" s="822"/>
      <c r="CA39" s="822"/>
      <c r="CB39" s="822"/>
      <c r="CC39" s="822"/>
      <c r="CD39" s="822"/>
      <c r="CE39" s="822"/>
      <c r="CF39" s="822"/>
      <c r="CG39" s="822"/>
      <c r="CH39" s="822"/>
      <c r="CI39" s="822"/>
      <c r="CJ39" s="822"/>
      <c r="CK39" s="822"/>
      <c r="CL39" s="822"/>
      <c r="CM39" s="822"/>
      <c r="CN39" s="822"/>
      <c r="CO39" s="822"/>
      <c r="CP39" s="822"/>
      <c r="CQ39" s="822"/>
      <c r="CR39" s="822"/>
      <c r="CS39" s="822"/>
      <c r="CT39" s="822"/>
      <c r="CU39" s="822"/>
      <c r="CV39" s="822"/>
      <c r="CW39" s="822"/>
      <c r="CX39" s="822"/>
      <c r="CY39" s="822"/>
      <c r="CZ39" s="822"/>
      <c r="DA39" s="822"/>
      <c r="DB39" s="822"/>
      <c r="DC39" s="822"/>
      <c r="DD39" s="822"/>
      <c r="DE39" s="822"/>
      <c r="DF39" s="822"/>
      <c r="DG39" s="822"/>
      <c r="DH39" s="822"/>
      <c r="DI39" s="822"/>
      <c r="DJ39" s="822"/>
      <c r="DK39" s="822"/>
      <c r="DL39" s="822"/>
      <c r="DM39" s="822"/>
      <c r="DN39" s="822"/>
      <c r="DO39" s="822"/>
      <c r="DP39" s="822"/>
      <c r="DQ39" s="822"/>
      <c r="DR39" s="822"/>
      <c r="DS39" s="822"/>
      <c r="DT39" s="822"/>
      <c r="DU39" s="822"/>
      <c r="DV39" s="822"/>
      <c r="DW39" s="822"/>
      <c r="DX39" s="822"/>
      <c r="DY39" s="822"/>
      <c r="DZ39" s="822"/>
      <c r="EA39" s="822"/>
      <c r="EB39" s="822"/>
      <c r="EC39" s="822"/>
      <c r="ED39" s="822"/>
      <c r="EE39" s="822"/>
      <c r="EF39" s="822"/>
      <c r="EG39" s="822"/>
      <c r="EH39" s="822"/>
      <c r="EI39" s="822"/>
      <c r="EJ39" s="822"/>
      <c r="EK39" s="822"/>
      <c r="EL39" s="822"/>
      <c r="EM39" s="822"/>
      <c r="EN39" s="822"/>
      <c r="EO39" s="822"/>
      <c r="EP39" s="822"/>
      <c r="EQ39" s="822"/>
      <c r="ER39" s="822"/>
      <c r="ES39" s="822"/>
      <c r="ET39" s="822"/>
      <c r="EU39" s="822"/>
      <c r="EV39" s="822"/>
      <c r="EW39" s="822"/>
      <c r="EX39" s="822"/>
      <c r="EY39" s="822"/>
      <c r="EZ39" s="822"/>
      <c r="FA39" s="822"/>
      <c r="FB39" s="822"/>
      <c r="FC39" s="822"/>
      <c r="FD39" s="822"/>
      <c r="FE39" s="822"/>
      <c r="FF39" s="822"/>
      <c r="FG39" s="822"/>
      <c r="FH39" s="822"/>
      <c r="FI39" s="822"/>
      <c r="FJ39" s="822"/>
      <c r="FK39" s="822"/>
      <c r="FL39" s="822"/>
      <c r="FM39" s="822"/>
      <c r="FN39" s="822"/>
      <c r="FO39" s="822"/>
      <c r="FP39" s="822"/>
      <c r="FQ39" s="822"/>
      <c r="FR39" s="822"/>
      <c r="FS39" s="822"/>
      <c r="FT39" s="822"/>
      <c r="FU39" s="822"/>
      <c r="FV39" s="822"/>
      <c r="FW39" s="822"/>
      <c r="FX39" s="822"/>
      <c r="FY39" s="822"/>
      <c r="FZ39" s="822"/>
      <c r="GA39" s="822"/>
      <c r="GB39" s="822"/>
      <c r="GC39" s="822"/>
      <c r="GD39" s="822"/>
      <c r="GE39" s="822"/>
      <c r="GF39" s="822"/>
      <c r="GG39" s="822"/>
      <c r="GH39" s="822"/>
      <c r="GI39" s="822"/>
      <c r="GJ39" s="822"/>
      <c r="GK39" s="822"/>
      <c r="GL39" s="822"/>
      <c r="GM39" s="822"/>
      <c r="GN39" s="822"/>
      <c r="GO39" s="822"/>
      <c r="GP39" s="822"/>
      <c r="GQ39" s="822"/>
      <c r="GR39" s="822"/>
      <c r="GS39" s="822"/>
      <c r="GT39" s="822"/>
      <c r="GU39" s="822"/>
      <c r="GV39" s="822"/>
      <c r="GW39" s="822"/>
      <c r="GX39" s="822"/>
      <c r="GY39" s="822"/>
      <c r="GZ39" s="822"/>
      <c r="HA39" s="822"/>
      <c r="HB39" s="822"/>
      <c r="HC39" s="822"/>
      <c r="HD39" s="822"/>
      <c r="HE39" s="822"/>
      <c r="HF39" s="822"/>
      <c r="HG39" s="822"/>
      <c r="HH39" s="822"/>
      <c r="HI39" s="822"/>
      <c r="HJ39" s="822"/>
      <c r="HK39" s="822"/>
      <c r="HL39" s="822"/>
      <c r="HM39" s="822"/>
      <c r="HN39" s="822"/>
      <c r="HO39" s="822"/>
      <c r="HP39" s="822"/>
      <c r="HQ39" s="822"/>
      <c r="HR39" s="822"/>
      <c r="HS39" s="822"/>
      <c r="HT39" s="822"/>
      <c r="HU39" s="822"/>
      <c r="HV39" s="822"/>
      <c r="HW39" s="822"/>
      <c r="HX39" s="822"/>
      <c r="HY39" s="822"/>
      <c r="HZ39" s="822"/>
      <c r="IA39" s="822"/>
      <c r="IB39" s="822"/>
      <c r="IC39" s="822"/>
      <c r="ID39" s="822"/>
      <c r="IE39" s="822"/>
      <c r="IF39" s="822"/>
      <c r="IG39" s="822"/>
      <c r="IH39" s="822"/>
      <c r="II39" s="822"/>
      <c r="IJ39" s="822"/>
      <c r="IK39" s="822"/>
      <c r="IL39" s="822"/>
      <c r="IM39" s="822"/>
      <c r="IN39" s="822"/>
      <c r="IO39" s="822"/>
      <c r="IP39" s="822"/>
      <c r="IQ39" s="822"/>
      <c r="IR39" s="822"/>
      <c r="IS39" s="822"/>
      <c r="IT39" s="822"/>
      <c r="IU39" s="822"/>
      <c r="IV39" s="822"/>
      <c r="IW39" s="822"/>
      <c r="IX39" s="822"/>
      <c r="IY39" s="822"/>
      <c r="IZ39" s="822"/>
      <c r="JA39" s="822"/>
      <c r="JB39" s="822"/>
      <c r="JC39" s="822"/>
      <c r="JD39" s="822"/>
      <c r="JE39" s="822"/>
      <c r="JF39" s="822"/>
      <c r="JG39" s="822"/>
      <c r="JH39" s="822"/>
      <c r="JI39" s="822"/>
      <c r="JJ39" s="822"/>
      <c r="JK39" s="822"/>
      <c r="JL39" s="822"/>
      <c r="JM39" s="822"/>
      <c r="JN39" s="822"/>
      <c r="JO39" s="822"/>
      <c r="JP39" s="822"/>
      <c r="JQ39" s="822"/>
      <c r="JR39" s="822"/>
      <c r="JS39" s="822"/>
      <c r="JT39" s="822"/>
      <c r="JU39" s="822"/>
      <c r="JV39" s="822"/>
      <c r="JW39" s="822"/>
      <c r="JX39" s="822"/>
      <c r="JY39" s="822"/>
      <c r="JZ39" s="822"/>
      <c r="KA39" s="822"/>
      <c r="KB39" s="822"/>
      <c r="KC39" s="822"/>
      <c r="KD39" s="822"/>
      <c r="KE39" s="822"/>
      <c r="KF39" s="822"/>
      <c r="KG39" s="822"/>
      <c r="KH39" s="822"/>
      <c r="KI39" s="822"/>
      <c r="KJ39" s="822"/>
      <c r="KK39" s="822"/>
      <c r="KL39" s="822"/>
      <c r="KM39" s="822"/>
      <c r="KN39" s="822"/>
      <c r="KO39" s="822"/>
      <c r="KP39" s="822"/>
      <c r="KQ39" s="822"/>
      <c r="KR39" s="822"/>
      <c r="KS39" s="822"/>
      <c r="KT39" s="822"/>
      <c r="KU39" s="822"/>
      <c r="KV39" s="822"/>
      <c r="KW39" s="822"/>
      <c r="KX39" s="822"/>
      <c r="KY39" s="822"/>
      <c r="KZ39" s="822"/>
      <c r="LA39" s="822"/>
      <c r="LB39" s="822"/>
      <c r="LC39" s="822"/>
      <c r="LD39" s="822"/>
      <c r="LE39" s="822"/>
      <c r="LF39" s="822"/>
      <c r="LG39" s="822"/>
      <c r="LH39" s="822"/>
      <c r="LI39" s="822"/>
      <c r="LJ39" s="822"/>
      <c r="LK39" s="822"/>
      <c r="LL39" s="822"/>
      <c r="LM39" s="822"/>
      <c r="LN39" s="822"/>
      <c r="LO39" s="822"/>
      <c r="LP39" s="822"/>
      <c r="LQ39" s="822"/>
      <c r="LR39" s="822"/>
      <c r="LS39" s="822"/>
      <c r="LT39" s="822"/>
      <c r="LU39" s="822"/>
      <c r="LV39" s="822"/>
      <c r="LW39" s="822"/>
      <c r="LX39" s="822"/>
      <c r="LY39" s="822"/>
      <c r="LZ39" s="822"/>
      <c r="MA39" s="822"/>
      <c r="MB39" s="822"/>
      <c r="MC39" s="822"/>
      <c r="MD39" s="822"/>
      <c r="ME39" s="822"/>
      <c r="MF39" s="822"/>
      <c r="MG39" s="822"/>
      <c r="MH39" s="822"/>
      <c r="MI39" s="822"/>
      <c r="MJ39" s="822"/>
      <c r="MK39" s="822"/>
      <c r="ML39" s="822"/>
      <c r="MM39" s="822"/>
      <c r="MN39" s="822"/>
      <c r="MO39" s="822"/>
      <c r="MP39" s="822"/>
      <c r="MQ39" s="822"/>
      <c r="MR39" s="822"/>
      <c r="MS39" s="822"/>
      <c r="MT39" s="822"/>
      <c r="MU39" s="822"/>
      <c r="MV39" s="822"/>
      <c r="MW39" s="822"/>
      <c r="MX39" s="822"/>
      <c r="MY39" s="822"/>
      <c r="MZ39" s="822"/>
      <c r="NA39" s="822"/>
      <c r="NB39" s="822"/>
      <c r="NC39" s="822"/>
      <c r="ND39" s="822"/>
      <c r="NE39" s="822"/>
      <c r="NF39" s="822"/>
      <c r="NG39" s="822"/>
      <c r="NH39" s="822"/>
      <c r="NI39" s="822"/>
      <c r="NJ39" s="822"/>
      <c r="NK39" s="822"/>
      <c r="NL39" s="822"/>
      <c r="NM39" s="822"/>
      <c r="NN39" s="822"/>
      <c r="NO39" s="822"/>
      <c r="NP39" s="822"/>
      <c r="NQ39" s="822"/>
      <c r="NR39" s="822"/>
      <c r="NS39" s="822"/>
      <c r="NT39" s="822"/>
      <c r="NU39" s="822"/>
      <c r="NV39" s="822"/>
      <c r="NW39" s="822"/>
      <c r="NX39" s="822"/>
      <c r="NY39" s="822"/>
      <c r="NZ39" s="822"/>
      <c r="OA39" s="822"/>
      <c r="OB39" s="822"/>
      <c r="OC39" s="822"/>
      <c r="OD39" s="822"/>
      <c r="OE39" s="822"/>
      <c r="OF39" s="822"/>
      <c r="OG39" s="822"/>
      <c r="OH39" s="822"/>
      <c r="OI39" s="822"/>
      <c r="OJ39" s="822"/>
      <c r="OK39" s="822"/>
      <c r="OL39" s="822"/>
      <c r="OM39" s="822"/>
      <c r="ON39" s="822"/>
      <c r="OO39" s="822"/>
      <c r="OP39" s="822"/>
      <c r="OQ39" s="822"/>
      <c r="OR39" s="822"/>
      <c r="OS39" s="822"/>
      <c r="OT39" s="822"/>
      <c r="OU39" s="822"/>
      <c r="OV39" s="822"/>
      <c r="OW39" s="822"/>
      <c r="OX39" s="822"/>
      <c r="OY39" s="822"/>
      <c r="OZ39" s="822"/>
      <c r="PA39" s="822"/>
      <c r="PB39" s="822"/>
      <c r="PC39" s="822"/>
      <c r="PD39" s="822"/>
      <c r="PE39" s="822"/>
      <c r="PF39" s="822"/>
      <c r="PG39" s="822"/>
      <c r="PH39" s="822"/>
      <c r="PI39" s="822"/>
      <c r="PJ39" s="822"/>
      <c r="PK39" s="822"/>
      <c r="PL39" s="822"/>
      <c r="PM39" s="822"/>
      <c r="PN39" s="822"/>
      <c r="PO39" s="822"/>
      <c r="PP39" s="822"/>
      <c r="PQ39" s="822"/>
      <c r="PR39" s="822"/>
      <c r="PS39" s="822"/>
      <c r="PT39" s="822"/>
      <c r="PU39" s="822"/>
      <c r="PV39" s="822"/>
      <c r="PW39" s="822"/>
      <c r="PX39" s="822"/>
      <c r="PY39" s="822"/>
      <c r="PZ39" s="822"/>
      <c r="QA39" s="822"/>
      <c r="QB39" s="822"/>
      <c r="QC39" s="822"/>
      <c r="QD39" s="822"/>
      <c r="QE39" s="822"/>
      <c r="QF39" s="822"/>
      <c r="QG39" s="822"/>
      <c r="QH39" s="822"/>
      <c r="QI39" s="822"/>
      <c r="QJ39" s="822"/>
      <c r="QK39" s="822"/>
      <c r="QL39" s="822"/>
      <c r="QM39" s="822"/>
      <c r="QN39" s="822"/>
      <c r="QO39" s="822"/>
      <c r="QP39" s="822"/>
      <c r="QQ39" s="822"/>
      <c r="QR39" s="822"/>
      <c r="QS39" s="822"/>
      <c r="QT39" s="822"/>
      <c r="QU39" s="822"/>
      <c r="QV39" s="822"/>
      <c r="QW39" s="822"/>
      <c r="QX39" s="822"/>
      <c r="QY39" s="822"/>
      <c r="QZ39" s="822"/>
      <c r="RA39" s="822"/>
      <c r="RB39" s="822"/>
      <c r="RC39" s="822"/>
      <c r="RD39" s="822"/>
      <c r="RE39" s="822"/>
      <c r="RF39" s="822"/>
      <c r="RG39" s="822"/>
      <c r="RH39" s="822"/>
      <c r="RI39" s="822"/>
      <c r="RJ39" s="822"/>
      <c r="RK39" s="822"/>
      <c r="RL39" s="822"/>
      <c r="RM39" s="822"/>
      <c r="RN39" s="822"/>
      <c r="RO39" s="822"/>
      <c r="RP39" s="822"/>
      <c r="RQ39" s="822"/>
      <c r="RR39" s="822"/>
      <c r="RS39" s="822"/>
      <c r="RT39" s="822"/>
      <c r="RU39" s="822"/>
      <c r="RV39" s="822"/>
      <c r="RW39" s="822"/>
      <c r="RX39" s="822"/>
      <c r="RY39" s="822"/>
      <c r="RZ39" s="822"/>
      <c r="SA39" s="822"/>
      <c r="SB39" s="822"/>
      <c r="SC39" s="822"/>
      <c r="SD39" s="822"/>
      <c r="SE39" s="822"/>
      <c r="SF39" s="822"/>
      <c r="SG39" s="822"/>
      <c r="SH39" s="822"/>
      <c r="SI39" s="822"/>
      <c r="SJ39" s="822"/>
      <c r="SK39" s="822"/>
      <c r="SL39" s="822"/>
      <c r="SM39" s="822"/>
      <c r="SN39" s="822"/>
      <c r="SO39" s="822"/>
      <c r="SP39" s="822"/>
      <c r="SQ39" s="822"/>
      <c r="SR39" s="822"/>
      <c r="SS39" s="822"/>
      <c r="ST39" s="822"/>
      <c r="SU39" s="822"/>
      <c r="SV39" s="822"/>
      <c r="SW39" s="822"/>
      <c r="SX39" s="822"/>
      <c r="SY39" s="822"/>
      <c r="SZ39" s="822"/>
      <c r="TA39" s="822"/>
      <c r="TB39" s="822"/>
      <c r="TC39" s="822"/>
      <c r="TD39" s="822"/>
      <c r="TE39" s="822"/>
      <c r="TF39" s="822"/>
      <c r="TG39" s="822"/>
      <c r="TH39" s="822"/>
      <c r="TI39" s="822"/>
      <c r="TJ39" s="822"/>
      <c r="TK39" s="822"/>
      <c r="TL39" s="822"/>
      <c r="TM39" s="822"/>
      <c r="TN39" s="822"/>
      <c r="TO39" s="822"/>
      <c r="TP39" s="822"/>
      <c r="TQ39" s="822"/>
      <c r="TR39" s="822"/>
      <c r="TS39" s="822"/>
      <c r="TT39" s="822"/>
      <c r="TU39" s="822"/>
      <c r="TV39" s="822"/>
      <c r="TW39" s="822"/>
      <c r="TX39" s="822"/>
      <c r="TY39" s="822"/>
      <c r="TZ39" s="822"/>
      <c r="UA39" s="822"/>
      <c r="UB39" s="822"/>
      <c r="UC39" s="822"/>
      <c r="UD39" s="822"/>
      <c r="UE39" s="822"/>
      <c r="UF39" s="822"/>
      <c r="UG39" s="822"/>
      <c r="UH39" s="822"/>
      <c r="UI39" s="822"/>
      <c r="UJ39" s="822"/>
      <c r="UK39" s="822"/>
      <c r="UL39" s="822"/>
      <c r="UM39" s="822"/>
      <c r="UN39" s="822"/>
      <c r="UO39" s="822"/>
      <c r="UP39" s="822"/>
      <c r="UQ39" s="822"/>
      <c r="UR39" s="822"/>
      <c r="US39" s="822"/>
      <c r="UT39" s="822"/>
      <c r="UU39" s="822"/>
      <c r="UV39" s="822"/>
      <c r="UW39" s="822"/>
      <c r="UX39" s="822"/>
      <c r="UY39" s="822"/>
      <c r="UZ39" s="822"/>
      <c r="VA39" s="822"/>
      <c r="VB39" s="822"/>
      <c r="VC39" s="822"/>
      <c r="VD39" s="822"/>
      <c r="VE39" s="822"/>
      <c r="VF39" s="822"/>
      <c r="VG39" s="822"/>
      <c r="VH39" s="822"/>
      <c r="VI39" s="822"/>
      <c r="VJ39" s="822"/>
      <c r="VK39" s="822"/>
      <c r="VL39" s="822"/>
      <c r="VM39" s="822"/>
      <c r="VN39" s="822"/>
      <c r="VO39" s="822"/>
      <c r="VP39" s="822"/>
      <c r="VQ39" s="822"/>
      <c r="VR39" s="822"/>
      <c r="VS39" s="822"/>
      <c r="VT39" s="822"/>
      <c r="VU39" s="822"/>
      <c r="VV39" s="822"/>
      <c r="VW39" s="822"/>
      <c r="VX39" s="822"/>
      <c r="VY39" s="822"/>
      <c r="VZ39" s="822"/>
      <c r="WA39" s="822"/>
      <c r="WB39" s="822"/>
      <c r="WC39" s="822"/>
      <c r="WD39" s="822"/>
      <c r="WE39" s="822"/>
      <c r="WF39" s="822"/>
      <c r="WG39" s="822"/>
      <c r="WH39" s="822"/>
      <c r="WI39" s="822"/>
      <c r="WJ39" s="822"/>
      <c r="WK39" s="822"/>
      <c r="WL39" s="822"/>
      <c r="WM39" s="822"/>
      <c r="WN39" s="822"/>
      <c r="WO39" s="822"/>
      <c r="WP39" s="822"/>
      <c r="WQ39" s="822"/>
      <c r="WR39" s="822"/>
      <c r="WS39" s="822"/>
      <c r="WT39" s="822"/>
      <c r="WU39" s="822"/>
      <c r="WV39" s="822"/>
      <c r="WW39" s="822"/>
      <c r="WX39" s="822"/>
      <c r="WY39" s="822"/>
      <c r="WZ39" s="822"/>
      <c r="XA39" s="822"/>
      <c r="XB39" s="822"/>
      <c r="XC39" s="822"/>
      <c r="XD39" s="822"/>
      <c r="XE39" s="822"/>
      <c r="XF39" s="822"/>
      <c r="XG39" s="822"/>
      <c r="XH39" s="822"/>
      <c r="XI39" s="822"/>
      <c r="XJ39" s="822"/>
      <c r="XK39" s="822"/>
      <c r="XL39" s="822"/>
      <c r="XM39" s="822"/>
      <c r="XN39" s="822"/>
      <c r="XO39" s="822"/>
      <c r="XP39" s="822"/>
      <c r="XQ39" s="822"/>
      <c r="XR39" s="822"/>
      <c r="XS39" s="822"/>
      <c r="XT39" s="822"/>
      <c r="XU39" s="822"/>
      <c r="XV39" s="822"/>
      <c r="XW39" s="822"/>
      <c r="XX39" s="822"/>
      <c r="XY39" s="822"/>
      <c r="XZ39" s="822"/>
      <c r="YA39" s="822"/>
      <c r="YB39" s="822"/>
      <c r="YC39" s="822"/>
      <c r="YD39" s="822"/>
      <c r="YE39" s="822"/>
      <c r="YF39" s="822"/>
      <c r="YG39" s="822"/>
      <c r="YH39" s="822"/>
      <c r="YI39" s="822"/>
      <c r="YJ39" s="822"/>
      <c r="YK39" s="822"/>
      <c r="YL39" s="822"/>
      <c r="YM39" s="822"/>
      <c r="YN39" s="822"/>
      <c r="YO39" s="822"/>
      <c r="YP39" s="822"/>
      <c r="YQ39" s="822"/>
      <c r="YR39" s="822"/>
      <c r="YS39" s="822"/>
      <c r="YT39" s="822"/>
      <c r="YU39" s="822"/>
      <c r="YV39" s="822"/>
      <c r="YW39" s="822"/>
      <c r="YX39" s="822"/>
      <c r="YY39" s="822"/>
      <c r="YZ39" s="822"/>
      <c r="ZA39" s="822"/>
      <c r="ZB39" s="822"/>
      <c r="ZC39" s="822"/>
      <c r="ZD39" s="822"/>
      <c r="ZE39" s="822"/>
      <c r="ZF39" s="822"/>
      <c r="ZG39" s="822"/>
      <c r="ZH39" s="822"/>
      <c r="ZI39" s="822"/>
      <c r="ZJ39" s="822"/>
      <c r="ZK39" s="822"/>
      <c r="ZL39" s="822"/>
      <c r="ZM39" s="822"/>
      <c r="ZN39" s="822"/>
      <c r="ZO39" s="822"/>
      <c r="ZP39" s="822"/>
      <c r="ZQ39" s="822"/>
      <c r="ZR39" s="822"/>
      <c r="ZS39" s="822"/>
      <c r="ZT39" s="822"/>
      <c r="ZU39" s="822"/>
      <c r="ZV39" s="822"/>
      <c r="ZW39" s="822"/>
      <c r="ZX39" s="822"/>
      <c r="ZY39" s="822"/>
      <c r="ZZ39" s="822"/>
      <c r="AAA39" s="822"/>
      <c r="AAB39" s="822"/>
      <c r="AAC39" s="822"/>
      <c r="AAD39" s="822"/>
      <c r="AAE39" s="822"/>
      <c r="AAF39" s="822"/>
      <c r="AAG39" s="822"/>
      <c r="AAH39" s="822"/>
      <c r="AAI39" s="822"/>
      <c r="AAJ39" s="822"/>
      <c r="AAK39" s="822"/>
      <c r="AAL39" s="822"/>
      <c r="AAM39" s="822"/>
      <c r="AAN39" s="822"/>
      <c r="AAO39" s="822"/>
      <c r="AAP39" s="822"/>
      <c r="AAQ39" s="822"/>
      <c r="AAR39" s="822"/>
      <c r="AAS39" s="822"/>
      <c r="AAT39" s="822"/>
      <c r="AAU39" s="822"/>
      <c r="AAV39" s="822"/>
      <c r="AAW39" s="822"/>
      <c r="AAX39" s="822"/>
      <c r="AAY39" s="822"/>
      <c r="AAZ39" s="822"/>
      <c r="ABA39" s="822"/>
      <c r="ABB39" s="822"/>
      <c r="ABC39" s="822"/>
      <c r="ABD39" s="822"/>
      <c r="ABE39" s="822"/>
      <c r="ABF39" s="822"/>
      <c r="ABG39" s="822"/>
      <c r="ABH39" s="822"/>
      <c r="ABI39" s="822"/>
      <c r="ABJ39" s="822"/>
      <c r="ABK39" s="822"/>
      <c r="ABL39" s="822"/>
      <c r="ABM39" s="822"/>
      <c r="ABN39" s="822"/>
      <c r="ABO39" s="822"/>
      <c r="ABP39" s="822"/>
      <c r="ABQ39" s="822"/>
      <c r="ABR39" s="822"/>
      <c r="ABS39" s="822"/>
      <c r="ABT39" s="822"/>
      <c r="ABU39" s="822"/>
      <c r="ABV39" s="822"/>
      <c r="ABW39" s="822"/>
      <c r="ABX39" s="822"/>
      <c r="ABY39" s="822"/>
      <c r="ABZ39" s="822"/>
      <c r="ACA39" s="822"/>
      <c r="ACB39" s="822"/>
      <c r="ACC39" s="822"/>
      <c r="ACD39" s="822"/>
      <c r="ACE39" s="822"/>
      <c r="ACF39" s="822"/>
      <c r="ACG39" s="822"/>
      <c r="ACH39" s="822"/>
      <c r="ACI39" s="822"/>
      <c r="ACJ39" s="822"/>
      <c r="ACK39" s="822"/>
      <c r="ACL39" s="822"/>
      <c r="ACM39" s="822"/>
      <c r="ACN39" s="822"/>
      <c r="ACO39" s="822"/>
      <c r="ACP39" s="822"/>
      <c r="ACQ39" s="822"/>
      <c r="ACR39" s="822"/>
      <c r="ACS39" s="822"/>
      <c r="ACT39" s="822"/>
      <c r="ACU39" s="822"/>
      <c r="ACV39" s="822"/>
      <c r="ACW39" s="822"/>
      <c r="ACX39" s="822"/>
      <c r="ACY39" s="822"/>
      <c r="ACZ39" s="822"/>
      <c r="ADA39" s="822"/>
      <c r="ADB39" s="822"/>
      <c r="ADC39" s="822"/>
      <c r="ADD39" s="822"/>
      <c r="ADE39" s="822"/>
      <c r="ADF39" s="822"/>
      <c r="ADG39" s="822"/>
      <c r="ADH39" s="822"/>
      <c r="ADI39" s="822"/>
      <c r="ADJ39" s="822"/>
      <c r="ADK39" s="822"/>
      <c r="ADL39" s="822"/>
      <c r="ADM39" s="822"/>
      <c r="ADN39" s="822"/>
      <c r="ADO39" s="822"/>
      <c r="ADP39" s="822"/>
      <c r="ADQ39" s="822"/>
      <c r="ADR39" s="822"/>
      <c r="ADS39" s="822"/>
      <c r="ADT39" s="822"/>
      <c r="ADU39" s="822"/>
      <c r="ADV39" s="822"/>
      <c r="ADW39" s="822"/>
      <c r="ADX39" s="822"/>
      <c r="ADY39" s="822"/>
      <c r="ADZ39" s="822"/>
      <c r="AEA39" s="822"/>
      <c r="AEB39" s="822"/>
      <c r="AEC39" s="822"/>
      <c r="AED39" s="822"/>
      <c r="AEE39" s="822"/>
      <c r="AEF39" s="822"/>
      <c r="AEG39" s="822"/>
      <c r="AEH39" s="822"/>
      <c r="AEI39" s="822"/>
      <c r="AEJ39" s="822"/>
      <c r="AEK39" s="822"/>
      <c r="AEL39" s="822"/>
      <c r="AEM39" s="822"/>
      <c r="AEN39" s="822"/>
      <c r="AEO39" s="822"/>
      <c r="AEP39" s="822"/>
      <c r="AEQ39" s="822"/>
      <c r="AER39" s="822"/>
      <c r="AES39" s="822"/>
      <c r="AET39" s="822"/>
      <c r="AEU39" s="822"/>
      <c r="AEV39" s="822"/>
      <c r="AEW39" s="822"/>
      <c r="AEX39" s="822"/>
      <c r="AEY39" s="822"/>
      <c r="AEZ39" s="822"/>
      <c r="AFA39" s="822"/>
      <c r="AFB39" s="822"/>
      <c r="AFC39" s="822"/>
      <c r="AFD39" s="822"/>
      <c r="AFE39" s="822"/>
      <c r="AFF39" s="822"/>
      <c r="AFG39" s="822"/>
      <c r="AFH39" s="822"/>
      <c r="AFI39" s="822"/>
      <c r="AFJ39" s="822"/>
      <c r="AFK39" s="822"/>
      <c r="AFL39" s="822"/>
      <c r="AFM39" s="822"/>
      <c r="AFN39" s="822"/>
      <c r="AFO39" s="822"/>
      <c r="AFP39" s="822"/>
      <c r="AFQ39" s="822"/>
      <c r="AFR39" s="822"/>
      <c r="AFS39" s="822"/>
      <c r="AFT39" s="822"/>
      <c r="AFU39" s="822"/>
      <c r="AFV39" s="822"/>
      <c r="AFW39" s="822"/>
      <c r="AFX39" s="822"/>
      <c r="AFY39" s="822"/>
      <c r="AFZ39" s="822"/>
      <c r="AGA39" s="822"/>
      <c r="AGB39" s="822"/>
      <c r="AGC39" s="822"/>
      <c r="AGD39" s="822"/>
      <c r="AGE39" s="822"/>
      <c r="AGF39" s="822"/>
      <c r="AGG39" s="822"/>
      <c r="AGH39" s="822"/>
      <c r="AGI39" s="822"/>
      <c r="AGJ39" s="822"/>
      <c r="AGK39" s="822"/>
      <c r="AGL39" s="822"/>
      <c r="AGM39" s="822"/>
      <c r="AGN39" s="822"/>
      <c r="AGO39" s="822"/>
      <c r="AGP39" s="822"/>
      <c r="AGQ39" s="822"/>
      <c r="AGR39" s="822"/>
      <c r="AGS39" s="822"/>
      <c r="AGT39" s="822"/>
      <c r="AGU39" s="822"/>
      <c r="AGV39" s="822"/>
      <c r="AGW39" s="822"/>
      <c r="AGX39" s="822"/>
      <c r="AGY39" s="822"/>
      <c r="AGZ39" s="822"/>
      <c r="AHA39" s="822"/>
      <c r="AHB39" s="822"/>
      <c r="AHC39" s="822"/>
      <c r="AHD39" s="822"/>
      <c r="AHE39" s="822"/>
      <c r="AHF39" s="822"/>
      <c r="AHG39" s="822"/>
      <c r="AHH39" s="822"/>
      <c r="AHI39" s="822"/>
      <c r="AHJ39" s="822"/>
      <c r="AHK39" s="822"/>
      <c r="AHL39" s="822"/>
      <c r="AHM39" s="822"/>
      <c r="AHN39" s="822"/>
      <c r="AHO39" s="822"/>
      <c r="AHP39" s="822"/>
      <c r="AHQ39" s="822"/>
      <c r="AHR39" s="822"/>
      <c r="AHS39" s="822"/>
      <c r="AHT39" s="822"/>
      <c r="AHU39" s="822"/>
      <c r="AHV39" s="822"/>
      <c r="AHW39" s="822"/>
      <c r="AHX39" s="822"/>
      <c r="AHY39" s="822"/>
      <c r="AHZ39" s="822"/>
      <c r="AIA39" s="822"/>
      <c r="AIB39" s="822"/>
      <c r="AIC39" s="822"/>
      <c r="AID39" s="822"/>
      <c r="AIE39" s="822"/>
      <c r="AIF39" s="822"/>
      <c r="AIG39" s="822"/>
      <c r="AIH39" s="822"/>
      <c r="AII39" s="822"/>
      <c r="AIJ39" s="822"/>
      <c r="AIK39" s="822"/>
      <c r="AIL39" s="822"/>
      <c r="AIM39" s="822"/>
      <c r="AIN39" s="822"/>
      <c r="AIO39" s="822"/>
      <c r="AIP39" s="822"/>
      <c r="AIQ39" s="822"/>
      <c r="AIR39" s="822"/>
      <c r="AIS39" s="822"/>
      <c r="AIT39" s="822"/>
      <c r="AIU39" s="822"/>
      <c r="AIV39" s="822"/>
      <c r="AIW39" s="822"/>
      <c r="AIX39" s="822"/>
      <c r="AIY39" s="822"/>
      <c r="AIZ39" s="822"/>
      <c r="AJA39" s="822"/>
      <c r="AJB39" s="822"/>
      <c r="AJC39" s="822"/>
      <c r="AJD39" s="822"/>
      <c r="AJE39" s="822"/>
      <c r="AJF39" s="822"/>
      <c r="AJG39" s="822"/>
      <c r="AJH39" s="822"/>
      <c r="AJI39" s="822"/>
      <c r="AJJ39" s="822"/>
      <c r="AJK39" s="822"/>
      <c r="AJL39" s="822"/>
      <c r="AJM39" s="822"/>
      <c r="AJN39" s="822"/>
      <c r="AJO39" s="822"/>
      <c r="AJP39" s="822"/>
      <c r="AJQ39" s="822"/>
      <c r="AJR39" s="822"/>
      <c r="AJS39" s="822"/>
      <c r="AJT39" s="822"/>
      <c r="AJU39" s="822"/>
      <c r="AJV39" s="822"/>
      <c r="AJW39" s="822"/>
      <c r="AJX39" s="822"/>
      <c r="AJY39" s="822"/>
      <c r="AJZ39" s="822"/>
      <c r="AKA39" s="822"/>
      <c r="AKB39" s="822"/>
      <c r="AKC39" s="822"/>
      <c r="AKD39" s="822"/>
      <c r="AKE39" s="822"/>
      <c r="AKF39" s="822"/>
      <c r="AKG39" s="822"/>
      <c r="AKH39" s="822"/>
      <c r="AKI39" s="822"/>
      <c r="AKJ39" s="822"/>
      <c r="AKK39" s="822"/>
      <c r="AKL39" s="822"/>
      <c r="AKM39" s="822"/>
      <c r="AKN39" s="822"/>
      <c r="AKO39" s="822"/>
      <c r="AKP39" s="822"/>
      <c r="AKQ39" s="822"/>
      <c r="AKR39" s="822"/>
      <c r="AKS39" s="822"/>
      <c r="AKT39" s="822"/>
      <c r="AKU39" s="822"/>
      <c r="AKV39" s="822"/>
      <c r="AKW39" s="822"/>
      <c r="AKX39" s="822"/>
      <c r="AKY39" s="822"/>
      <c r="AKZ39" s="822"/>
      <c r="ALA39" s="822"/>
      <c r="ALB39" s="822"/>
      <c r="ALC39" s="822"/>
      <c r="ALD39" s="822"/>
      <c r="ALE39" s="822"/>
      <c r="ALF39" s="822"/>
      <c r="ALG39" s="822"/>
      <c r="ALH39" s="822"/>
      <c r="ALI39" s="822"/>
      <c r="ALJ39" s="822"/>
      <c r="ALK39" s="822"/>
      <c r="ALL39" s="822"/>
      <c r="ALM39" s="822"/>
      <c r="ALN39" s="822"/>
      <c r="ALO39" s="822"/>
      <c r="ALP39" s="822"/>
      <c r="ALQ39" s="822"/>
      <c r="ALR39" s="822"/>
      <c r="ALS39" s="822"/>
      <c r="ALT39" s="822"/>
      <c r="ALU39" s="822"/>
      <c r="ALV39" s="822"/>
      <c r="ALW39" s="822"/>
      <c r="ALX39" s="822"/>
      <c r="ALY39" s="822"/>
      <c r="ALZ39" s="822"/>
      <c r="AMA39" s="822"/>
      <c r="AMB39" s="822"/>
      <c r="AMC39" s="822"/>
      <c r="AMD39" s="822"/>
      <c r="AME39" s="822"/>
      <c r="AMF39" s="822"/>
      <c r="AMG39" s="822"/>
      <c r="AMH39" s="822"/>
      <c r="AMI39" s="822"/>
      <c r="AMJ39" s="822"/>
      <c r="AMK39" s="822"/>
      <c r="AML39" s="822"/>
      <c r="AMM39" s="822"/>
      <c r="AMN39" s="822"/>
      <c r="AMO39" s="822"/>
      <c r="AMP39" s="822"/>
      <c r="AMQ39" s="822"/>
      <c r="AMR39" s="822"/>
      <c r="AMS39" s="822"/>
      <c r="AMT39" s="822"/>
      <c r="AMU39" s="822"/>
      <c r="AMV39" s="822"/>
      <c r="AMW39" s="822"/>
      <c r="AMX39" s="822"/>
      <c r="AMY39" s="822"/>
      <c r="AMZ39" s="822"/>
      <c r="ANA39" s="822"/>
      <c r="ANB39" s="822"/>
      <c r="ANC39" s="822"/>
      <c r="AND39" s="822"/>
      <c r="ANE39" s="822"/>
      <c r="ANF39" s="822"/>
      <c r="ANG39" s="822"/>
      <c r="ANH39" s="822"/>
      <c r="ANI39" s="822"/>
      <c r="ANJ39" s="822"/>
      <c r="ANK39" s="822"/>
      <c r="ANL39" s="822"/>
      <c r="ANM39" s="822"/>
      <c r="ANN39" s="822"/>
      <c r="ANO39" s="822"/>
      <c r="ANP39" s="822"/>
      <c r="ANQ39" s="822"/>
      <c r="ANR39" s="822"/>
      <c r="ANS39" s="822"/>
      <c r="ANT39" s="822"/>
      <c r="ANU39" s="822"/>
      <c r="ANV39" s="822"/>
      <c r="ANW39" s="822"/>
      <c r="ANX39" s="822"/>
      <c r="ANY39" s="822"/>
      <c r="ANZ39" s="822"/>
      <c r="AOA39" s="822"/>
      <c r="AOB39" s="822"/>
      <c r="AOC39" s="822"/>
      <c r="AOD39" s="822"/>
      <c r="AOE39" s="822"/>
      <c r="AOF39" s="822"/>
      <c r="AOG39" s="822"/>
      <c r="AOH39" s="822"/>
      <c r="AOI39" s="822"/>
      <c r="AOJ39" s="822"/>
      <c r="AOK39" s="822"/>
      <c r="AOL39" s="822"/>
      <c r="AOM39" s="822"/>
      <c r="AON39" s="822"/>
      <c r="AOO39" s="822"/>
      <c r="AOP39" s="822"/>
      <c r="AOQ39" s="822"/>
      <c r="AOR39" s="822"/>
      <c r="AOS39" s="822"/>
      <c r="AOT39" s="822"/>
      <c r="AOU39" s="822"/>
      <c r="AOV39" s="822"/>
      <c r="AOW39" s="822"/>
      <c r="AOX39" s="822"/>
      <c r="AOY39" s="822"/>
      <c r="AOZ39" s="822"/>
      <c r="APA39" s="822"/>
      <c r="APB39" s="822"/>
      <c r="APC39" s="822"/>
      <c r="APD39" s="822"/>
      <c r="APE39" s="822"/>
      <c r="APF39" s="822"/>
      <c r="APG39" s="822"/>
      <c r="APH39" s="822"/>
      <c r="API39" s="822"/>
      <c r="APJ39" s="822"/>
      <c r="APK39" s="822"/>
      <c r="APL39" s="822"/>
      <c r="APM39" s="822"/>
      <c r="APN39" s="822"/>
      <c r="APO39" s="822"/>
      <c r="APP39" s="822"/>
      <c r="APQ39" s="822"/>
      <c r="APR39" s="822"/>
      <c r="APS39" s="822"/>
      <c r="APT39" s="822"/>
      <c r="APU39" s="822"/>
      <c r="APV39" s="822"/>
      <c r="APW39" s="822"/>
      <c r="APX39" s="822"/>
      <c r="APY39" s="822"/>
      <c r="APZ39" s="822"/>
      <c r="AQA39" s="822"/>
      <c r="AQB39" s="822"/>
      <c r="AQC39" s="822"/>
      <c r="AQD39" s="822"/>
      <c r="AQE39" s="822"/>
      <c r="AQF39" s="822"/>
      <c r="AQG39" s="822"/>
      <c r="AQH39" s="822"/>
      <c r="AQI39" s="822"/>
      <c r="AQJ39" s="822"/>
      <c r="AQK39" s="822"/>
      <c r="AQL39" s="822"/>
      <c r="AQM39" s="822"/>
      <c r="AQN39" s="822"/>
      <c r="AQO39" s="822"/>
      <c r="AQP39" s="822"/>
      <c r="AQQ39" s="822"/>
      <c r="AQR39" s="822"/>
      <c r="AQS39" s="822"/>
      <c r="AQT39" s="822"/>
      <c r="AQU39" s="822"/>
      <c r="AQV39" s="822"/>
      <c r="AQW39" s="822"/>
      <c r="AQX39" s="822"/>
      <c r="AQY39" s="822"/>
      <c r="AQZ39" s="822"/>
      <c r="ARA39" s="822"/>
      <c r="ARB39" s="822"/>
      <c r="ARC39" s="822"/>
      <c r="ARD39" s="822"/>
      <c r="ARE39" s="822"/>
      <c r="ARF39" s="822"/>
      <c r="ARG39" s="822"/>
      <c r="ARH39" s="822"/>
      <c r="ARI39" s="822"/>
      <c r="ARJ39" s="822"/>
      <c r="ARK39" s="822"/>
      <c r="ARL39" s="822"/>
      <c r="ARM39" s="822"/>
      <c r="ARN39" s="822"/>
      <c r="ARO39" s="822"/>
      <c r="ARP39" s="822"/>
      <c r="ARQ39" s="822"/>
      <c r="ARR39" s="822"/>
      <c r="ARS39" s="822"/>
      <c r="ART39" s="822"/>
      <c r="ARU39" s="822"/>
      <c r="ARV39" s="822"/>
      <c r="ARW39" s="822"/>
      <c r="ARX39" s="822"/>
      <c r="ARY39" s="822"/>
      <c r="ARZ39" s="822"/>
      <c r="ASA39" s="822"/>
      <c r="ASB39" s="822"/>
      <c r="ASC39" s="822"/>
      <c r="ASD39" s="822"/>
      <c r="ASE39" s="822"/>
      <c r="ASF39" s="822"/>
      <c r="ASG39" s="822"/>
      <c r="ASH39" s="822"/>
      <c r="ASI39" s="822"/>
      <c r="ASJ39" s="822"/>
      <c r="ASK39" s="822"/>
      <c r="ASL39" s="822"/>
      <c r="ASM39" s="822"/>
      <c r="ASN39" s="822"/>
      <c r="ASO39" s="822"/>
      <c r="ASP39" s="822"/>
      <c r="ASQ39" s="822"/>
      <c r="ASR39" s="822"/>
      <c r="ASS39" s="822"/>
      <c r="AST39" s="822"/>
      <c r="ASU39" s="822"/>
      <c r="ASV39" s="822"/>
      <c r="ASW39" s="822"/>
      <c r="ASX39" s="822"/>
      <c r="ASY39" s="822"/>
      <c r="ASZ39" s="822"/>
      <c r="ATA39" s="822"/>
      <c r="ATB39" s="822"/>
      <c r="ATC39" s="822"/>
      <c r="ATD39" s="822"/>
      <c r="ATE39" s="822"/>
      <c r="ATF39" s="822"/>
      <c r="ATG39" s="822"/>
      <c r="ATH39" s="822"/>
      <c r="ATI39" s="822"/>
      <c r="ATJ39" s="822"/>
      <c r="ATK39" s="822"/>
      <c r="ATL39" s="822"/>
      <c r="ATM39" s="822"/>
      <c r="ATN39" s="822"/>
      <c r="ATO39" s="822"/>
      <c r="ATP39" s="822"/>
      <c r="ATQ39" s="822"/>
      <c r="ATR39" s="822"/>
      <c r="ATS39" s="822"/>
      <c r="ATT39" s="822"/>
      <c r="ATU39" s="822"/>
      <c r="ATV39" s="822"/>
      <c r="ATW39" s="822"/>
      <c r="ATX39" s="822"/>
      <c r="ATY39" s="822"/>
      <c r="ATZ39" s="822"/>
      <c r="AUA39" s="822"/>
      <c r="AUB39" s="822"/>
      <c r="AUC39" s="822"/>
      <c r="AUD39" s="822"/>
      <c r="AUE39" s="822"/>
      <c r="AUF39" s="822"/>
      <c r="AUG39" s="822"/>
      <c r="AUH39" s="822"/>
      <c r="AUI39" s="822"/>
      <c r="AUJ39" s="822"/>
      <c r="AUK39" s="822"/>
      <c r="AUL39" s="822"/>
      <c r="AUM39" s="822"/>
      <c r="AUN39" s="822"/>
      <c r="AUO39" s="822"/>
      <c r="AUP39" s="822"/>
      <c r="AUQ39" s="822"/>
      <c r="AUR39" s="822"/>
      <c r="AUS39" s="822"/>
      <c r="AUT39" s="822"/>
      <c r="AUU39" s="822"/>
      <c r="AUV39" s="822"/>
      <c r="AUW39" s="822"/>
      <c r="AUX39" s="822"/>
      <c r="AUY39" s="822"/>
      <c r="AUZ39" s="822"/>
      <c r="AVA39" s="822"/>
      <c r="AVB39" s="822"/>
      <c r="AVC39" s="822"/>
      <c r="AVD39" s="822"/>
      <c r="AVE39" s="822"/>
      <c r="AVF39" s="822"/>
      <c r="AVG39" s="822"/>
      <c r="AVH39" s="822"/>
      <c r="AVI39" s="822"/>
      <c r="AVJ39" s="822"/>
      <c r="AVK39" s="822"/>
      <c r="AVL39" s="822"/>
      <c r="AVM39" s="822"/>
      <c r="AVN39" s="822"/>
      <c r="AVO39" s="822"/>
      <c r="AVP39" s="822"/>
      <c r="AVQ39" s="822"/>
      <c r="AVR39" s="822"/>
      <c r="AVS39" s="822"/>
      <c r="AVT39" s="822"/>
      <c r="AVU39" s="822"/>
      <c r="AVV39" s="822"/>
      <c r="AVW39" s="822"/>
      <c r="AVX39" s="822"/>
      <c r="AVY39" s="822"/>
      <c r="AVZ39" s="822"/>
      <c r="AWA39" s="822"/>
      <c r="AWB39" s="822"/>
      <c r="AWC39" s="822"/>
      <c r="AWD39" s="822"/>
      <c r="AWE39" s="822"/>
      <c r="AWF39" s="822"/>
      <c r="AWG39" s="822"/>
      <c r="AWH39" s="822"/>
      <c r="AWI39" s="822"/>
      <c r="AWJ39" s="822"/>
      <c r="AWK39" s="822"/>
      <c r="AWL39" s="822"/>
      <c r="AWM39" s="822"/>
      <c r="AWN39" s="822"/>
      <c r="AWO39" s="822"/>
      <c r="AWP39" s="822"/>
      <c r="AWQ39" s="822"/>
      <c r="AWR39" s="822"/>
      <c r="AWS39" s="822"/>
      <c r="AWT39" s="822"/>
      <c r="AWU39" s="822"/>
      <c r="AWV39" s="822"/>
      <c r="AWW39" s="822"/>
      <c r="AWX39" s="822"/>
      <c r="AWY39" s="822"/>
      <c r="AWZ39" s="822"/>
      <c r="AXA39" s="822"/>
      <c r="AXB39" s="822"/>
      <c r="AXC39" s="822"/>
      <c r="AXD39" s="822"/>
      <c r="AXE39" s="822"/>
      <c r="AXF39" s="822"/>
      <c r="AXG39" s="822"/>
      <c r="AXH39" s="822"/>
      <c r="AXI39" s="822"/>
      <c r="AXJ39" s="822"/>
      <c r="AXK39" s="822"/>
      <c r="AXL39" s="822"/>
      <c r="AXM39" s="822"/>
      <c r="AXN39" s="822"/>
      <c r="AXO39" s="822"/>
      <c r="AXP39" s="822"/>
      <c r="AXQ39" s="822"/>
      <c r="AXR39" s="822"/>
      <c r="AXS39" s="822"/>
      <c r="AXT39" s="822"/>
      <c r="AXU39" s="822"/>
      <c r="AXV39" s="822"/>
      <c r="AXW39" s="822"/>
      <c r="AXX39" s="822"/>
      <c r="AXY39" s="822"/>
      <c r="AXZ39" s="822"/>
      <c r="AYA39" s="822"/>
      <c r="AYB39" s="822"/>
      <c r="AYC39" s="822"/>
      <c r="AYD39" s="822"/>
      <c r="AYE39" s="822"/>
      <c r="AYF39" s="822"/>
      <c r="AYG39" s="822"/>
      <c r="AYH39" s="822"/>
      <c r="AYI39" s="822"/>
      <c r="AYJ39" s="822"/>
      <c r="AYK39" s="822"/>
      <c r="AYL39" s="822"/>
      <c r="AYM39" s="822"/>
      <c r="AYN39" s="822"/>
      <c r="AYO39" s="822"/>
      <c r="AYP39" s="822"/>
      <c r="AYQ39" s="822"/>
      <c r="AYR39" s="822"/>
      <c r="AYS39" s="822"/>
      <c r="AYT39" s="822"/>
      <c r="AYU39" s="822"/>
      <c r="AYV39" s="822"/>
      <c r="AYW39" s="822"/>
      <c r="AYX39" s="822"/>
      <c r="AYY39" s="822"/>
      <c r="AYZ39" s="822"/>
      <c r="AZA39" s="822"/>
      <c r="AZB39" s="822"/>
      <c r="AZC39" s="822"/>
      <c r="AZD39" s="822"/>
      <c r="AZE39" s="822"/>
      <c r="AZF39" s="822"/>
      <c r="AZG39" s="822"/>
      <c r="AZH39" s="822"/>
      <c r="AZI39" s="822"/>
      <c r="AZJ39" s="822"/>
      <c r="AZK39" s="822"/>
      <c r="AZL39" s="822"/>
      <c r="AZM39" s="822"/>
      <c r="AZN39" s="822"/>
      <c r="AZO39" s="822"/>
      <c r="AZP39" s="822"/>
      <c r="AZQ39" s="822"/>
      <c r="AZR39" s="822"/>
      <c r="AZS39" s="822"/>
      <c r="AZT39" s="822"/>
      <c r="AZU39" s="822"/>
      <c r="AZV39" s="822"/>
      <c r="AZW39" s="822"/>
      <c r="AZX39" s="822"/>
      <c r="AZY39" s="822"/>
      <c r="AZZ39" s="822"/>
      <c r="BAA39" s="822"/>
      <c r="BAB39" s="822"/>
      <c r="BAC39" s="822"/>
      <c r="BAD39" s="822"/>
      <c r="BAE39" s="822"/>
      <c r="BAF39" s="822"/>
      <c r="BAG39" s="822"/>
      <c r="BAH39" s="822"/>
      <c r="BAI39" s="822"/>
      <c r="BAJ39" s="822"/>
      <c r="BAK39" s="822"/>
      <c r="BAL39" s="822"/>
      <c r="BAM39" s="822"/>
      <c r="BAN39" s="822"/>
      <c r="BAO39" s="822"/>
      <c r="BAP39" s="822"/>
      <c r="BAQ39" s="822"/>
      <c r="BAR39" s="822"/>
      <c r="BAS39" s="822"/>
      <c r="BAT39" s="822"/>
      <c r="BAU39" s="822"/>
      <c r="BAV39" s="822"/>
      <c r="BAW39" s="822"/>
      <c r="BAX39" s="822"/>
      <c r="BAY39" s="822"/>
      <c r="BAZ39" s="822"/>
      <c r="BBA39" s="822"/>
      <c r="BBB39" s="822"/>
      <c r="BBC39" s="822"/>
      <c r="BBD39" s="822"/>
      <c r="BBE39" s="822"/>
      <c r="BBF39" s="822"/>
      <c r="BBG39" s="822"/>
      <c r="BBH39" s="822"/>
      <c r="BBI39" s="822"/>
      <c r="BBJ39" s="822"/>
      <c r="BBK39" s="822"/>
      <c r="BBL39" s="822"/>
      <c r="BBM39" s="822"/>
      <c r="BBN39" s="822"/>
      <c r="BBO39" s="822"/>
      <c r="BBP39" s="822"/>
      <c r="BBQ39" s="822"/>
      <c r="BBR39" s="822"/>
      <c r="BBS39" s="822"/>
      <c r="BBT39" s="822"/>
      <c r="BBU39" s="822"/>
      <c r="BBV39" s="822"/>
      <c r="BBW39" s="822"/>
      <c r="BBX39" s="822"/>
      <c r="BBY39" s="822"/>
      <c r="BBZ39" s="822"/>
      <c r="BCA39" s="822"/>
      <c r="BCB39" s="822"/>
      <c r="BCC39" s="822"/>
      <c r="BCD39" s="822"/>
      <c r="BCE39" s="822"/>
      <c r="BCF39" s="822"/>
      <c r="BCG39" s="822"/>
      <c r="BCH39" s="822"/>
      <c r="BCI39" s="822"/>
      <c r="BCJ39" s="822"/>
      <c r="BCK39" s="822"/>
      <c r="BCL39" s="822"/>
      <c r="BCM39" s="822"/>
      <c r="BCN39" s="822"/>
      <c r="BCO39" s="822"/>
      <c r="BCP39" s="822"/>
      <c r="BCQ39" s="822"/>
      <c r="BCR39" s="822"/>
      <c r="BCS39" s="822"/>
      <c r="BCT39" s="822"/>
      <c r="BCU39" s="822"/>
      <c r="BCV39" s="822"/>
      <c r="BCW39" s="822"/>
      <c r="BCX39" s="822"/>
      <c r="BCY39" s="822"/>
      <c r="BCZ39" s="822"/>
      <c r="BDA39" s="822"/>
      <c r="BDB39" s="822"/>
      <c r="BDC39" s="822"/>
      <c r="BDD39" s="822"/>
      <c r="BDE39" s="822"/>
      <c r="BDF39" s="822"/>
      <c r="BDG39" s="822"/>
      <c r="BDH39" s="822"/>
      <c r="BDI39" s="822"/>
      <c r="BDJ39" s="822"/>
      <c r="BDK39" s="822"/>
      <c r="BDL39" s="822"/>
      <c r="BDM39" s="822"/>
      <c r="BDN39" s="822"/>
      <c r="BDO39" s="822"/>
      <c r="BDP39" s="822"/>
      <c r="BDQ39" s="822"/>
      <c r="BDR39" s="822"/>
      <c r="BDS39" s="822"/>
      <c r="BDT39" s="822"/>
      <c r="BDU39" s="822"/>
      <c r="BDV39" s="822"/>
      <c r="BDW39" s="822"/>
      <c r="BDX39" s="822"/>
      <c r="BDY39" s="822"/>
      <c r="BDZ39" s="822"/>
      <c r="BEA39" s="822"/>
      <c r="BEB39" s="822"/>
      <c r="BEC39" s="822"/>
      <c r="BED39" s="822"/>
      <c r="BEE39" s="822"/>
      <c r="BEF39" s="822"/>
      <c r="BEG39" s="822"/>
      <c r="BEH39" s="822"/>
      <c r="BEI39" s="822"/>
      <c r="BEJ39" s="822"/>
      <c r="BEK39" s="822"/>
      <c r="BEL39" s="822"/>
      <c r="BEM39" s="822"/>
      <c r="BEN39" s="822"/>
      <c r="BEO39" s="822"/>
      <c r="BEP39" s="822"/>
      <c r="BEQ39" s="822"/>
      <c r="BER39" s="822"/>
      <c r="BES39" s="822"/>
      <c r="BET39" s="822"/>
      <c r="BEU39" s="822"/>
      <c r="BEV39" s="822"/>
      <c r="BEW39" s="822"/>
      <c r="BEX39" s="822"/>
      <c r="BEY39" s="822"/>
      <c r="BEZ39" s="822"/>
      <c r="BFA39" s="822"/>
      <c r="BFB39" s="822"/>
      <c r="BFC39" s="822"/>
      <c r="BFD39" s="822"/>
      <c r="BFE39" s="822"/>
      <c r="BFF39" s="822"/>
      <c r="BFG39" s="822"/>
      <c r="BFH39" s="822"/>
      <c r="BFI39" s="822"/>
      <c r="BFJ39" s="822"/>
      <c r="BFK39" s="822"/>
      <c r="BFL39" s="822"/>
      <c r="BFM39" s="822"/>
      <c r="BFN39" s="822"/>
      <c r="BFO39" s="822"/>
      <c r="BFP39" s="822"/>
      <c r="BFQ39" s="822"/>
      <c r="BFR39" s="822"/>
      <c r="BFS39" s="822"/>
      <c r="BFT39" s="822"/>
      <c r="BFU39" s="822"/>
      <c r="BFV39" s="822"/>
      <c r="BFW39" s="822"/>
      <c r="BFX39" s="822"/>
      <c r="BFY39" s="822"/>
      <c r="BFZ39" s="822"/>
      <c r="BGA39" s="822"/>
      <c r="BGB39" s="822"/>
      <c r="BGC39" s="822"/>
      <c r="BGD39" s="822"/>
      <c r="BGE39" s="822"/>
      <c r="BGF39" s="822"/>
      <c r="BGG39" s="822"/>
      <c r="BGH39" s="822"/>
      <c r="BGI39" s="822"/>
      <c r="BGJ39" s="822"/>
      <c r="BGK39" s="822"/>
      <c r="BGL39" s="822"/>
      <c r="BGM39" s="822"/>
      <c r="BGN39" s="822"/>
      <c r="BGO39" s="822"/>
      <c r="BGP39" s="822"/>
      <c r="BGQ39" s="822"/>
      <c r="BGR39" s="822"/>
      <c r="BGS39" s="822"/>
      <c r="BGT39" s="822"/>
      <c r="BGU39" s="822"/>
      <c r="BGV39" s="822"/>
      <c r="BGW39" s="822"/>
      <c r="BGX39" s="822"/>
      <c r="BGY39" s="822"/>
      <c r="BGZ39" s="822"/>
      <c r="BHA39" s="822"/>
      <c r="BHB39" s="822"/>
      <c r="BHC39" s="822"/>
      <c r="BHD39" s="822"/>
      <c r="BHE39" s="822"/>
      <c r="BHF39" s="822"/>
      <c r="BHG39" s="822"/>
      <c r="BHH39" s="822"/>
      <c r="BHI39" s="822"/>
      <c r="BHJ39" s="822"/>
      <c r="BHK39" s="822"/>
      <c r="BHL39" s="822"/>
      <c r="BHM39" s="822"/>
      <c r="BHN39" s="822"/>
      <c r="BHO39" s="822"/>
      <c r="BHP39" s="822"/>
      <c r="BHQ39" s="822"/>
      <c r="BHR39" s="822"/>
      <c r="BHS39" s="822"/>
      <c r="BHT39" s="822"/>
      <c r="BHU39" s="822"/>
      <c r="BHV39" s="822"/>
      <c r="BHW39" s="822"/>
      <c r="BHX39" s="822"/>
      <c r="BHY39" s="822"/>
      <c r="BHZ39" s="822"/>
      <c r="BIA39" s="822"/>
      <c r="BIB39" s="822"/>
      <c r="BIC39" s="822"/>
      <c r="BID39" s="822"/>
      <c r="BIE39" s="822"/>
      <c r="BIF39" s="822"/>
      <c r="BIG39" s="822"/>
      <c r="BIH39" s="822"/>
      <c r="BII39" s="822"/>
      <c r="BIJ39" s="822"/>
      <c r="BIK39" s="822"/>
      <c r="BIL39" s="822"/>
      <c r="BIM39" s="822"/>
      <c r="BIN39" s="822"/>
      <c r="BIO39" s="822"/>
      <c r="BIP39" s="822"/>
      <c r="BIQ39" s="822"/>
      <c r="BIR39" s="822"/>
      <c r="BIS39" s="822"/>
      <c r="BIT39" s="822"/>
      <c r="BIU39" s="822"/>
      <c r="BIV39" s="822"/>
      <c r="BIW39" s="822"/>
      <c r="BIX39" s="822"/>
      <c r="BIY39" s="822"/>
      <c r="BIZ39" s="822"/>
      <c r="BJA39" s="822"/>
      <c r="BJB39" s="822"/>
      <c r="BJC39" s="822"/>
      <c r="BJD39" s="822"/>
      <c r="BJE39" s="822"/>
      <c r="BJF39" s="822"/>
      <c r="BJG39" s="822"/>
      <c r="BJH39" s="822"/>
      <c r="BJI39" s="822"/>
      <c r="BJJ39" s="822"/>
      <c r="BJK39" s="822"/>
      <c r="BJL39" s="822"/>
      <c r="BJM39" s="822"/>
      <c r="BJN39" s="822"/>
      <c r="BJO39" s="822"/>
      <c r="BJP39" s="822"/>
      <c r="BJQ39" s="822"/>
      <c r="BJR39" s="822"/>
      <c r="BJS39" s="822"/>
      <c r="BJT39" s="822"/>
      <c r="BJU39" s="822"/>
      <c r="BJV39" s="822"/>
      <c r="BJW39" s="822"/>
      <c r="BJX39" s="822"/>
      <c r="BJY39" s="822"/>
      <c r="BJZ39" s="822"/>
      <c r="BKA39" s="822"/>
      <c r="BKB39" s="822"/>
      <c r="BKC39" s="822"/>
      <c r="BKD39" s="822"/>
      <c r="BKE39" s="822"/>
      <c r="BKF39" s="822"/>
      <c r="BKG39" s="822"/>
      <c r="BKH39" s="822"/>
      <c r="BKI39" s="822"/>
      <c r="BKJ39" s="822"/>
      <c r="BKK39" s="822"/>
      <c r="BKL39" s="822"/>
      <c r="BKM39" s="822"/>
      <c r="BKN39" s="822"/>
      <c r="BKO39" s="822"/>
      <c r="BKP39" s="822"/>
      <c r="BKQ39" s="822"/>
      <c r="BKR39" s="822"/>
      <c r="BKS39" s="822"/>
      <c r="BKT39" s="822"/>
      <c r="BKU39" s="822"/>
      <c r="BKV39" s="822"/>
      <c r="BKW39" s="822"/>
      <c r="BKX39" s="822"/>
      <c r="BKY39" s="822"/>
      <c r="BKZ39" s="822"/>
      <c r="BLA39" s="822"/>
      <c r="BLB39" s="822"/>
      <c r="BLC39" s="822"/>
      <c r="BLD39" s="822"/>
      <c r="BLE39" s="822"/>
      <c r="BLF39" s="822"/>
      <c r="BLG39" s="822"/>
      <c r="BLH39" s="822"/>
      <c r="BLI39" s="822"/>
      <c r="BLJ39" s="822"/>
      <c r="BLK39" s="822"/>
      <c r="BLL39" s="822"/>
      <c r="BLM39" s="822"/>
      <c r="BLN39" s="822"/>
      <c r="BLO39" s="822"/>
      <c r="BLP39" s="822"/>
      <c r="BLQ39" s="822"/>
      <c r="BLR39" s="822"/>
      <c r="BLS39" s="822"/>
      <c r="BLT39" s="822"/>
      <c r="BLU39" s="822"/>
      <c r="BLV39" s="822"/>
      <c r="BLW39" s="822"/>
      <c r="BLX39" s="822"/>
      <c r="BLY39" s="822"/>
      <c r="BLZ39" s="822"/>
      <c r="BMA39" s="822"/>
      <c r="BMB39" s="822"/>
      <c r="BMC39" s="822"/>
      <c r="BMD39" s="822"/>
      <c r="BME39" s="822"/>
      <c r="BMF39" s="822"/>
      <c r="BMG39" s="822"/>
      <c r="BMH39" s="822"/>
      <c r="BMI39" s="822"/>
      <c r="BMJ39" s="822"/>
      <c r="BMK39" s="822"/>
      <c r="BML39" s="822"/>
      <c r="BMM39" s="822"/>
      <c r="BMN39" s="822"/>
      <c r="BMO39" s="822"/>
      <c r="BMP39" s="822"/>
      <c r="BMQ39" s="822"/>
      <c r="BMR39" s="822"/>
      <c r="BMS39" s="822"/>
      <c r="BMT39" s="822"/>
      <c r="BMU39" s="822"/>
      <c r="BMV39" s="822"/>
      <c r="BMW39" s="822"/>
      <c r="BMX39" s="822"/>
      <c r="BMY39" s="822"/>
      <c r="BMZ39" s="822"/>
      <c r="BNA39" s="822"/>
      <c r="BNB39" s="822"/>
      <c r="BNC39" s="822"/>
      <c r="BND39" s="822"/>
      <c r="BNE39" s="822"/>
      <c r="BNF39" s="822"/>
      <c r="BNG39" s="822"/>
      <c r="BNH39" s="822"/>
      <c r="BNI39" s="822"/>
      <c r="BNJ39" s="822"/>
      <c r="BNK39" s="822"/>
      <c r="BNL39" s="822"/>
      <c r="BNM39" s="822"/>
      <c r="BNN39" s="822"/>
      <c r="BNO39" s="822"/>
      <c r="BNP39" s="822"/>
      <c r="BNQ39" s="822"/>
      <c r="BNR39" s="822"/>
      <c r="BNS39" s="822"/>
      <c r="BNT39" s="822"/>
      <c r="BNU39" s="822"/>
      <c r="BNV39" s="822"/>
      <c r="BNW39" s="822"/>
      <c r="BNX39" s="822"/>
      <c r="BNY39" s="822"/>
      <c r="BNZ39" s="822"/>
      <c r="BOA39" s="822"/>
      <c r="BOB39" s="822"/>
      <c r="BOC39" s="822"/>
      <c r="BOD39" s="822"/>
      <c r="BOE39" s="822"/>
      <c r="BOF39" s="822"/>
      <c r="BOG39" s="822"/>
      <c r="BOH39" s="822"/>
      <c r="BOI39" s="822"/>
      <c r="BOJ39" s="822"/>
      <c r="BOK39" s="822"/>
      <c r="BOL39" s="822"/>
      <c r="BOM39" s="822"/>
      <c r="BON39" s="822"/>
      <c r="BOO39" s="822"/>
      <c r="BOP39" s="822"/>
      <c r="BOQ39" s="822"/>
      <c r="BOR39" s="822"/>
      <c r="BOS39" s="822"/>
      <c r="BOT39" s="822"/>
      <c r="BOU39" s="822"/>
      <c r="BOV39" s="822"/>
      <c r="BOW39" s="822"/>
      <c r="BOX39" s="822"/>
      <c r="BOY39" s="822"/>
      <c r="BOZ39" s="822"/>
      <c r="BPA39" s="822"/>
      <c r="BPB39" s="822"/>
      <c r="BPC39" s="822"/>
      <c r="BPD39" s="822"/>
      <c r="BPE39" s="822"/>
      <c r="BPF39" s="822"/>
      <c r="BPG39" s="822"/>
      <c r="BPH39" s="822"/>
      <c r="BPI39" s="822"/>
      <c r="BPJ39" s="822"/>
      <c r="BPK39" s="822"/>
      <c r="BPL39" s="822"/>
      <c r="BPM39" s="822"/>
      <c r="BPN39" s="822"/>
      <c r="BPO39" s="822"/>
      <c r="BPP39" s="822"/>
      <c r="BPQ39" s="822"/>
      <c r="BPR39" s="822"/>
      <c r="BPS39" s="822"/>
      <c r="BPT39" s="822"/>
      <c r="BPU39" s="822"/>
      <c r="BPV39" s="822"/>
      <c r="BPW39" s="822"/>
      <c r="BPX39" s="822"/>
      <c r="BPY39" s="822"/>
      <c r="BPZ39" s="822"/>
      <c r="BQA39" s="822"/>
      <c r="BQB39" s="822"/>
      <c r="BQC39" s="822"/>
      <c r="BQD39" s="822"/>
      <c r="BQE39" s="822"/>
      <c r="BQF39" s="822"/>
      <c r="BQG39" s="822"/>
      <c r="BQH39" s="822"/>
      <c r="BQI39" s="822"/>
      <c r="BQJ39" s="822"/>
      <c r="BQK39" s="822"/>
      <c r="BQL39" s="822"/>
      <c r="BQM39" s="822"/>
      <c r="BQN39" s="822"/>
      <c r="BQO39" s="822"/>
      <c r="BQP39" s="822"/>
      <c r="BQQ39" s="822"/>
      <c r="BQR39" s="822"/>
      <c r="BQS39" s="822"/>
      <c r="BQT39" s="822"/>
      <c r="BQU39" s="822"/>
      <c r="BQV39" s="822"/>
      <c r="BQW39" s="822"/>
      <c r="BQX39" s="822"/>
      <c r="BQY39" s="822"/>
      <c r="BQZ39" s="822"/>
      <c r="BRA39" s="822"/>
      <c r="BRB39" s="822"/>
      <c r="BRC39" s="822"/>
      <c r="BRD39" s="822"/>
      <c r="BRE39" s="822"/>
      <c r="BRF39" s="822"/>
      <c r="BRG39" s="822"/>
      <c r="BRH39" s="822"/>
      <c r="BRI39" s="822"/>
      <c r="BRJ39" s="822"/>
      <c r="BRK39" s="822"/>
      <c r="BRL39" s="822"/>
      <c r="BRM39" s="822"/>
      <c r="BRN39" s="822"/>
      <c r="BRO39" s="822"/>
      <c r="BRP39" s="822"/>
      <c r="BRQ39" s="822"/>
      <c r="BRR39" s="822"/>
      <c r="BRS39" s="822"/>
      <c r="BRT39" s="822"/>
      <c r="BRU39" s="822"/>
      <c r="BRV39" s="822"/>
      <c r="BRW39" s="822"/>
      <c r="BRX39" s="822"/>
      <c r="BRY39" s="822"/>
      <c r="BRZ39" s="822"/>
      <c r="BSA39" s="822"/>
      <c r="BSB39" s="822"/>
      <c r="BSC39" s="822"/>
      <c r="BSD39" s="822"/>
      <c r="BSE39" s="822"/>
      <c r="BSF39" s="822"/>
      <c r="BSG39" s="822"/>
      <c r="BSH39" s="822"/>
      <c r="BSI39" s="822"/>
      <c r="BSJ39" s="822"/>
      <c r="BSK39" s="822"/>
      <c r="BSL39" s="822"/>
      <c r="BSM39" s="822"/>
      <c r="BSN39" s="822"/>
      <c r="BSO39" s="822"/>
      <c r="BSP39" s="822"/>
      <c r="BSQ39" s="822"/>
      <c r="BSR39" s="822"/>
      <c r="BSS39" s="822"/>
      <c r="BST39" s="822"/>
      <c r="BSU39" s="822"/>
      <c r="BSV39" s="822"/>
      <c r="BSW39" s="822"/>
      <c r="BSX39" s="822"/>
      <c r="BSY39" s="822"/>
      <c r="BSZ39" s="822"/>
      <c r="BTA39" s="822"/>
      <c r="BTB39" s="822"/>
      <c r="BTC39" s="822"/>
      <c r="BTD39" s="822"/>
      <c r="BTE39" s="822"/>
      <c r="BTF39" s="822"/>
      <c r="BTG39" s="822"/>
      <c r="BTH39" s="822"/>
      <c r="BTI39" s="822"/>
      <c r="BTJ39" s="822"/>
      <c r="BTK39" s="822"/>
      <c r="BTL39" s="822"/>
      <c r="BTM39" s="822"/>
      <c r="BTN39" s="822"/>
      <c r="BTO39" s="822"/>
      <c r="BTP39" s="822"/>
      <c r="BTQ39" s="822"/>
      <c r="BTR39" s="822"/>
      <c r="BTS39" s="822"/>
      <c r="BTT39" s="822"/>
      <c r="BTU39" s="822"/>
      <c r="BTV39" s="822"/>
      <c r="BTW39" s="822"/>
      <c r="BTX39" s="822"/>
      <c r="BTY39" s="822"/>
      <c r="BTZ39" s="822"/>
      <c r="BUA39" s="822"/>
      <c r="BUB39" s="822"/>
      <c r="BUC39" s="822"/>
      <c r="BUD39" s="822"/>
      <c r="BUE39" s="822"/>
      <c r="BUF39" s="822"/>
      <c r="BUG39" s="822"/>
      <c r="BUH39" s="822"/>
      <c r="BUI39" s="822"/>
      <c r="BUJ39" s="822"/>
      <c r="BUK39" s="822"/>
      <c r="BUL39" s="822"/>
      <c r="BUM39" s="822"/>
      <c r="BUN39" s="822"/>
      <c r="BUO39" s="822"/>
      <c r="BUP39" s="822"/>
      <c r="BUQ39" s="822"/>
      <c r="BUR39" s="822"/>
      <c r="BUS39" s="822"/>
      <c r="BUT39" s="822"/>
      <c r="BUU39" s="822"/>
      <c r="BUV39" s="822"/>
      <c r="BUW39" s="822"/>
      <c r="BUX39" s="822"/>
      <c r="BUY39" s="822"/>
      <c r="BUZ39" s="822"/>
      <c r="BVA39" s="822"/>
      <c r="BVB39" s="822"/>
      <c r="BVC39" s="822"/>
      <c r="BVD39" s="822"/>
      <c r="BVE39" s="822"/>
      <c r="BVF39" s="822"/>
      <c r="BVG39" s="822"/>
      <c r="BVH39" s="822"/>
      <c r="BVI39" s="822"/>
      <c r="BVJ39" s="822"/>
      <c r="BVK39" s="822"/>
      <c r="BVL39" s="822"/>
      <c r="BVM39" s="822"/>
      <c r="BVN39" s="822"/>
      <c r="BVO39" s="822"/>
      <c r="BVP39" s="822"/>
      <c r="BVQ39" s="822"/>
      <c r="BVR39" s="822"/>
      <c r="BVS39" s="822"/>
      <c r="BVT39" s="822"/>
      <c r="BVU39" s="822"/>
      <c r="BVV39" s="822"/>
      <c r="BVW39" s="822"/>
      <c r="BVX39" s="822"/>
      <c r="BVY39" s="822"/>
      <c r="BVZ39" s="822"/>
      <c r="BWA39" s="822"/>
      <c r="BWB39" s="822"/>
      <c r="BWC39" s="822"/>
      <c r="BWD39" s="822"/>
      <c r="BWE39" s="822"/>
      <c r="BWF39" s="822"/>
      <c r="BWG39" s="822"/>
      <c r="BWH39" s="822"/>
      <c r="BWI39" s="822"/>
      <c r="BWJ39" s="822"/>
      <c r="BWK39" s="822"/>
      <c r="BWL39" s="822"/>
      <c r="BWM39" s="822"/>
      <c r="BWN39" s="822"/>
      <c r="BWO39" s="822"/>
      <c r="BWP39" s="822"/>
      <c r="BWQ39" s="822"/>
      <c r="BWR39" s="822"/>
      <c r="BWS39" s="822"/>
      <c r="BWT39" s="822"/>
      <c r="BWU39" s="822"/>
      <c r="BWV39" s="822"/>
      <c r="BWW39" s="822"/>
      <c r="BWX39" s="822"/>
      <c r="BWY39" s="822"/>
      <c r="BWZ39" s="822"/>
      <c r="BXA39" s="822"/>
      <c r="BXB39" s="822"/>
      <c r="BXC39" s="822"/>
      <c r="BXD39" s="822"/>
      <c r="BXE39" s="822"/>
      <c r="BXF39" s="822"/>
      <c r="BXG39" s="822"/>
      <c r="BXH39" s="822"/>
      <c r="BXI39" s="822"/>
      <c r="BXJ39" s="822"/>
      <c r="BXK39" s="822"/>
      <c r="BXL39" s="822"/>
      <c r="BXM39" s="822"/>
      <c r="BXN39" s="822"/>
      <c r="BXO39" s="822"/>
      <c r="BXP39" s="822"/>
      <c r="BXQ39" s="822"/>
      <c r="BXR39" s="822"/>
      <c r="BXS39" s="822"/>
      <c r="BXT39" s="822"/>
      <c r="BXU39" s="822"/>
      <c r="BXV39" s="822"/>
      <c r="BXW39" s="822"/>
      <c r="BXX39" s="822"/>
      <c r="BXY39" s="822"/>
      <c r="BXZ39" s="822"/>
      <c r="BYA39" s="822"/>
      <c r="BYB39" s="822"/>
      <c r="BYC39" s="822"/>
      <c r="BYD39" s="822"/>
      <c r="BYE39" s="822"/>
      <c r="BYF39" s="822"/>
      <c r="BYG39" s="822"/>
      <c r="BYH39" s="822"/>
      <c r="BYI39" s="822"/>
      <c r="BYJ39" s="822"/>
      <c r="BYK39" s="822"/>
      <c r="BYL39" s="822"/>
      <c r="BYM39" s="822"/>
      <c r="BYN39" s="822"/>
      <c r="BYO39" s="822"/>
      <c r="BYP39" s="822"/>
      <c r="BYQ39" s="822"/>
      <c r="BYR39" s="822"/>
      <c r="BYS39" s="822"/>
      <c r="BYT39" s="822"/>
      <c r="BYU39" s="822"/>
      <c r="BYV39" s="822"/>
      <c r="BYW39" s="822"/>
      <c r="BYX39" s="822"/>
      <c r="BYY39" s="822"/>
      <c r="BYZ39" s="822"/>
      <c r="BZA39" s="822"/>
      <c r="BZB39" s="822"/>
      <c r="BZC39" s="822"/>
      <c r="BZD39" s="822"/>
      <c r="BZE39" s="822"/>
      <c r="BZF39" s="822"/>
      <c r="BZG39" s="822"/>
      <c r="BZH39" s="822"/>
      <c r="BZI39" s="822"/>
      <c r="BZJ39" s="822"/>
      <c r="BZK39" s="822"/>
      <c r="BZL39" s="822"/>
      <c r="BZM39" s="822"/>
      <c r="BZN39" s="822"/>
      <c r="BZO39" s="822"/>
      <c r="BZP39" s="822"/>
      <c r="BZQ39" s="822"/>
      <c r="BZR39" s="822"/>
      <c r="BZS39" s="822"/>
      <c r="BZT39" s="822"/>
      <c r="BZU39" s="822"/>
      <c r="BZV39" s="822"/>
      <c r="BZW39" s="822"/>
      <c r="BZX39" s="822"/>
      <c r="BZY39" s="822"/>
      <c r="BZZ39" s="822"/>
      <c r="CAA39" s="822"/>
      <c r="CAB39" s="822"/>
      <c r="CAC39" s="822"/>
      <c r="CAD39" s="822"/>
      <c r="CAE39" s="822"/>
      <c r="CAF39" s="822"/>
      <c r="CAG39" s="822"/>
      <c r="CAH39" s="822"/>
      <c r="CAI39" s="822"/>
      <c r="CAJ39" s="822"/>
      <c r="CAK39" s="822"/>
      <c r="CAL39" s="822"/>
      <c r="CAM39" s="822"/>
      <c r="CAN39" s="822"/>
      <c r="CAO39" s="822"/>
      <c r="CAP39" s="822"/>
      <c r="CAQ39" s="822"/>
      <c r="CAR39" s="822"/>
      <c r="CAS39" s="822"/>
      <c r="CAT39" s="822"/>
      <c r="CAU39" s="822"/>
      <c r="CAV39" s="822"/>
      <c r="CAW39" s="822"/>
      <c r="CAX39" s="822"/>
      <c r="CAY39" s="822"/>
      <c r="CAZ39" s="822"/>
      <c r="CBA39" s="822"/>
      <c r="CBB39" s="822"/>
      <c r="CBC39" s="822"/>
      <c r="CBD39" s="822"/>
      <c r="CBE39" s="822"/>
      <c r="CBF39" s="822"/>
      <c r="CBG39" s="822"/>
      <c r="CBH39" s="822"/>
      <c r="CBI39" s="822"/>
      <c r="CBJ39" s="822"/>
      <c r="CBK39" s="822"/>
      <c r="CBL39" s="822"/>
      <c r="CBM39" s="822"/>
      <c r="CBN39" s="822"/>
      <c r="CBO39" s="822"/>
      <c r="CBP39" s="822"/>
      <c r="CBQ39" s="822"/>
      <c r="CBR39" s="822"/>
      <c r="CBS39" s="822"/>
      <c r="CBT39" s="822"/>
      <c r="CBU39" s="822"/>
      <c r="CBV39" s="822"/>
      <c r="CBW39" s="822"/>
      <c r="CBX39" s="822"/>
      <c r="CBY39" s="822"/>
      <c r="CBZ39" s="822"/>
      <c r="CCA39" s="822"/>
      <c r="CCB39" s="822"/>
      <c r="CCC39" s="822"/>
      <c r="CCD39" s="822"/>
      <c r="CCE39" s="822"/>
      <c r="CCF39" s="822"/>
      <c r="CCG39" s="822"/>
      <c r="CCH39" s="822"/>
      <c r="CCI39" s="822"/>
      <c r="CCJ39" s="822"/>
      <c r="CCK39" s="822"/>
      <c r="CCL39" s="822"/>
      <c r="CCM39" s="822"/>
      <c r="CCN39" s="822"/>
      <c r="CCO39" s="822"/>
      <c r="CCP39" s="822"/>
      <c r="CCQ39" s="822"/>
      <c r="CCR39" s="822"/>
      <c r="CCS39" s="822"/>
      <c r="CCT39" s="822"/>
      <c r="CCU39" s="822"/>
      <c r="CCV39" s="822"/>
      <c r="CCW39" s="822"/>
      <c r="CCX39" s="822"/>
      <c r="CCY39" s="822"/>
      <c r="CCZ39" s="822"/>
      <c r="CDA39" s="822"/>
      <c r="CDB39" s="822"/>
      <c r="CDC39" s="822"/>
      <c r="CDD39" s="822"/>
      <c r="CDE39" s="822"/>
      <c r="CDF39" s="822"/>
      <c r="CDG39" s="822"/>
      <c r="CDH39" s="822"/>
      <c r="CDI39" s="822"/>
      <c r="CDJ39" s="822"/>
      <c r="CDK39" s="822"/>
      <c r="CDL39" s="822"/>
      <c r="CDM39" s="822"/>
      <c r="CDN39" s="822"/>
      <c r="CDO39" s="822"/>
      <c r="CDP39" s="822"/>
      <c r="CDQ39" s="822"/>
      <c r="CDR39" s="822"/>
      <c r="CDS39" s="822"/>
      <c r="CDT39" s="822"/>
      <c r="CDU39" s="822"/>
      <c r="CDV39" s="822"/>
      <c r="CDW39" s="822"/>
      <c r="CDX39" s="822"/>
      <c r="CDY39" s="822"/>
      <c r="CDZ39" s="822"/>
      <c r="CEA39" s="822"/>
      <c r="CEB39" s="822"/>
      <c r="CEC39" s="822"/>
      <c r="CED39" s="822"/>
      <c r="CEE39" s="822"/>
      <c r="CEF39" s="822"/>
      <c r="CEG39" s="822"/>
      <c r="CEH39" s="822"/>
      <c r="CEI39" s="822"/>
      <c r="CEJ39" s="822"/>
      <c r="CEK39" s="822"/>
      <c r="CEL39" s="822"/>
      <c r="CEM39" s="822"/>
      <c r="CEN39" s="822"/>
      <c r="CEO39" s="822"/>
      <c r="CEP39" s="822"/>
      <c r="CEQ39" s="822"/>
      <c r="CER39" s="822"/>
      <c r="CES39" s="822"/>
      <c r="CET39" s="822"/>
      <c r="CEU39" s="822"/>
      <c r="CEV39" s="822"/>
      <c r="CEW39" s="822"/>
      <c r="CEX39" s="822"/>
      <c r="CEY39" s="822"/>
      <c r="CEZ39" s="822"/>
      <c r="CFA39" s="822"/>
      <c r="CFB39" s="822"/>
      <c r="CFC39" s="822"/>
      <c r="CFD39" s="822"/>
      <c r="CFE39" s="822"/>
      <c r="CFF39" s="822"/>
      <c r="CFG39" s="822"/>
      <c r="CFH39" s="822"/>
      <c r="CFI39" s="822"/>
      <c r="CFJ39" s="822"/>
      <c r="CFK39" s="822"/>
      <c r="CFL39" s="822"/>
      <c r="CFM39" s="822"/>
      <c r="CFN39" s="822"/>
      <c r="CFO39" s="822"/>
      <c r="CFP39" s="822"/>
      <c r="CFQ39" s="822"/>
      <c r="CFR39" s="822"/>
      <c r="CFS39" s="822"/>
      <c r="CFT39" s="822"/>
      <c r="CFU39" s="822"/>
      <c r="CFV39" s="822"/>
      <c r="CFW39" s="822"/>
      <c r="CFX39" s="822"/>
      <c r="CFY39" s="822"/>
      <c r="CFZ39" s="822"/>
      <c r="CGA39" s="822"/>
      <c r="CGB39" s="822"/>
      <c r="CGC39" s="822"/>
      <c r="CGD39" s="822"/>
      <c r="CGE39" s="822"/>
      <c r="CGF39" s="822"/>
      <c r="CGG39" s="822"/>
      <c r="CGH39" s="822"/>
      <c r="CGI39" s="822"/>
      <c r="CGJ39" s="822"/>
      <c r="CGK39" s="822"/>
      <c r="CGL39" s="822"/>
      <c r="CGM39" s="822"/>
      <c r="CGN39" s="822"/>
      <c r="CGO39" s="822"/>
      <c r="CGP39" s="822"/>
      <c r="CGQ39" s="822"/>
      <c r="CGR39" s="822"/>
      <c r="CGS39" s="822"/>
      <c r="CGT39" s="822"/>
      <c r="CGU39" s="822"/>
      <c r="CGV39" s="822"/>
      <c r="CGW39" s="822"/>
      <c r="CGX39" s="822"/>
      <c r="CGY39" s="822"/>
      <c r="CGZ39" s="822"/>
      <c r="CHA39" s="822"/>
      <c r="CHB39" s="822"/>
      <c r="CHC39" s="822"/>
      <c r="CHD39" s="822"/>
      <c r="CHE39" s="822"/>
      <c r="CHF39" s="822"/>
      <c r="CHG39" s="822"/>
      <c r="CHH39" s="822"/>
      <c r="CHI39" s="822"/>
      <c r="CHJ39" s="822"/>
      <c r="CHK39" s="822"/>
      <c r="CHL39" s="822"/>
      <c r="CHM39" s="822"/>
      <c r="CHN39" s="822"/>
      <c r="CHO39" s="822"/>
      <c r="CHP39" s="822"/>
      <c r="CHQ39" s="822"/>
      <c r="CHR39" s="822"/>
      <c r="CHS39" s="822"/>
      <c r="CHT39" s="822"/>
      <c r="CHU39" s="822"/>
      <c r="CHV39" s="822"/>
      <c r="CHW39" s="822"/>
      <c r="CHX39" s="822"/>
      <c r="CHY39" s="822"/>
      <c r="CHZ39" s="822"/>
      <c r="CIA39" s="822"/>
      <c r="CIB39" s="822"/>
      <c r="CIC39" s="822"/>
      <c r="CID39" s="822"/>
      <c r="CIE39" s="822"/>
      <c r="CIF39" s="822"/>
      <c r="CIG39" s="822"/>
      <c r="CIH39" s="822"/>
      <c r="CII39" s="822"/>
      <c r="CIJ39" s="822"/>
      <c r="CIK39" s="822"/>
      <c r="CIL39" s="822"/>
      <c r="CIM39" s="822"/>
      <c r="CIN39" s="822"/>
      <c r="CIO39" s="822"/>
      <c r="CIP39" s="822"/>
      <c r="CIQ39" s="822"/>
      <c r="CIR39" s="822"/>
      <c r="CIS39" s="822"/>
      <c r="CIT39" s="822"/>
      <c r="CIU39" s="822"/>
      <c r="CIV39" s="822"/>
      <c r="CIW39" s="822"/>
      <c r="CIX39" s="822"/>
      <c r="CIY39" s="822"/>
      <c r="CIZ39" s="822"/>
      <c r="CJA39" s="822"/>
      <c r="CJB39" s="822"/>
      <c r="CJC39" s="822"/>
      <c r="CJD39" s="822"/>
      <c r="CJE39" s="822"/>
      <c r="CJF39" s="822"/>
      <c r="CJG39" s="822"/>
      <c r="CJH39" s="822"/>
      <c r="CJI39" s="822"/>
      <c r="CJJ39" s="822"/>
      <c r="CJK39" s="822"/>
      <c r="CJL39" s="822"/>
      <c r="CJM39" s="822"/>
      <c r="CJN39" s="822"/>
      <c r="CJO39" s="822"/>
      <c r="CJP39" s="822"/>
      <c r="CJQ39" s="822"/>
      <c r="CJR39" s="822"/>
      <c r="CJS39" s="822"/>
      <c r="CJT39" s="822"/>
      <c r="CJU39" s="822"/>
      <c r="CJV39" s="822"/>
      <c r="CJW39" s="822"/>
      <c r="CJX39" s="822"/>
      <c r="CJY39" s="822"/>
      <c r="CJZ39" s="822"/>
      <c r="CKA39" s="822"/>
      <c r="CKB39" s="822"/>
      <c r="CKC39" s="822"/>
      <c r="CKD39" s="822"/>
      <c r="CKE39" s="822"/>
      <c r="CKF39" s="822"/>
      <c r="CKG39" s="822"/>
      <c r="CKH39" s="822"/>
      <c r="CKI39" s="822"/>
      <c r="CKJ39" s="822"/>
      <c r="CKK39" s="822"/>
      <c r="CKL39" s="822"/>
      <c r="CKM39" s="822"/>
      <c r="CKN39" s="822"/>
      <c r="CKO39" s="822"/>
      <c r="CKP39" s="822"/>
      <c r="CKQ39" s="822"/>
      <c r="CKR39" s="822"/>
      <c r="CKS39" s="822"/>
      <c r="CKT39" s="822"/>
      <c r="CKU39" s="822"/>
      <c r="CKV39" s="822"/>
      <c r="CKW39" s="822"/>
      <c r="CKX39" s="822"/>
      <c r="CKY39" s="822"/>
      <c r="CKZ39" s="822"/>
      <c r="CLA39" s="822"/>
      <c r="CLB39" s="822"/>
      <c r="CLC39" s="822"/>
      <c r="CLD39" s="822"/>
      <c r="CLE39" s="822"/>
      <c r="CLF39" s="822"/>
      <c r="CLG39" s="822"/>
      <c r="CLH39" s="822"/>
      <c r="CLI39" s="822"/>
      <c r="CLJ39" s="822"/>
      <c r="CLK39" s="822"/>
      <c r="CLL39" s="822"/>
      <c r="CLM39" s="822"/>
      <c r="CLN39" s="822"/>
      <c r="CLO39" s="822"/>
      <c r="CLP39" s="822"/>
      <c r="CLQ39" s="822"/>
      <c r="CLR39" s="822"/>
      <c r="CLS39" s="822"/>
      <c r="CLT39" s="822"/>
      <c r="CLU39" s="822"/>
      <c r="CLV39" s="822"/>
      <c r="CLW39" s="822"/>
      <c r="CLX39" s="822"/>
      <c r="CLY39" s="822"/>
      <c r="CLZ39" s="822"/>
      <c r="CMA39" s="822"/>
      <c r="CMB39" s="822"/>
      <c r="CMC39" s="822"/>
      <c r="CMD39" s="822"/>
      <c r="CME39" s="822"/>
      <c r="CMF39" s="822"/>
      <c r="CMG39" s="822"/>
      <c r="CMH39" s="822"/>
      <c r="CMI39" s="822"/>
      <c r="CMJ39" s="822"/>
      <c r="CMK39" s="822"/>
      <c r="CML39" s="822"/>
      <c r="CMM39" s="822"/>
      <c r="CMN39" s="822"/>
      <c r="CMO39" s="822"/>
      <c r="CMP39" s="822"/>
      <c r="CMQ39" s="822"/>
      <c r="CMR39" s="822"/>
      <c r="CMS39" s="822"/>
      <c r="CMT39" s="822"/>
      <c r="CMU39" s="822"/>
      <c r="CMV39" s="822"/>
      <c r="CMW39" s="822"/>
      <c r="CMX39" s="822"/>
      <c r="CMY39" s="822"/>
      <c r="CMZ39" s="822"/>
      <c r="CNA39" s="822"/>
      <c r="CNB39" s="822"/>
      <c r="CNC39" s="822"/>
      <c r="CND39" s="822"/>
      <c r="CNE39" s="822"/>
      <c r="CNF39" s="822"/>
      <c r="CNG39" s="822"/>
      <c r="CNH39" s="822"/>
      <c r="CNI39" s="822"/>
      <c r="CNJ39" s="822"/>
      <c r="CNK39" s="822"/>
      <c r="CNL39" s="822"/>
      <c r="CNM39" s="822"/>
      <c r="CNN39" s="822"/>
      <c r="CNO39" s="822"/>
      <c r="CNP39" s="822"/>
      <c r="CNQ39" s="822"/>
      <c r="CNR39" s="822"/>
      <c r="CNS39" s="822"/>
      <c r="CNT39" s="822"/>
      <c r="CNU39" s="822"/>
      <c r="CNV39" s="822"/>
      <c r="CNW39" s="822"/>
      <c r="CNX39" s="822"/>
      <c r="CNY39" s="822"/>
      <c r="CNZ39" s="822"/>
      <c r="COA39" s="822"/>
      <c r="COB39" s="822"/>
      <c r="COC39" s="822"/>
      <c r="COD39" s="822"/>
      <c r="COE39" s="822"/>
      <c r="COF39" s="822"/>
      <c r="COG39" s="822"/>
      <c r="COH39" s="822"/>
      <c r="COI39" s="822"/>
      <c r="COJ39" s="822"/>
      <c r="COK39" s="822"/>
      <c r="COL39" s="822"/>
      <c r="COM39" s="822"/>
      <c r="CON39" s="822"/>
      <c r="COO39" s="822"/>
      <c r="COP39" s="822"/>
      <c r="COQ39" s="822"/>
      <c r="COR39" s="822"/>
      <c r="COS39" s="822"/>
      <c r="COT39" s="822"/>
      <c r="COU39" s="822"/>
      <c r="COV39" s="822"/>
      <c r="COW39" s="822"/>
      <c r="COX39" s="822"/>
      <c r="COY39" s="822"/>
      <c r="COZ39" s="822"/>
      <c r="CPA39" s="822"/>
      <c r="CPB39" s="822"/>
      <c r="CPC39" s="822"/>
      <c r="CPD39" s="822"/>
      <c r="CPE39" s="822"/>
      <c r="CPF39" s="822"/>
      <c r="CPG39" s="822"/>
      <c r="CPH39" s="822"/>
      <c r="CPI39" s="822"/>
      <c r="CPJ39" s="822"/>
      <c r="CPK39" s="822"/>
      <c r="CPL39" s="822"/>
      <c r="CPM39" s="822"/>
      <c r="CPN39" s="822"/>
      <c r="CPO39" s="822"/>
      <c r="CPP39" s="822"/>
      <c r="CPQ39" s="822"/>
      <c r="CPR39" s="822"/>
      <c r="CPS39" s="822"/>
      <c r="CPT39" s="822"/>
      <c r="CPU39" s="822"/>
      <c r="CPV39" s="822"/>
      <c r="CPW39" s="822"/>
      <c r="CPX39" s="822"/>
      <c r="CPY39" s="822"/>
      <c r="CPZ39" s="822"/>
      <c r="CQA39" s="822"/>
      <c r="CQB39" s="822"/>
      <c r="CQC39" s="822"/>
      <c r="CQD39" s="822"/>
      <c r="CQE39" s="822"/>
      <c r="CQF39" s="822"/>
      <c r="CQG39" s="822"/>
      <c r="CQH39" s="822"/>
      <c r="CQI39" s="822"/>
      <c r="CQJ39" s="822"/>
      <c r="CQK39" s="822"/>
      <c r="CQL39" s="822"/>
      <c r="CQM39" s="822"/>
      <c r="CQN39" s="822"/>
      <c r="CQO39" s="822"/>
      <c r="CQP39" s="822"/>
      <c r="CQQ39" s="822"/>
      <c r="CQR39" s="822"/>
      <c r="CQS39" s="822"/>
      <c r="CQT39" s="822"/>
      <c r="CQU39" s="822"/>
      <c r="CQV39" s="822"/>
      <c r="CQW39" s="822"/>
      <c r="CQX39" s="822"/>
      <c r="CQY39" s="822"/>
      <c r="CQZ39" s="822"/>
      <c r="CRA39" s="822"/>
      <c r="CRB39" s="822"/>
      <c r="CRC39" s="822"/>
      <c r="CRD39" s="822"/>
      <c r="CRE39" s="822"/>
      <c r="CRF39" s="822"/>
      <c r="CRG39" s="822"/>
      <c r="CRH39" s="822"/>
      <c r="CRI39" s="822"/>
      <c r="CRJ39" s="822"/>
      <c r="CRK39" s="822"/>
      <c r="CRL39" s="822"/>
      <c r="CRM39" s="822"/>
      <c r="CRN39" s="822"/>
      <c r="CRO39" s="822"/>
      <c r="CRP39" s="822"/>
      <c r="CRQ39" s="822"/>
      <c r="CRR39" s="822"/>
      <c r="CRS39" s="822"/>
      <c r="CRT39" s="822"/>
      <c r="CRU39" s="822"/>
      <c r="CRV39" s="822"/>
      <c r="CRW39" s="822"/>
      <c r="CRX39" s="822"/>
      <c r="CRY39" s="822"/>
      <c r="CRZ39" s="822"/>
      <c r="CSA39" s="822"/>
      <c r="CSB39" s="822"/>
      <c r="CSC39" s="822"/>
      <c r="CSD39" s="822"/>
      <c r="CSE39" s="822"/>
      <c r="CSF39" s="822"/>
      <c r="CSG39" s="822"/>
      <c r="CSH39" s="822"/>
      <c r="CSI39" s="822"/>
      <c r="CSJ39" s="822"/>
      <c r="CSK39" s="822"/>
      <c r="CSL39" s="822"/>
      <c r="CSM39" s="822"/>
      <c r="CSN39" s="822"/>
      <c r="CSO39" s="822"/>
      <c r="CSP39" s="822"/>
      <c r="CSQ39" s="822"/>
      <c r="CSR39" s="822"/>
      <c r="CSS39" s="822"/>
      <c r="CST39" s="822"/>
      <c r="CSU39" s="822"/>
      <c r="CSV39" s="822"/>
      <c r="CSW39" s="822"/>
      <c r="CSX39" s="822"/>
      <c r="CSY39" s="822"/>
      <c r="CSZ39" s="822"/>
      <c r="CTA39" s="822"/>
      <c r="CTB39" s="822"/>
      <c r="CTC39" s="822"/>
      <c r="CTD39" s="822"/>
      <c r="CTE39" s="822"/>
      <c r="CTF39" s="822"/>
      <c r="CTG39" s="822"/>
      <c r="CTH39" s="822"/>
      <c r="CTI39" s="822"/>
      <c r="CTJ39" s="822"/>
      <c r="CTK39" s="822"/>
      <c r="CTL39" s="822"/>
      <c r="CTM39" s="822"/>
      <c r="CTN39" s="822"/>
      <c r="CTO39" s="822"/>
      <c r="CTP39" s="822"/>
      <c r="CTQ39" s="822"/>
      <c r="CTR39" s="822"/>
      <c r="CTS39" s="822"/>
      <c r="CTT39" s="822"/>
      <c r="CTU39" s="822"/>
      <c r="CTV39" s="822"/>
      <c r="CTW39" s="822"/>
      <c r="CTX39" s="822"/>
      <c r="CTY39" s="822"/>
      <c r="CTZ39" s="822"/>
      <c r="CUA39" s="822"/>
      <c r="CUB39" s="822"/>
      <c r="CUC39" s="822"/>
      <c r="CUD39" s="822"/>
      <c r="CUE39" s="822"/>
      <c r="CUF39" s="822"/>
      <c r="CUG39" s="822"/>
      <c r="CUH39" s="822"/>
      <c r="CUI39" s="822"/>
      <c r="CUJ39" s="822"/>
      <c r="CUK39" s="822"/>
      <c r="CUL39" s="822"/>
      <c r="CUM39" s="822"/>
      <c r="CUN39" s="822"/>
      <c r="CUO39" s="822"/>
      <c r="CUP39" s="822"/>
      <c r="CUQ39" s="822"/>
      <c r="CUR39" s="822"/>
      <c r="CUS39" s="822"/>
      <c r="CUT39" s="822"/>
      <c r="CUU39" s="822"/>
      <c r="CUV39" s="822"/>
      <c r="CUW39" s="822"/>
      <c r="CUX39" s="822"/>
      <c r="CUY39" s="822"/>
      <c r="CUZ39" s="822"/>
      <c r="CVA39" s="822"/>
      <c r="CVB39" s="822"/>
      <c r="CVC39" s="822"/>
      <c r="CVD39" s="822"/>
      <c r="CVE39" s="822"/>
      <c r="CVF39" s="822"/>
      <c r="CVG39" s="822"/>
      <c r="CVH39" s="822"/>
      <c r="CVI39" s="822"/>
      <c r="CVJ39" s="822"/>
      <c r="CVK39" s="822"/>
      <c r="CVL39" s="822"/>
      <c r="CVM39" s="822"/>
      <c r="CVN39" s="822"/>
      <c r="CVO39" s="822"/>
      <c r="CVP39" s="822"/>
      <c r="CVQ39" s="822"/>
      <c r="CVR39" s="822"/>
      <c r="CVS39" s="822"/>
      <c r="CVT39" s="822"/>
      <c r="CVU39" s="822"/>
      <c r="CVV39" s="822"/>
      <c r="CVW39" s="822"/>
      <c r="CVX39" s="822"/>
      <c r="CVY39" s="822"/>
      <c r="CVZ39" s="822"/>
      <c r="CWA39" s="822"/>
      <c r="CWB39" s="822"/>
      <c r="CWC39" s="822"/>
      <c r="CWD39" s="822"/>
      <c r="CWE39" s="822"/>
      <c r="CWF39" s="822"/>
      <c r="CWG39" s="822"/>
      <c r="CWH39" s="822"/>
      <c r="CWI39" s="822"/>
      <c r="CWJ39" s="822"/>
      <c r="CWK39" s="822"/>
      <c r="CWL39" s="822"/>
      <c r="CWM39" s="822"/>
      <c r="CWN39" s="822"/>
      <c r="CWO39" s="822"/>
      <c r="CWP39" s="822"/>
      <c r="CWQ39" s="822"/>
      <c r="CWR39" s="822"/>
      <c r="CWS39" s="822"/>
      <c r="CWT39" s="822"/>
      <c r="CWU39" s="822"/>
      <c r="CWV39" s="822"/>
      <c r="CWW39" s="822"/>
      <c r="CWX39" s="822"/>
      <c r="CWY39" s="822"/>
      <c r="CWZ39" s="822"/>
      <c r="CXA39" s="822"/>
      <c r="CXB39" s="822"/>
      <c r="CXC39" s="822"/>
      <c r="CXD39" s="822"/>
      <c r="CXE39" s="822"/>
      <c r="CXF39" s="822"/>
      <c r="CXG39" s="822"/>
      <c r="CXH39" s="822"/>
      <c r="CXI39" s="822"/>
      <c r="CXJ39" s="822"/>
      <c r="CXK39" s="822"/>
      <c r="CXL39" s="822"/>
      <c r="CXM39" s="822"/>
      <c r="CXN39" s="822"/>
      <c r="CXO39" s="822"/>
      <c r="CXP39" s="822"/>
      <c r="CXQ39" s="822"/>
      <c r="CXR39" s="822"/>
      <c r="CXS39" s="822"/>
      <c r="CXT39" s="822"/>
      <c r="CXU39" s="822"/>
      <c r="CXV39" s="822"/>
      <c r="CXW39" s="822"/>
      <c r="CXX39" s="822"/>
      <c r="CXY39" s="822"/>
      <c r="CXZ39" s="822"/>
      <c r="CYA39" s="822"/>
      <c r="CYB39" s="822"/>
      <c r="CYC39" s="822"/>
      <c r="CYD39" s="822"/>
      <c r="CYE39" s="822"/>
      <c r="CYF39" s="822"/>
      <c r="CYG39" s="822"/>
      <c r="CYH39" s="822"/>
      <c r="CYI39" s="822"/>
      <c r="CYJ39" s="822"/>
      <c r="CYK39" s="822"/>
      <c r="CYL39" s="822"/>
      <c r="CYM39" s="822"/>
      <c r="CYN39" s="822"/>
      <c r="CYO39" s="822"/>
      <c r="CYP39" s="822"/>
      <c r="CYQ39" s="822"/>
      <c r="CYR39" s="822"/>
      <c r="CYS39" s="822"/>
      <c r="CYT39" s="822"/>
      <c r="CYU39" s="822"/>
      <c r="CYV39" s="822"/>
      <c r="CYW39" s="822"/>
      <c r="CYX39" s="822"/>
      <c r="CYY39" s="822"/>
      <c r="CYZ39" s="822"/>
      <c r="CZA39" s="822"/>
      <c r="CZB39" s="822"/>
      <c r="CZC39" s="822"/>
      <c r="CZD39" s="822"/>
      <c r="CZE39" s="822"/>
      <c r="CZF39" s="822"/>
      <c r="CZG39" s="822"/>
      <c r="CZH39" s="822"/>
      <c r="CZI39" s="822"/>
      <c r="CZJ39" s="822"/>
      <c r="CZK39" s="822"/>
      <c r="CZL39" s="822"/>
      <c r="CZM39" s="822"/>
      <c r="CZN39" s="822"/>
      <c r="CZO39" s="822"/>
      <c r="CZP39" s="822"/>
      <c r="CZQ39" s="822"/>
      <c r="CZR39" s="822"/>
      <c r="CZS39" s="822"/>
      <c r="CZT39" s="822"/>
      <c r="CZU39" s="822"/>
      <c r="CZV39" s="822"/>
      <c r="CZW39" s="822"/>
      <c r="CZX39" s="822"/>
      <c r="CZY39" s="822"/>
      <c r="CZZ39" s="822"/>
      <c r="DAA39" s="822"/>
      <c r="DAB39" s="822"/>
      <c r="DAC39" s="822"/>
      <c r="DAD39" s="822"/>
      <c r="DAE39" s="822"/>
      <c r="DAF39" s="822"/>
      <c r="DAG39" s="822"/>
      <c r="DAH39" s="822"/>
      <c r="DAI39" s="822"/>
      <c r="DAJ39" s="822"/>
      <c r="DAK39" s="822"/>
      <c r="DAL39" s="822"/>
      <c r="DAM39" s="822"/>
      <c r="DAN39" s="822"/>
      <c r="DAO39" s="822"/>
      <c r="DAP39" s="822"/>
      <c r="DAQ39" s="822"/>
      <c r="DAR39" s="822"/>
      <c r="DAS39" s="822"/>
      <c r="DAT39" s="822"/>
      <c r="DAU39" s="822"/>
      <c r="DAV39" s="822"/>
      <c r="DAW39" s="822"/>
      <c r="DAX39" s="822"/>
      <c r="DAY39" s="822"/>
      <c r="DAZ39" s="822"/>
      <c r="DBA39" s="822"/>
      <c r="DBB39" s="822"/>
      <c r="DBC39" s="822"/>
      <c r="DBD39" s="822"/>
      <c r="DBE39" s="822"/>
      <c r="DBF39" s="822"/>
      <c r="DBG39" s="822"/>
      <c r="DBH39" s="822"/>
      <c r="DBI39" s="822"/>
      <c r="DBJ39" s="822"/>
      <c r="DBK39" s="822"/>
      <c r="DBL39" s="822"/>
      <c r="DBM39" s="822"/>
      <c r="DBN39" s="822"/>
      <c r="DBO39" s="822"/>
      <c r="DBP39" s="822"/>
      <c r="DBQ39" s="822"/>
      <c r="DBR39" s="822"/>
      <c r="DBS39" s="822"/>
      <c r="DBT39" s="822"/>
      <c r="DBU39" s="822"/>
      <c r="DBV39" s="822"/>
      <c r="DBW39" s="822"/>
      <c r="DBX39" s="822"/>
      <c r="DBY39" s="822"/>
      <c r="DBZ39" s="822"/>
      <c r="DCA39" s="822"/>
      <c r="DCB39" s="822"/>
      <c r="DCC39" s="822"/>
      <c r="DCD39" s="822"/>
      <c r="DCE39" s="822"/>
      <c r="DCF39" s="822"/>
      <c r="DCG39" s="822"/>
      <c r="DCH39" s="822"/>
      <c r="DCI39" s="822"/>
      <c r="DCJ39" s="822"/>
      <c r="DCK39" s="822"/>
      <c r="DCL39" s="822"/>
      <c r="DCM39" s="822"/>
      <c r="DCN39" s="822"/>
      <c r="DCO39" s="822"/>
      <c r="DCP39" s="822"/>
      <c r="DCQ39" s="822"/>
      <c r="DCR39" s="822"/>
      <c r="DCS39" s="822"/>
      <c r="DCT39" s="822"/>
      <c r="DCU39" s="822"/>
      <c r="DCV39" s="822"/>
      <c r="DCW39" s="822"/>
      <c r="DCX39" s="822"/>
      <c r="DCY39" s="822"/>
      <c r="DCZ39" s="822"/>
      <c r="DDA39" s="822"/>
      <c r="DDB39" s="822"/>
      <c r="DDC39" s="822"/>
      <c r="DDD39" s="822"/>
      <c r="DDE39" s="822"/>
      <c r="DDF39" s="822"/>
      <c r="DDG39" s="822"/>
      <c r="DDH39" s="822"/>
      <c r="DDI39" s="822"/>
      <c r="DDJ39" s="822"/>
      <c r="DDK39" s="822"/>
      <c r="DDL39" s="822"/>
      <c r="DDM39" s="822"/>
      <c r="DDN39" s="822"/>
      <c r="DDO39" s="822"/>
      <c r="DDP39" s="822"/>
      <c r="DDQ39" s="822"/>
      <c r="DDR39" s="822"/>
      <c r="DDS39" s="822"/>
      <c r="DDT39" s="822"/>
      <c r="DDU39" s="822"/>
      <c r="DDV39" s="822"/>
      <c r="DDW39" s="822"/>
      <c r="DDX39" s="822"/>
      <c r="DDY39" s="822"/>
      <c r="DDZ39" s="822"/>
      <c r="DEA39" s="822"/>
      <c r="DEB39" s="822"/>
      <c r="DEC39" s="822"/>
      <c r="DED39" s="822"/>
      <c r="DEE39" s="822"/>
      <c r="DEF39" s="822"/>
      <c r="DEG39" s="822"/>
      <c r="DEH39" s="822"/>
      <c r="DEI39" s="822"/>
      <c r="DEJ39" s="822"/>
      <c r="DEK39" s="822"/>
      <c r="DEL39" s="822"/>
      <c r="DEM39" s="822"/>
      <c r="DEN39" s="822"/>
      <c r="DEO39" s="822"/>
      <c r="DEP39" s="822"/>
      <c r="DEQ39" s="822"/>
      <c r="DER39" s="822"/>
      <c r="DES39" s="822"/>
      <c r="DET39" s="822"/>
      <c r="DEU39" s="822"/>
      <c r="DEV39" s="822"/>
      <c r="DEW39" s="822"/>
      <c r="DEX39" s="822"/>
      <c r="DEY39" s="822"/>
      <c r="DEZ39" s="822"/>
      <c r="DFA39" s="822"/>
      <c r="DFB39" s="822"/>
      <c r="DFC39" s="822"/>
      <c r="DFD39" s="822"/>
      <c r="DFE39" s="822"/>
      <c r="DFF39" s="822"/>
      <c r="DFG39" s="822"/>
      <c r="DFH39" s="822"/>
      <c r="DFI39" s="822"/>
      <c r="DFJ39" s="822"/>
      <c r="DFK39" s="822"/>
      <c r="DFL39" s="822"/>
      <c r="DFM39" s="822"/>
      <c r="DFN39" s="822"/>
      <c r="DFO39" s="822"/>
      <c r="DFP39" s="822"/>
      <c r="DFQ39" s="822"/>
      <c r="DFR39" s="822"/>
      <c r="DFS39" s="822"/>
      <c r="DFT39" s="822"/>
      <c r="DFU39" s="822"/>
      <c r="DFV39" s="822"/>
      <c r="DFW39" s="822"/>
      <c r="DFX39" s="822"/>
      <c r="DFY39" s="822"/>
      <c r="DFZ39" s="822"/>
      <c r="DGA39" s="822"/>
      <c r="DGB39" s="822"/>
      <c r="DGC39" s="822"/>
      <c r="DGD39" s="822"/>
      <c r="DGE39" s="822"/>
      <c r="DGF39" s="822"/>
      <c r="DGG39" s="822"/>
      <c r="DGH39" s="822"/>
      <c r="DGI39" s="822"/>
      <c r="DGJ39" s="822"/>
      <c r="DGK39" s="822"/>
      <c r="DGL39" s="822"/>
      <c r="DGM39" s="822"/>
      <c r="DGN39" s="822"/>
      <c r="DGO39" s="822"/>
      <c r="DGP39" s="822"/>
      <c r="DGQ39" s="822"/>
      <c r="DGR39" s="822"/>
      <c r="DGS39" s="822"/>
      <c r="DGT39" s="822"/>
      <c r="DGU39" s="822"/>
      <c r="DGV39" s="822"/>
      <c r="DGW39" s="822"/>
      <c r="DGX39" s="822"/>
      <c r="DGY39" s="822"/>
      <c r="DGZ39" s="822"/>
      <c r="DHA39" s="822"/>
      <c r="DHB39" s="822"/>
      <c r="DHC39" s="822"/>
      <c r="DHD39" s="822"/>
      <c r="DHE39" s="822"/>
      <c r="DHF39" s="822"/>
      <c r="DHG39" s="822"/>
      <c r="DHH39" s="822"/>
      <c r="DHI39" s="822"/>
      <c r="DHJ39" s="822"/>
      <c r="DHK39" s="822"/>
      <c r="DHL39" s="822"/>
      <c r="DHM39" s="822"/>
      <c r="DHN39" s="822"/>
      <c r="DHO39" s="822"/>
      <c r="DHP39" s="822"/>
      <c r="DHQ39" s="822"/>
      <c r="DHR39" s="822"/>
      <c r="DHS39" s="822"/>
      <c r="DHT39" s="822"/>
      <c r="DHU39" s="822"/>
      <c r="DHV39" s="822"/>
      <c r="DHW39" s="822"/>
      <c r="DHX39" s="822"/>
      <c r="DHY39" s="822"/>
      <c r="DHZ39" s="822"/>
      <c r="DIA39" s="822"/>
      <c r="DIB39" s="822"/>
      <c r="DIC39" s="822"/>
      <c r="DID39" s="822"/>
      <c r="DIE39" s="822"/>
      <c r="DIF39" s="822"/>
      <c r="DIG39" s="822"/>
      <c r="DIH39" s="822"/>
      <c r="DII39" s="822"/>
      <c r="DIJ39" s="822"/>
      <c r="DIK39" s="822"/>
      <c r="DIL39" s="822"/>
      <c r="DIM39" s="822"/>
      <c r="DIN39" s="822"/>
      <c r="DIO39" s="822"/>
      <c r="DIP39" s="822"/>
      <c r="DIQ39" s="822"/>
      <c r="DIR39" s="822"/>
      <c r="DIS39" s="822"/>
      <c r="DIT39" s="822"/>
      <c r="DIU39" s="822"/>
      <c r="DIV39" s="822"/>
      <c r="DIW39" s="822"/>
      <c r="DIX39" s="822"/>
      <c r="DIY39" s="822"/>
      <c r="DIZ39" s="822"/>
      <c r="DJA39" s="822"/>
      <c r="DJB39" s="822"/>
      <c r="DJC39" s="822"/>
      <c r="DJD39" s="822"/>
      <c r="DJE39" s="822"/>
      <c r="DJF39" s="822"/>
      <c r="DJG39" s="822"/>
      <c r="DJH39" s="822"/>
      <c r="DJI39" s="822"/>
      <c r="DJJ39" s="822"/>
      <c r="DJK39" s="822"/>
      <c r="DJL39" s="822"/>
      <c r="DJM39" s="822"/>
      <c r="DJN39" s="822"/>
      <c r="DJO39" s="822"/>
      <c r="DJP39" s="822"/>
      <c r="DJQ39" s="822"/>
      <c r="DJR39" s="822"/>
      <c r="DJS39" s="822"/>
      <c r="DJT39" s="822"/>
      <c r="DJU39" s="822"/>
      <c r="DJV39" s="822"/>
      <c r="DJW39" s="822"/>
      <c r="DJX39" s="822"/>
      <c r="DJY39" s="822"/>
      <c r="DJZ39" s="822"/>
      <c r="DKA39" s="822"/>
      <c r="DKB39" s="822"/>
      <c r="DKC39" s="822"/>
      <c r="DKD39" s="822"/>
      <c r="DKE39" s="822"/>
      <c r="DKF39" s="822"/>
      <c r="DKG39" s="822"/>
      <c r="DKH39" s="822"/>
      <c r="DKI39" s="822"/>
      <c r="DKJ39" s="822"/>
      <c r="DKK39" s="822"/>
      <c r="DKL39" s="822"/>
      <c r="DKM39" s="822"/>
      <c r="DKN39" s="822"/>
      <c r="DKO39" s="822"/>
      <c r="DKP39" s="822"/>
      <c r="DKQ39" s="822"/>
      <c r="DKR39" s="822"/>
      <c r="DKS39" s="822"/>
      <c r="DKT39" s="822"/>
      <c r="DKU39" s="822"/>
      <c r="DKV39" s="822"/>
      <c r="DKW39" s="822"/>
      <c r="DKX39" s="822"/>
      <c r="DKY39" s="822"/>
      <c r="DKZ39" s="822"/>
      <c r="DLA39" s="822"/>
      <c r="DLB39" s="822"/>
      <c r="DLC39" s="822"/>
      <c r="DLD39" s="822"/>
      <c r="DLE39" s="822"/>
      <c r="DLF39" s="822"/>
      <c r="DLG39" s="822"/>
      <c r="DLH39" s="822"/>
      <c r="DLI39" s="822"/>
      <c r="DLJ39" s="822"/>
      <c r="DLK39" s="822"/>
      <c r="DLL39" s="822"/>
      <c r="DLM39" s="822"/>
      <c r="DLN39" s="822"/>
      <c r="DLO39" s="822"/>
      <c r="DLP39" s="822"/>
      <c r="DLQ39" s="822"/>
      <c r="DLR39" s="822"/>
      <c r="DLS39" s="822"/>
      <c r="DLT39" s="822"/>
      <c r="DLU39" s="822"/>
      <c r="DLV39" s="822"/>
      <c r="DLW39" s="822"/>
      <c r="DLX39" s="822"/>
      <c r="DLY39" s="822"/>
      <c r="DLZ39" s="822"/>
      <c r="DMA39" s="822"/>
      <c r="DMB39" s="822"/>
      <c r="DMC39" s="822"/>
      <c r="DMD39" s="822"/>
      <c r="DME39" s="822"/>
      <c r="DMF39" s="822"/>
      <c r="DMG39" s="822"/>
      <c r="DMH39" s="822"/>
      <c r="DMI39" s="822"/>
      <c r="DMJ39" s="822"/>
      <c r="DMK39" s="822"/>
      <c r="DML39" s="822"/>
      <c r="DMM39" s="822"/>
      <c r="DMN39" s="822"/>
      <c r="DMO39" s="822"/>
      <c r="DMP39" s="822"/>
      <c r="DMQ39" s="822"/>
      <c r="DMR39" s="822"/>
      <c r="DMS39" s="822"/>
      <c r="DMT39" s="822"/>
      <c r="DMU39" s="822"/>
      <c r="DMV39" s="822"/>
      <c r="DMW39" s="822"/>
      <c r="DMX39" s="822"/>
      <c r="DMY39" s="822"/>
      <c r="DMZ39" s="822"/>
      <c r="DNA39" s="822"/>
      <c r="DNB39" s="822"/>
      <c r="DNC39" s="822"/>
      <c r="DND39" s="822"/>
      <c r="DNE39" s="822"/>
      <c r="DNF39" s="822"/>
      <c r="DNG39" s="822"/>
      <c r="DNH39" s="822"/>
      <c r="DNI39" s="822"/>
      <c r="DNJ39" s="822"/>
      <c r="DNK39" s="822"/>
      <c r="DNL39" s="822"/>
      <c r="DNM39" s="822"/>
      <c r="DNN39" s="822"/>
      <c r="DNO39" s="822"/>
      <c r="DNP39" s="822"/>
      <c r="DNQ39" s="822"/>
      <c r="DNR39" s="822"/>
      <c r="DNS39" s="822"/>
      <c r="DNT39" s="822"/>
      <c r="DNU39" s="822"/>
      <c r="DNV39" s="822"/>
      <c r="DNW39" s="822"/>
      <c r="DNX39" s="822"/>
      <c r="DNY39" s="822"/>
      <c r="DNZ39" s="822"/>
      <c r="DOA39" s="822"/>
      <c r="DOB39" s="822"/>
      <c r="DOC39" s="822"/>
      <c r="DOD39" s="822"/>
      <c r="DOE39" s="822"/>
      <c r="DOF39" s="822"/>
      <c r="DOG39" s="822"/>
      <c r="DOH39" s="822"/>
      <c r="DOI39" s="822"/>
      <c r="DOJ39" s="822"/>
      <c r="DOK39" s="822"/>
      <c r="DOL39" s="822"/>
      <c r="DOM39" s="822"/>
      <c r="DON39" s="822"/>
      <c r="DOO39" s="822"/>
      <c r="DOP39" s="822"/>
      <c r="DOQ39" s="822"/>
      <c r="DOR39" s="822"/>
      <c r="DOS39" s="822"/>
      <c r="DOT39" s="822"/>
      <c r="DOU39" s="822"/>
      <c r="DOV39" s="822"/>
      <c r="DOW39" s="822"/>
      <c r="DOX39" s="822"/>
      <c r="DOY39" s="822"/>
      <c r="DOZ39" s="822"/>
      <c r="DPA39" s="822"/>
      <c r="DPB39" s="822"/>
      <c r="DPC39" s="822"/>
      <c r="DPD39" s="822"/>
      <c r="DPE39" s="822"/>
      <c r="DPF39" s="822"/>
      <c r="DPG39" s="822"/>
      <c r="DPH39" s="822"/>
      <c r="DPI39" s="822"/>
      <c r="DPJ39" s="822"/>
      <c r="DPK39" s="822"/>
      <c r="DPL39" s="822"/>
      <c r="DPM39" s="822"/>
      <c r="DPN39" s="822"/>
      <c r="DPO39" s="822"/>
      <c r="DPP39" s="822"/>
      <c r="DPQ39" s="822"/>
      <c r="DPR39" s="822"/>
      <c r="DPS39" s="822"/>
      <c r="DPT39" s="822"/>
      <c r="DPU39" s="822"/>
      <c r="DPV39" s="822"/>
      <c r="DPW39" s="822"/>
      <c r="DPX39" s="822"/>
      <c r="DPY39" s="822"/>
      <c r="DPZ39" s="822"/>
      <c r="DQA39" s="822"/>
      <c r="DQB39" s="822"/>
      <c r="DQC39" s="822"/>
      <c r="DQD39" s="822"/>
      <c r="DQE39" s="822"/>
      <c r="DQF39" s="822"/>
      <c r="DQG39" s="822"/>
      <c r="DQH39" s="822"/>
      <c r="DQI39" s="822"/>
      <c r="DQJ39" s="822"/>
      <c r="DQK39" s="822"/>
      <c r="DQL39" s="822"/>
      <c r="DQM39" s="822"/>
      <c r="DQN39" s="822"/>
      <c r="DQO39" s="822"/>
      <c r="DQP39" s="822"/>
      <c r="DQQ39" s="822"/>
      <c r="DQR39" s="822"/>
      <c r="DQS39" s="822"/>
      <c r="DQT39" s="822"/>
      <c r="DQU39" s="822"/>
      <c r="DQV39" s="822"/>
      <c r="DQW39" s="822"/>
      <c r="DQX39" s="822"/>
      <c r="DQY39" s="822"/>
      <c r="DQZ39" s="822"/>
      <c r="DRA39" s="822"/>
      <c r="DRB39" s="822"/>
      <c r="DRC39" s="822"/>
      <c r="DRD39" s="822"/>
      <c r="DRE39" s="822"/>
      <c r="DRF39" s="822"/>
      <c r="DRG39" s="822"/>
      <c r="DRH39" s="822"/>
      <c r="DRI39" s="822"/>
      <c r="DRJ39" s="822"/>
      <c r="DRK39" s="822"/>
      <c r="DRL39" s="822"/>
      <c r="DRM39" s="822"/>
      <c r="DRN39" s="822"/>
      <c r="DRO39" s="822"/>
      <c r="DRP39" s="822"/>
      <c r="DRQ39" s="822"/>
      <c r="DRR39" s="822"/>
      <c r="DRS39" s="822"/>
      <c r="DRT39" s="822"/>
      <c r="DRU39" s="822"/>
      <c r="DRV39" s="822"/>
      <c r="DRW39" s="822"/>
      <c r="DRX39" s="822"/>
      <c r="DRY39" s="822"/>
      <c r="DRZ39" s="822"/>
      <c r="DSA39" s="822"/>
      <c r="DSB39" s="822"/>
      <c r="DSC39" s="822"/>
      <c r="DSD39" s="822"/>
      <c r="DSE39" s="822"/>
      <c r="DSF39" s="822"/>
      <c r="DSG39" s="822"/>
      <c r="DSH39" s="822"/>
      <c r="DSI39" s="822"/>
      <c r="DSJ39" s="822"/>
      <c r="DSK39" s="822"/>
      <c r="DSL39" s="822"/>
      <c r="DSM39" s="822"/>
      <c r="DSN39" s="822"/>
      <c r="DSO39" s="822"/>
      <c r="DSP39" s="822"/>
      <c r="DSQ39" s="822"/>
      <c r="DSR39" s="822"/>
      <c r="DSS39" s="822"/>
      <c r="DST39" s="822"/>
      <c r="DSU39" s="822"/>
      <c r="DSV39" s="822"/>
      <c r="DSW39" s="822"/>
      <c r="DSX39" s="822"/>
      <c r="DSY39" s="822"/>
      <c r="DSZ39" s="822"/>
      <c r="DTA39" s="822"/>
      <c r="DTB39" s="822"/>
      <c r="DTC39" s="822"/>
      <c r="DTD39" s="822"/>
      <c r="DTE39" s="822"/>
      <c r="DTF39" s="822"/>
      <c r="DTG39" s="822"/>
      <c r="DTH39" s="822"/>
      <c r="DTI39" s="822"/>
      <c r="DTJ39" s="822"/>
      <c r="DTK39" s="822"/>
      <c r="DTL39" s="822"/>
      <c r="DTM39" s="822"/>
      <c r="DTN39" s="822"/>
      <c r="DTO39" s="822"/>
      <c r="DTP39" s="822"/>
      <c r="DTQ39" s="822"/>
      <c r="DTR39" s="822"/>
      <c r="DTS39" s="822"/>
      <c r="DTT39" s="822"/>
      <c r="DTU39" s="822"/>
      <c r="DTV39" s="822"/>
      <c r="DTW39" s="822"/>
      <c r="DTX39" s="822"/>
      <c r="DTY39" s="822"/>
      <c r="DTZ39" s="822"/>
      <c r="DUA39" s="822"/>
      <c r="DUB39" s="822"/>
      <c r="DUC39" s="822"/>
      <c r="DUD39" s="822"/>
      <c r="DUE39" s="822"/>
      <c r="DUF39" s="822"/>
      <c r="DUG39" s="822"/>
      <c r="DUH39" s="822"/>
      <c r="DUI39" s="822"/>
      <c r="DUJ39" s="822"/>
      <c r="DUK39" s="822"/>
      <c r="DUL39" s="822"/>
      <c r="DUM39" s="822"/>
      <c r="DUN39" s="822"/>
      <c r="DUO39" s="822"/>
      <c r="DUP39" s="822"/>
      <c r="DUQ39" s="822"/>
      <c r="DUR39" s="822"/>
      <c r="DUS39" s="822"/>
      <c r="DUT39" s="822"/>
      <c r="DUU39" s="822"/>
      <c r="DUV39" s="822"/>
      <c r="DUW39" s="822"/>
      <c r="DUX39" s="822"/>
      <c r="DUY39" s="822"/>
      <c r="DUZ39" s="822"/>
      <c r="DVA39" s="822"/>
      <c r="DVB39" s="822"/>
      <c r="DVC39" s="822"/>
      <c r="DVD39" s="822"/>
      <c r="DVE39" s="822"/>
      <c r="DVF39" s="822"/>
      <c r="DVG39" s="822"/>
      <c r="DVH39" s="822"/>
      <c r="DVI39" s="822"/>
      <c r="DVJ39" s="822"/>
      <c r="DVK39" s="822"/>
      <c r="DVL39" s="822"/>
      <c r="DVM39" s="822"/>
      <c r="DVN39" s="822"/>
      <c r="DVO39" s="822"/>
      <c r="DVP39" s="822"/>
      <c r="DVQ39" s="822"/>
      <c r="DVR39" s="822"/>
      <c r="DVS39" s="822"/>
      <c r="DVT39" s="822"/>
      <c r="DVU39" s="822"/>
      <c r="DVV39" s="822"/>
      <c r="DVW39" s="822"/>
      <c r="DVX39" s="822"/>
      <c r="DVY39" s="822"/>
      <c r="DVZ39" s="822"/>
      <c r="DWA39" s="822"/>
      <c r="DWB39" s="822"/>
      <c r="DWC39" s="822"/>
      <c r="DWD39" s="822"/>
      <c r="DWE39" s="822"/>
      <c r="DWF39" s="822"/>
      <c r="DWG39" s="822"/>
      <c r="DWH39" s="822"/>
      <c r="DWI39" s="822"/>
      <c r="DWJ39" s="822"/>
      <c r="DWK39" s="822"/>
      <c r="DWL39" s="822"/>
      <c r="DWM39" s="822"/>
      <c r="DWN39" s="822"/>
      <c r="DWO39" s="822"/>
      <c r="DWP39" s="822"/>
      <c r="DWQ39" s="822"/>
      <c r="DWR39" s="822"/>
      <c r="DWS39" s="822"/>
      <c r="DWT39" s="822"/>
      <c r="DWU39" s="822"/>
      <c r="DWV39" s="822"/>
      <c r="DWW39" s="822"/>
      <c r="DWX39" s="822"/>
      <c r="DWY39" s="822"/>
      <c r="DWZ39" s="822"/>
      <c r="DXA39" s="822"/>
      <c r="DXB39" s="822"/>
      <c r="DXC39" s="822"/>
      <c r="DXD39" s="822"/>
      <c r="DXE39" s="822"/>
      <c r="DXF39" s="822"/>
      <c r="DXG39" s="822"/>
      <c r="DXH39" s="822"/>
      <c r="DXI39" s="822"/>
      <c r="DXJ39" s="822"/>
      <c r="DXK39" s="822"/>
      <c r="DXL39" s="822"/>
      <c r="DXM39" s="822"/>
      <c r="DXN39" s="822"/>
      <c r="DXO39" s="822"/>
      <c r="DXP39" s="822"/>
      <c r="DXQ39" s="822"/>
      <c r="DXR39" s="822"/>
      <c r="DXS39" s="822"/>
      <c r="DXT39" s="822"/>
      <c r="DXU39" s="822"/>
      <c r="DXV39" s="822"/>
      <c r="DXW39" s="822"/>
      <c r="DXX39" s="822"/>
      <c r="DXY39" s="822"/>
      <c r="DXZ39" s="822"/>
      <c r="DYA39" s="822"/>
      <c r="DYB39" s="822"/>
      <c r="DYC39" s="822"/>
      <c r="DYD39" s="822"/>
      <c r="DYE39" s="822"/>
      <c r="DYF39" s="822"/>
      <c r="DYG39" s="822"/>
      <c r="DYH39" s="822"/>
      <c r="DYI39" s="822"/>
      <c r="DYJ39" s="822"/>
      <c r="DYK39" s="822"/>
      <c r="DYL39" s="822"/>
      <c r="DYM39" s="822"/>
      <c r="DYN39" s="822"/>
      <c r="DYO39" s="822"/>
      <c r="DYP39" s="822"/>
      <c r="DYQ39" s="822"/>
      <c r="DYR39" s="822"/>
      <c r="DYS39" s="822"/>
      <c r="DYT39" s="822"/>
      <c r="DYU39" s="822"/>
      <c r="DYV39" s="822"/>
      <c r="DYW39" s="822"/>
      <c r="DYX39" s="822"/>
      <c r="DYY39" s="822"/>
      <c r="DYZ39" s="822"/>
      <c r="DZA39" s="822"/>
      <c r="DZB39" s="822"/>
      <c r="DZC39" s="822"/>
      <c r="DZD39" s="822"/>
      <c r="DZE39" s="822"/>
      <c r="DZF39" s="822"/>
      <c r="DZG39" s="822"/>
      <c r="DZH39" s="822"/>
      <c r="DZI39" s="822"/>
      <c r="DZJ39" s="822"/>
      <c r="DZK39" s="822"/>
      <c r="DZL39" s="822"/>
      <c r="DZM39" s="822"/>
      <c r="DZN39" s="822"/>
      <c r="DZO39" s="822"/>
      <c r="DZP39" s="822"/>
      <c r="DZQ39" s="822"/>
      <c r="DZR39" s="822"/>
      <c r="DZS39" s="822"/>
      <c r="DZT39" s="822"/>
      <c r="DZU39" s="822"/>
      <c r="DZV39" s="822"/>
      <c r="DZW39" s="822"/>
      <c r="DZX39" s="822"/>
      <c r="DZY39" s="822"/>
      <c r="DZZ39" s="822"/>
      <c r="EAA39" s="822"/>
      <c r="EAB39" s="822"/>
      <c r="EAC39" s="822"/>
      <c r="EAD39" s="822"/>
      <c r="EAE39" s="822"/>
      <c r="EAF39" s="822"/>
      <c r="EAG39" s="822"/>
      <c r="EAH39" s="822"/>
      <c r="EAI39" s="822"/>
      <c r="EAJ39" s="822"/>
      <c r="EAK39" s="822"/>
      <c r="EAL39" s="822"/>
      <c r="EAM39" s="822"/>
      <c r="EAN39" s="822"/>
      <c r="EAO39" s="822"/>
      <c r="EAP39" s="822"/>
      <c r="EAQ39" s="822"/>
      <c r="EAR39" s="822"/>
      <c r="EAS39" s="822"/>
      <c r="EAT39" s="822"/>
      <c r="EAU39" s="822"/>
      <c r="EAV39" s="822"/>
      <c r="EAW39" s="822"/>
      <c r="EAX39" s="822"/>
      <c r="EAY39" s="822"/>
      <c r="EAZ39" s="822"/>
      <c r="EBA39" s="822"/>
      <c r="EBB39" s="822"/>
      <c r="EBC39" s="822"/>
      <c r="EBD39" s="822"/>
      <c r="EBE39" s="822"/>
      <c r="EBF39" s="822"/>
      <c r="EBG39" s="822"/>
      <c r="EBH39" s="822"/>
      <c r="EBI39" s="822"/>
      <c r="EBJ39" s="822"/>
      <c r="EBK39" s="822"/>
      <c r="EBL39" s="822"/>
      <c r="EBM39" s="822"/>
      <c r="EBN39" s="822"/>
      <c r="EBO39" s="822"/>
      <c r="EBP39" s="822"/>
      <c r="EBQ39" s="822"/>
      <c r="EBR39" s="822"/>
      <c r="EBS39" s="822"/>
      <c r="EBT39" s="822"/>
      <c r="EBU39" s="822"/>
      <c r="EBV39" s="822"/>
      <c r="EBW39" s="822"/>
      <c r="EBX39" s="822"/>
      <c r="EBY39" s="822"/>
      <c r="EBZ39" s="822"/>
      <c r="ECA39" s="822"/>
      <c r="ECB39" s="822"/>
      <c r="ECC39" s="822"/>
      <c r="ECD39" s="822"/>
      <c r="ECE39" s="822"/>
      <c r="ECF39" s="822"/>
      <c r="ECG39" s="822"/>
      <c r="ECH39" s="822"/>
      <c r="ECI39" s="822"/>
      <c r="ECJ39" s="822"/>
      <c r="ECK39" s="822"/>
      <c r="ECL39" s="822"/>
      <c r="ECM39" s="822"/>
      <c r="ECN39" s="822"/>
      <c r="ECO39" s="822"/>
      <c r="ECP39" s="822"/>
      <c r="ECQ39" s="822"/>
      <c r="ECR39" s="822"/>
      <c r="ECS39" s="822"/>
      <c r="ECT39" s="822"/>
      <c r="ECU39" s="822"/>
      <c r="ECV39" s="822"/>
      <c r="ECW39" s="822"/>
      <c r="ECX39" s="822"/>
      <c r="ECY39" s="822"/>
      <c r="ECZ39" s="822"/>
      <c r="EDA39" s="822"/>
      <c r="EDB39" s="822"/>
      <c r="EDC39" s="822"/>
      <c r="EDD39" s="822"/>
      <c r="EDE39" s="822"/>
      <c r="EDF39" s="822"/>
      <c r="EDG39" s="822"/>
      <c r="EDH39" s="822"/>
      <c r="EDI39" s="822"/>
      <c r="EDJ39" s="822"/>
      <c r="EDK39" s="822"/>
      <c r="EDL39" s="822"/>
      <c r="EDM39" s="822"/>
      <c r="EDN39" s="822"/>
      <c r="EDO39" s="822"/>
      <c r="EDP39" s="822"/>
      <c r="EDQ39" s="822"/>
      <c r="EDR39" s="822"/>
      <c r="EDS39" s="822"/>
      <c r="EDT39" s="822"/>
      <c r="EDU39" s="822"/>
      <c r="EDV39" s="822"/>
      <c r="EDW39" s="822"/>
      <c r="EDX39" s="822"/>
      <c r="EDY39" s="822"/>
      <c r="EDZ39" s="822"/>
      <c r="EEA39" s="822"/>
      <c r="EEB39" s="822"/>
      <c r="EEC39" s="822"/>
      <c r="EED39" s="822"/>
      <c r="EEE39" s="822"/>
      <c r="EEF39" s="822"/>
      <c r="EEG39" s="822"/>
      <c r="EEH39" s="822"/>
      <c r="EEI39" s="822"/>
      <c r="EEJ39" s="822"/>
      <c r="EEK39" s="822"/>
      <c r="EEL39" s="822"/>
      <c r="EEM39" s="822"/>
      <c r="EEN39" s="822"/>
      <c r="EEO39" s="822"/>
      <c r="EEP39" s="822"/>
      <c r="EEQ39" s="822"/>
      <c r="EER39" s="822"/>
      <c r="EES39" s="822"/>
      <c r="EET39" s="822"/>
      <c r="EEU39" s="822"/>
      <c r="EEV39" s="822"/>
      <c r="EEW39" s="822"/>
      <c r="EEX39" s="822"/>
      <c r="EEY39" s="822"/>
      <c r="EEZ39" s="822"/>
      <c r="EFA39" s="822"/>
      <c r="EFB39" s="822"/>
      <c r="EFC39" s="822"/>
      <c r="EFD39" s="822"/>
      <c r="EFE39" s="822"/>
      <c r="EFF39" s="822"/>
      <c r="EFG39" s="822"/>
      <c r="EFH39" s="822"/>
      <c r="EFI39" s="822"/>
      <c r="EFJ39" s="822"/>
      <c r="EFK39" s="822"/>
      <c r="EFL39" s="822"/>
      <c r="EFM39" s="822"/>
      <c r="EFN39" s="822"/>
      <c r="EFO39" s="822"/>
      <c r="EFP39" s="822"/>
      <c r="EFQ39" s="822"/>
      <c r="EFR39" s="822"/>
      <c r="EFS39" s="822"/>
      <c r="EFT39" s="822"/>
      <c r="EFU39" s="822"/>
      <c r="EFV39" s="822"/>
      <c r="EFW39" s="822"/>
      <c r="EFX39" s="822"/>
      <c r="EFY39" s="822"/>
      <c r="EFZ39" s="822"/>
      <c r="EGA39" s="822"/>
      <c r="EGB39" s="822"/>
      <c r="EGC39" s="822"/>
      <c r="EGD39" s="822"/>
      <c r="EGE39" s="822"/>
      <c r="EGF39" s="822"/>
      <c r="EGG39" s="822"/>
      <c r="EGH39" s="822"/>
      <c r="EGI39" s="822"/>
      <c r="EGJ39" s="822"/>
      <c r="EGK39" s="822"/>
      <c r="EGL39" s="822"/>
      <c r="EGM39" s="822"/>
      <c r="EGN39" s="822"/>
      <c r="EGO39" s="822"/>
      <c r="EGP39" s="822"/>
      <c r="EGQ39" s="822"/>
      <c r="EGR39" s="822"/>
      <c r="EGS39" s="822"/>
      <c r="EGT39" s="822"/>
      <c r="EGU39" s="822"/>
      <c r="EGV39" s="822"/>
      <c r="EGW39" s="822"/>
      <c r="EGX39" s="822"/>
      <c r="EGY39" s="822"/>
      <c r="EGZ39" s="822"/>
      <c r="EHA39" s="822"/>
      <c r="EHB39" s="822"/>
      <c r="EHC39" s="822"/>
      <c r="EHD39" s="822"/>
      <c r="EHE39" s="822"/>
      <c r="EHF39" s="822"/>
      <c r="EHG39" s="822"/>
      <c r="EHH39" s="822"/>
      <c r="EHI39" s="822"/>
      <c r="EHJ39" s="822"/>
      <c r="EHK39" s="822"/>
      <c r="EHL39" s="822"/>
      <c r="EHM39" s="822"/>
      <c r="EHN39" s="822"/>
      <c r="EHO39" s="822"/>
      <c r="EHP39" s="822"/>
      <c r="EHQ39" s="822"/>
      <c r="EHR39" s="822"/>
      <c r="EHS39" s="822"/>
      <c r="EHT39" s="822"/>
      <c r="EHU39" s="822"/>
      <c r="EHV39" s="822"/>
      <c r="EHW39" s="822"/>
      <c r="EHX39" s="822"/>
      <c r="EHY39" s="822"/>
      <c r="EHZ39" s="822"/>
      <c r="EIA39" s="822"/>
      <c r="EIB39" s="822"/>
      <c r="EIC39" s="822"/>
      <c r="EID39" s="822"/>
      <c r="EIE39" s="822"/>
      <c r="EIF39" s="822"/>
      <c r="EIG39" s="822"/>
      <c r="EIH39" s="822"/>
      <c r="EII39" s="822"/>
      <c r="EIJ39" s="822"/>
      <c r="EIK39" s="822"/>
      <c r="EIL39" s="822"/>
      <c r="EIM39" s="822"/>
      <c r="EIN39" s="822"/>
      <c r="EIO39" s="822"/>
      <c r="EIP39" s="822"/>
      <c r="EIQ39" s="822"/>
      <c r="EIR39" s="822"/>
      <c r="EIS39" s="822"/>
      <c r="EIT39" s="822"/>
      <c r="EIU39" s="822"/>
      <c r="EIV39" s="822"/>
      <c r="EIW39" s="822"/>
      <c r="EIX39" s="822"/>
      <c r="EIY39" s="822"/>
      <c r="EIZ39" s="822"/>
      <c r="EJA39" s="822"/>
      <c r="EJB39" s="822"/>
      <c r="EJC39" s="822"/>
      <c r="EJD39" s="822"/>
      <c r="EJE39" s="822"/>
      <c r="EJF39" s="822"/>
      <c r="EJG39" s="822"/>
      <c r="EJH39" s="822"/>
      <c r="EJI39" s="822"/>
      <c r="EJJ39" s="822"/>
      <c r="EJK39" s="822"/>
      <c r="EJL39" s="822"/>
      <c r="EJM39" s="822"/>
      <c r="EJN39" s="822"/>
      <c r="EJO39" s="822"/>
      <c r="EJP39" s="822"/>
      <c r="EJQ39" s="822"/>
      <c r="EJR39" s="822"/>
      <c r="EJS39" s="822"/>
      <c r="EJT39" s="822"/>
      <c r="EJU39" s="822"/>
      <c r="EJV39" s="822"/>
      <c r="EJW39" s="822"/>
      <c r="EJX39" s="822"/>
      <c r="EJY39" s="822"/>
      <c r="EJZ39" s="822"/>
      <c r="EKA39" s="822"/>
      <c r="EKB39" s="822"/>
      <c r="EKC39" s="822"/>
      <c r="EKD39" s="822"/>
      <c r="EKE39" s="822"/>
      <c r="EKF39" s="822"/>
      <c r="EKG39" s="822"/>
      <c r="EKH39" s="822"/>
      <c r="EKI39" s="822"/>
      <c r="EKJ39" s="822"/>
      <c r="EKK39" s="822"/>
      <c r="EKL39" s="822"/>
      <c r="EKM39" s="822"/>
      <c r="EKN39" s="822"/>
      <c r="EKO39" s="822"/>
      <c r="EKP39" s="822"/>
      <c r="EKQ39" s="822"/>
      <c r="EKR39" s="822"/>
      <c r="EKS39" s="822"/>
      <c r="EKT39" s="822"/>
      <c r="EKU39" s="822"/>
      <c r="EKV39" s="822"/>
      <c r="EKW39" s="822"/>
      <c r="EKX39" s="822"/>
      <c r="EKY39" s="822"/>
      <c r="EKZ39" s="822"/>
      <c r="ELA39" s="822"/>
      <c r="ELB39" s="822"/>
      <c r="ELC39" s="822"/>
      <c r="ELD39" s="822"/>
      <c r="ELE39" s="822"/>
      <c r="ELF39" s="822"/>
      <c r="ELG39" s="822"/>
      <c r="ELH39" s="822"/>
      <c r="ELI39" s="822"/>
      <c r="ELJ39" s="822"/>
      <c r="ELK39" s="822"/>
      <c r="ELL39" s="822"/>
      <c r="ELM39" s="822"/>
      <c r="ELN39" s="822"/>
      <c r="ELO39" s="822"/>
      <c r="ELP39" s="822"/>
      <c r="ELQ39" s="822"/>
      <c r="ELR39" s="822"/>
      <c r="ELS39" s="822"/>
      <c r="ELT39" s="822"/>
      <c r="ELU39" s="822"/>
      <c r="ELV39" s="822"/>
      <c r="ELW39" s="822"/>
      <c r="ELX39" s="822"/>
      <c r="ELY39" s="822"/>
      <c r="ELZ39" s="822"/>
      <c r="EMA39" s="822"/>
      <c r="EMB39" s="822"/>
      <c r="EMC39" s="822"/>
      <c r="EMD39" s="822"/>
      <c r="EME39" s="822"/>
      <c r="EMF39" s="822"/>
      <c r="EMG39" s="822"/>
      <c r="EMH39" s="822"/>
      <c r="EMI39" s="822"/>
      <c r="EMJ39" s="822"/>
      <c r="EMK39" s="822"/>
      <c r="EML39" s="822"/>
      <c r="EMM39" s="822"/>
      <c r="EMN39" s="822"/>
      <c r="EMO39" s="822"/>
      <c r="EMP39" s="822"/>
      <c r="EMQ39" s="822"/>
      <c r="EMR39" s="822"/>
      <c r="EMS39" s="822"/>
      <c r="EMT39" s="822"/>
      <c r="EMU39" s="822"/>
      <c r="EMV39" s="822"/>
      <c r="EMW39" s="822"/>
      <c r="EMX39" s="822"/>
      <c r="EMY39" s="822"/>
      <c r="EMZ39" s="822"/>
      <c r="ENA39" s="822"/>
      <c r="ENB39" s="822"/>
      <c r="ENC39" s="822"/>
      <c r="END39" s="822"/>
      <c r="ENE39" s="822"/>
      <c r="ENF39" s="822"/>
      <c r="ENG39" s="822"/>
      <c r="ENH39" s="822"/>
      <c r="ENI39" s="822"/>
      <c r="ENJ39" s="822"/>
      <c r="ENK39" s="822"/>
      <c r="ENL39" s="822"/>
      <c r="ENM39" s="822"/>
      <c r="ENN39" s="822"/>
      <c r="ENO39" s="822"/>
      <c r="ENP39" s="822"/>
      <c r="ENQ39" s="822"/>
      <c r="ENR39" s="822"/>
      <c r="ENS39" s="822"/>
      <c r="ENT39" s="822"/>
      <c r="ENU39" s="822"/>
      <c r="ENV39" s="822"/>
      <c r="ENW39" s="822"/>
      <c r="ENX39" s="822"/>
      <c r="ENY39" s="822"/>
      <c r="ENZ39" s="822"/>
      <c r="EOA39" s="822"/>
      <c r="EOB39" s="822"/>
      <c r="EOC39" s="822"/>
      <c r="EOD39" s="822"/>
      <c r="EOE39" s="822"/>
      <c r="EOF39" s="822"/>
      <c r="EOG39" s="822"/>
      <c r="EOH39" s="822"/>
      <c r="EOI39" s="822"/>
      <c r="EOJ39" s="822"/>
      <c r="EOK39" s="822"/>
      <c r="EOL39" s="822"/>
      <c r="EOM39" s="822"/>
      <c r="EON39" s="822"/>
      <c r="EOO39" s="822"/>
      <c r="EOP39" s="822"/>
      <c r="EOQ39" s="822"/>
      <c r="EOR39" s="822"/>
      <c r="EOS39" s="822"/>
      <c r="EOT39" s="822"/>
      <c r="EOU39" s="822"/>
      <c r="EOV39" s="822"/>
      <c r="EOW39" s="822"/>
      <c r="EOX39" s="822"/>
      <c r="EOY39" s="822"/>
      <c r="EOZ39" s="822"/>
      <c r="EPA39" s="822"/>
      <c r="EPB39" s="822"/>
      <c r="EPC39" s="822"/>
      <c r="EPD39" s="822"/>
      <c r="EPE39" s="822"/>
      <c r="EPF39" s="822"/>
      <c r="EPG39" s="822"/>
      <c r="EPH39" s="822"/>
      <c r="EPI39" s="822"/>
      <c r="EPJ39" s="822"/>
      <c r="EPK39" s="822"/>
      <c r="EPL39" s="822"/>
      <c r="EPM39" s="822"/>
      <c r="EPN39" s="822"/>
      <c r="EPO39" s="822"/>
      <c r="EPP39" s="822"/>
      <c r="EPQ39" s="822"/>
      <c r="EPR39" s="822"/>
      <c r="EPS39" s="822"/>
      <c r="EPT39" s="822"/>
      <c r="EPU39" s="822"/>
      <c r="EPV39" s="822"/>
      <c r="EPW39" s="822"/>
      <c r="EPX39" s="822"/>
      <c r="EPY39" s="822"/>
      <c r="EPZ39" s="822"/>
      <c r="EQA39" s="822"/>
      <c r="EQB39" s="822"/>
      <c r="EQC39" s="822"/>
      <c r="EQD39" s="822"/>
      <c r="EQE39" s="822"/>
      <c r="EQF39" s="822"/>
      <c r="EQG39" s="822"/>
      <c r="EQH39" s="822"/>
      <c r="EQI39" s="822"/>
      <c r="EQJ39" s="822"/>
      <c r="EQK39" s="822"/>
      <c r="EQL39" s="822"/>
      <c r="EQM39" s="822"/>
      <c r="EQN39" s="822"/>
      <c r="EQO39" s="822"/>
      <c r="EQP39" s="822"/>
      <c r="EQQ39" s="822"/>
      <c r="EQR39" s="822"/>
      <c r="EQS39" s="822"/>
      <c r="EQT39" s="822"/>
      <c r="EQU39" s="822"/>
      <c r="EQV39" s="822"/>
      <c r="EQW39" s="822"/>
      <c r="EQX39" s="822"/>
      <c r="EQY39" s="822"/>
      <c r="EQZ39" s="822"/>
      <c r="ERA39" s="822"/>
      <c r="ERB39" s="822"/>
      <c r="ERC39" s="822"/>
      <c r="ERD39" s="822"/>
      <c r="ERE39" s="822"/>
      <c r="ERF39" s="822"/>
      <c r="ERG39" s="822"/>
      <c r="ERH39" s="822"/>
      <c r="ERI39" s="822"/>
      <c r="ERJ39" s="822"/>
      <c r="ERK39" s="822"/>
      <c r="ERL39" s="822"/>
      <c r="ERM39" s="822"/>
      <c r="ERN39" s="822"/>
      <c r="ERO39" s="822"/>
      <c r="ERP39" s="822"/>
      <c r="ERQ39" s="822"/>
      <c r="ERR39" s="822"/>
      <c r="ERS39" s="822"/>
      <c r="ERT39" s="822"/>
      <c r="ERU39" s="822"/>
      <c r="ERV39" s="822"/>
      <c r="ERW39" s="822"/>
      <c r="ERX39" s="822"/>
      <c r="ERY39" s="822"/>
      <c r="ERZ39" s="822"/>
      <c r="ESA39" s="822"/>
      <c r="ESB39" s="822"/>
      <c r="ESC39" s="822"/>
      <c r="ESD39" s="822"/>
      <c r="ESE39" s="822"/>
      <c r="ESF39" s="822"/>
      <c r="ESG39" s="822"/>
      <c r="ESH39" s="822"/>
      <c r="ESI39" s="822"/>
      <c r="ESJ39" s="822"/>
      <c r="ESK39" s="822"/>
      <c r="ESL39" s="822"/>
      <c r="ESM39" s="822"/>
      <c r="ESN39" s="822"/>
      <c r="ESO39" s="822"/>
      <c r="ESP39" s="822"/>
      <c r="ESQ39" s="822"/>
      <c r="ESR39" s="822"/>
      <c r="ESS39" s="822"/>
      <c r="EST39" s="822"/>
      <c r="ESU39" s="822"/>
      <c r="ESV39" s="822"/>
      <c r="ESW39" s="822"/>
      <c r="ESX39" s="822"/>
      <c r="ESY39" s="822"/>
      <c r="ESZ39" s="822"/>
      <c r="ETA39" s="822"/>
      <c r="ETB39" s="822"/>
      <c r="ETC39" s="822"/>
      <c r="ETD39" s="822"/>
      <c r="ETE39" s="822"/>
      <c r="ETF39" s="822"/>
      <c r="ETG39" s="822"/>
      <c r="ETH39" s="822"/>
      <c r="ETI39" s="822"/>
      <c r="ETJ39" s="822"/>
      <c r="ETK39" s="822"/>
      <c r="ETL39" s="822"/>
      <c r="ETM39" s="822"/>
      <c r="ETN39" s="822"/>
      <c r="ETO39" s="822"/>
      <c r="ETP39" s="822"/>
      <c r="ETQ39" s="822"/>
      <c r="ETR39" s="822"/>
      <c r="ETS39" s="822"/>
      <c r="ETT39" s="822"/>
      <c r="ETU39" s="822"/>
      <c r="ETV39" s="822"/>
      <c r="ETW39" s="822"/>
      <c r="ETX39" s="822"/>
      <c r="ETY39" s="822"/>
      <c r="ETZ39" s="822"/>
      <c r="EUA39" s="822"/>
      <c r="EUB39" s="822"/>
      <c r="EUC39" s="822"/>
      <c r="EUD39" s="822"/>
      <c r="EUE39" s="822"/>
      <c r="EUF39" s="822"/>
      <c r="EUG39" s="822"/>
      <c r="EUH39" s="822"/>
      <c r="EUI39" s="822"/>
      <c r="EUJ39" s="822"/>
      <c r="EUK39" s="822"/>
      <c r="EUL39" s="822"/>
      <c r="EUM39" s="822"/>
      <c r="EUN39" s="822"/>
      <c r="EUO39" s="822"/>
      <c r="EUP39" s="822"/>
      <c r="EUQ39" s="822"/>
      <c r="EUR39" s="822"/>
      <c r="EUS39" s="822"/>
      <c r="EUT39" s="822"/>
      <c r="EUU39" s="822"/>
      <c r="EUV39" s="822"/>
      <c r="EUW39" s="822"/>
      <c r="EUX39" s="822"/>
      <c r="EUY39" s="822"/>
      <c r="EUZ39" s="822"/>
      <c r="EVA39" s="822"/>
      <c r="EVB39" s="822"/>
      <c r="EVC39" s="822"/>
      <c r="EVD39" s="822"/>
      <c r="EVE39" s="822"/>
      <c r="EVF39" s="822"/>
      <c r="EVG39" s="822"/>
      <c r="EVH39" s="822"/>
      <c r="EVI39" s="822"/>
      <c r="EVJ39" s="822"/>
      <c r="EVK39" s="822"/>
      <c r="EVL39" s="822"/>
      <c r="EVM39" s="822"/>
      <c r="EVN39" s="822"/>
      <c r="EVO39" s="822"/>
      <c r="EVP39" s="822"/>
      <c r="EVQ39" s="822"/>
      <c r="EVR39" s="822"/>
      <c r="EVS39" s="822"/>
      <c r="EVT39" s="822"/>
      <c r="EVU39" s="822"/>
      <c r="EVV39" s="822"/>
      <c r="EVW39" s="822"/>
      <c r="EVX39" s="822"/>
      <c r="EVY39" s="822"/>
      <c r="EVZ39" s="822"/>
      <c r="EWA39" s="822"/>
      <c r="EWB39" s="822"/>
      <c r="EWC39" s="822"/>
      <c r="EWD39" s="822"/>
      <c r="EWE39" s="822"/>
      <c r="EWF39" s="822"/>
      <c r="EWG39" s="822"/>
      <c r="EWH39" s="822"/>
      <c r="EWI39" s="822"/>
      <c r="EWJ39" s="822"/>
      <c r="EWK39" s="822"/>
      <c r="EWL39" s="822"/>
      <c r="EWM39" s="822"/>
      <c r="EWN39" s="822"/>
      <c r="EWO39" s="822"/>
      <c r="EWP39" s="822"/>
      <c r="EWQ39" s="822"/>
      <c r="EWR39" s="822"/>
      <c r="EWS39" s="822"/>
      <c r="EWT39" s="822"/>
      <c r="EWU39" s="822"/>
      <c r="EWV39" s="822"/>
      <c r="EWW39" s="822"/>
      <c r="EWX39" s="822"/>
      <c r="EWY39" s="822"/>
      <c r="EWZ39" s="822"/>
      <c r="EXA39" s="822"/>
      <c r="EXB39" s="822"/>
      <c r="EXC39" s="822"/>
      <c r="EXD39" s="822"/>
      <c r="EXE39" s="822"/>
      <c r="EXF39" s="822"/>
      <c r="EXG39" s="822"/>
      <c r="EXH39" s="822"/>
      <c r="EXI39" s="822"/>
      <c r="EXJ39" s="822"/>
      <c r="EXK39" s="822"/>
      <c r="EXL39" s="822"/>
      <c r="EXM39" s="822"/>
      <c r="EXN39" s="822"/>
      <c r="EXO39" s="822"/>
      <c r="EXP39" s="822"/>
      <c r="EXQ39" s="822"/>
      <c r="EXR39" s="822"/>
      <c r="EXS39" s="822"/>
      <c r="EXT39" s="822"/>
      <c r="EXU39" s="822"/>
      <c r="EXV39" s="822"/>
      <c r="EXW39" s="822"/>
      <c r="EXX39" s="822"/>
      <c r="EXY39" s="822"/>
      <c r="EXZ39" s="822"/>
      <c r="EYA39" s="822"/>
      <c r="EYB39" s="822"/>
      <c r="EYC39" s="822"/>
      <c r="EYD39" s="822"/>
      <c r="EYE39" s="822"/>
      <c r="EYF39" s="822"/>
      <c r="EYG39" s="822"/>
      <c r="EYH39" s="822"/>
      <c r="EYI39" s="822"/>
      <c r="EYJ39" s="822"/>
      <c r="EYK39" s="822"/>
      <c r="EYL39" s="822"/>
      <c r="EYM39" s="822"/>
      <c r="EYN39" s="822"/>
      <c r="EYO39" s="822"/>
      <c r="EYP39" s="822"/>
      <c r="EYQ39" s="822"/>
      <c r="EYR39" s="822"/>
      <c r="EYS39" s="822"/>
      <c r="EYT39" s="822"/>
      <c r="EYU39" s="822"/>
      <c r="EYV39" s="822"/>
      <c r="EYW39" s="822"/>
      <c r="EYX39" s="822"/>
      <c r="EYY39" s="822"/>
      <c r="EYZ39" s="822"/>
      <c r="EZA39" s="822"/>
      <c r="EZB39" s="822"/>
      <c r="EZC39" s="822"/>
      <c r="EZD39" s="822"/>
      <c r="EZE39" s="822"/>
      <c r="EZF39" s="822"/>
      <c r="EZG39" s="822"/>
      <c r="EZH39" s="822"/>
      <c r="EZI39" s="822"/>
      <c r="EZJ39" s="822"/>
      <c r="EZK39" s="822"/>
      <c r="EZL39" s="822"/>
      <c r="EZM39" s="822"/>
      <c r="EZN39" s="822"/>
      <c r="EZO39" s="822"/>
      <c r="EZP39" s="822"/>
      <c r="EZQ39" s="822"/>
      <c r="EZR39" s="822"/>
      <c r="EZS39" s="822"/>
      <c r="EZT39" s="822"/>
      <c r="EZU39" s="822"/>
      <c r="EZV39" s="822"/>
      <c r="EZW39" s="822"/>
      <c r="EZX39" s="822"/>
      <c r="EZY39" s="822"/>
      <c r="EZZ39" s="822"/>
      <c r="FAA39" s="822"/>
      <c r="FAB39" s="822"/>
      <c r="FAC39" s="822"/>
      <c r="FAD39" s="822"/>
      <c r="FAE39" s="822"/>
      <c r="FAF39" s="822"/>
      <c r="FAG39" s="822"/>
      <c r="FAH39" s="822"/>
      <c r="FAI39" s="822"/>
      <c r="FAJ39" s="822"/>
      <c r="FAK39" s="822"/>
      <c r="FAL39" s="822"/>
      <c r="FAM39" s="822"/>
      <c r="FAN39" s="822"/>
      <c r="FAO39" s="822"/>
      <c r="FAP39" s="822"/>
      <c r="FAQ39" s="822"/>
      <c r="FAR39" s="822"/>
      <c r="FAS39" s="822"/>
      <c r="FAT39" s="822"/>
      <c r="FAU39" s="822"/>
      <c r="FAV39" s="822"/>
      <c r="FAW39" s="822"/>
      <c r="FAX39" s="822"/>
      <c r="FAY39" s="822"/>
      <c r="FAZ39" s="822"/>
      <c r="FBA39" s="822"/>
      <c r="FBB39" s="822"/>
      <c r="FBC39" s="822"/>
      <c r="FBD39" s="822"/>
      <c r="FBE39" s="822"/>
      <c r="FBF39" s="822"/>
      <c r="FBG39" s="822"/>
      <c r="FBH39" s="822"/>
      <c r="FBI39" s="822"/>
      <c r="FBJ39" s="822"/>
      <c r="FBK39" s="822"/>
      <c r="FBL39" s="822"/>
      <c r="FBM39" s="822"/>
      <c r="FBN39" s="822"/>
      <c r="FBO39" s="822"/>
      <c r="FBP39" s="822"/>
      <c r="FBQ39" s="822"/>
      <c r="FBR39" s="822"/>
      <c r="FBS39" s="822"/>
      <c r="FBT39" s="822"/>
      <c r="FBU39" s="822"/>
      <c r="FBV39" s="822"/>
      <c r="FBW39" s="822"/>
      <c r="FBX39" s="822"/>
      <c r="FBY39" s="822"/>
      <c r="FBZ39" s="822"/>
      <c r="FCA39" s="822"/>
      <c r="FCB39" s="822"/>
      <c r="FCC39" s="822"/>
      <c r="FCD39" s="822"/>
      <c r="FCE39" s="822"/>
      <c r="FCF39" s="822"/>
      <c r="FCG39" s="822"/>
      <c r="FCH39" s="822"/>
      <c r="FCI39" s="822"/>
      <c r="FCJ39" s="822"/>
      <c r="FCK39" s="822"/>
      <c r="FCL39" s="822"/>
      <c r="FCM39" s="822"/>
      <c r="FCN39" s="822"/>
      <c r="FCO39" s="822"/>
      <c r="FCP39" s="822"/>
      <c r="FCQ39" s="822"/>
      <c r="FCR39" s="822"/>
      <c r="FCS39" s="822"/>
      <c r="FCT39" s="822"/>
      <c r="FCU39" s="822"/>
      <c r="FCV39" s="822"/>
      <c r="FCW39" s="822"/>
      <c r="FCX39" s="822"/>
      <c r="FCY39" s="822"/>
      <c r="FCZ39" s="822"/>
      <c r="FDA39" s="822"/>
      <c r="FDB39" s="822"/>
      <c r="FDC39" s="822"/>
      <c r="FDD39" s="822"/>
      <c r="FDE39" s="822"/>
      <c r="FDF39" s="822"/>
      <c r="FDG39" s="822"/>
      <c r="FDH39" s="822"/>
      <c r="FDI39" s="822"/>
      <c r="FDJ39" s="822"/>
      <c r="FDK39" s="822"/>
      <c r="FDL39" s="822"/>
      <c r="FDM39" s="822"/>
      <c r="FDN39" s="822"/>
      <c r="FDO39" s="822"/>
      <c r="FDP39" s="822"/>
      <c r="FDQ39" s="822"/>
      <c r="FDR39" s="822"/>
      <c r="FDS39" s="822"/>
      <c r="FDT39" s="822"/>
      <c r="FDU39" s="822"/>
      <c r="FDV39" s="822"/>
      <c r="FDW39" s="822"/>
      <c r="FDX39" s="822"/>
      <c r="FDY39" s="822"/>
      <c r="FDZ39" s="822"/>
      <c r="FEA39" s="822"/>
      <c r="FEB39" s="822"/>
      <c r="FEC39" s="822"/>
      <c r="FED39" s="822"/>
      <c r="FEE39" s="822"/>
      <c r="FEF39" s="822"/>
      <c r="FEG39" s="822"/>
      <c r="FEH39" s="822"/>
      <c r="FEI39" s="822"/>
      <c r="FEJ39" s="822"/>
      <c r="FEK39" s="822"/>
      <c r="FEL39" s="822"/>
      <c r="FEM39" s="822"/>
      <c r="FEN39" s="822"/>
      <c r="FEO39" s="822"/>
      <c r="FEP39" s="822"/>
      <c r="FEQ39" s="822"/>
      <c r="FER39" s="822"/>
      <c r="FES39" s="822"/>
      <c r="FET39" s="822"/>
      <c r="FEU39" s="822"/>
      <c r="FEV39" s="822"/>
      <c r="FEW39" s="822"/>
      <c r="FEX39" s="822"/>
      <c r="FEY39" s="822"/>
      <c r="FEZ39" s="822"/>
      <c r="FFA39" s="822"/>
      <c r="FFB39" s="822"/>
      <c r="FFC39" s="822"/>
      <c r="FFD39" s="822"/>
      <c r="FFE39" s="822"/>
      <c r="FFF39" s="822"/>
      <c r="FFG39" s="822"/>
      <c r="FFH39" s="822"/>
      <c r="FFI39" s="822"/>
      <c r="FFJ39" s="822"/>
      <c r="FFK39" s="822"/>
      <c r="FFL39" s="822"/>
      <c r="FFM39" s="822"/>
      <c r="FFN39" s="822"/>
      <c r="FFO39" s="822"/>
      <c r="FFP39" s="822"/>
      <c r="FFQ39" s="822"/>
      <c r="FFR39" s="822"/>
      <c r="FFS39" s="822"/>
      <c r="FFT39" s="822"/>
      <c r="FFU39" s="822"/>
      <c r="FFV39" s="822"/>
      <c r="FFW39" s="822"/>
      <c r="FFX39" s="822"/>
      <c r="FFY39" s="822"/>
      <c r="FFZ39" s="822"/>
      <c r="FGA39" s="822"/>
      <c r="FGB39" s="822"/>
      <c r="FGC39" s="822"/>
      <c r="FGD39" s="822"/>
      <c r="FGE39" s="822"/>
      <c r="FGF39" s="822"/>
      <c r="FGG39" s="822"/>
      <c r="FGH39" s="822"/>
      <c r="FGI39" s="822"/>
      <c r="FGJ39" s="822"/>
      <c r="FGK39" s="822"/>
      <c r="FGL39" s="822"/>
      <c r="FGM39" s="822"/>
      <c r="FGN39" s="822"/>
      <c r="FGO39" s="822"/>
      <c r="FGP39" s="822"/>
      <c r="FGQ39" s="822"/>
      <c r="FGR39" s="822"/>
      <c r="FGS39" s="822"/>
      <c r="FGT39" s="822"/>
      <c r="FGU39" s="822"/>
      <c r="FGV39" s="822"/>
      <c r="FGW39" s="822"/>
      <c r="FGX39" s="822"/>
      <c r="FGY39" s="822"/>
      <c r="FGZ39" s="822"/>
      <c r="FHA39" s="822"/>
      <c r="FHB39" s="822"/>
      <c r="FHC39" s="822"/>
      <c r="FHD39" s="822"/>
      <c r="FHE39" s="822"/>
      <c r="FHF39" s="822"/>
      <c r="FHG39" s="822"/>
      <c r="FHH39" s="822"/>
      <c r="FHI39" s="822"/>
      <c r="FHJ39" s="822"/>
      <c r="FHK39" s="822"/>
      <c r="FHL39" s="822"/>
      <c r="FHM39" s="822"/>
      <c r="FHN39" s="822"/>
      <c r="FHO39" s="822"/>
      <c r="FHP39" s="822"/>
      <c r="FHQ39" s="822"/>
      <c r="FHR39" s="822"/>
      <c r="FHS39" s="822"/>
      <c r="FHT39" s="822"/>
      <c r="FHU39" s="822"/>
      <c r="FHV39" s="822"/>
      <c r="FHW39" s="822"/>
      <c r="FHX39" s="822"/>
      <c r="FHY39" s="822"/>
      <c r="FHZ39" s="822"/>
      <c r="FIA39" s="822"/>
      <c r="FIB39" s="822"/>
      <c r="FIC39" s="822"/>
      <c r="FID39" s="822"/>
      <c r="FIE39" s="822"/>
      <c r="FIF39" s="822"/>
      <c r="FIG39" s="822"/>
      <c r="FIH39" s="822"/>
      <c r="FII39" s="822"/>
      <c r="FIJ39" s="822"/>
      <c r="FIK39" s="822"/>
      <c r="FIL39" s="822"/>
      <c r="FIM39" s="822"/>
      <c r="FIN39" s="822"/>
      <c r="FIO39" s="822"/>
      <c r="FIP39" s="822"/>
      <c r="FIQ39" s="822"/>
      <c r="FIR39" s="822"/>
      <c r="FIS39" s="822"/>
      <c r="FIT39" s="822"/>
      <c r="FIU39" s="822"/>
      <c r="FIV39" s="822"/>
      <c r="FIW39" s="822"/>
      <c r="FIX39" s="822"/>
      <c r="FIY39" s="822"/>
      <c r="FIZ39" s="822"/>
      <c r="FJA39" s="822"/>
      <c r="FJB39" s="822"/>
      <c r="FJC39" s="822"/>
      <c r="FJD39" s="822"/>
      <c r="FJE39" s="822"/>
      <c r="FJF39" s="822"/>
      <c r="FJG39" s="822"/>
      <c r="FJH39" s="822"/>
      <c r="FJI39" s="822"/>
      <c r="FJJ39" s="822"/>
      <c r="FJK39" s="822"/>
      <c r="FJL39" s="822"/>
      <c r="FJM39" s="822"/>
      <c r="FJN39" s="822"/>
      <c r="FJO39" s="822"/>
      <c r="FJP39" s="822"/>
      <c r="FJQ39" s="822"/>
      <c r="FJR39" s="822"/>
      <c r="FJS39" s="822"/>
      <c r="FJT39" s="822"/>
      <c r="FJU39" s="822"/>
      <c r="FJV39" s="822"/>
      <c r="FJW39" s="822"/>
      <c r="FJX39" s="822"/>
      <c r="FJY39" s="822"/>
      <c r="FJZ39" s="822"/>
      <c r="FKA39" s="822"/>
      <c r="FKB39" s="822"/>
      <c r="FKC39" s="822"/>
      <c r="FKD39" s="822"/>
      <c r="FKE39" s="822"/>
      <c r="FKF39" s="822"/>
      <c r="FKG39" s="822"/>
      <c r="FKH39" s="822"/>
      <c r="FKI39" s="822"/>
      <c r="FKJ39" s="822"/>
      <c r="FKK39" s="822"/>
      <c r="FKL39" s="822"/>
      <c r="FKM39" s="822"/>
      <c r="FKN39" s="822"/>
      <c r="FKO39" s="822"/>
      <c r="FKP39" s="822"/>
      <c r="FKQ39" s="822"/>
      <c r="FKR39" s="822"/>
      <c r="FKS39" s="822"/>
      <c r="FKT39" s="822"/>
      <c r="FKU39" s="822"/>
      <c r="FKV39" s="822"/>
      <c r="FKW39" s="822"/>
      <c r="FKX39" s="822"/>
      <c r="FKY39" s="822"/>
      <c r="FKZ39" s="822"/>
      <c r="FLA39" s="822"/>
      <c r="FLB39" s="822"/>
      <c r="FLC39" s="822"/>
      <c r="FLD39" s="822"/>
      <c r="FLE39" s="822"/>
      <c r="FLF39" s="822"/>
      <c r="FLG39" s="822"/>
      <c r="FLH39" s="822"/>
      <c r="FLI39" s="822"/>
      <c r="FLJ39" s="822"/>
      <c r="FLK39" s="822"/>
      <c r="FLL39" s="822"/>
      <c r="FLM39" s="822"/>
      <c r="FLN39" s="822"/>
      <c r="FLO39" s="822"/>
      <c r="FLP39" s="822"/>
      <c r="FLQ39" s="822"/>
      <c r="FLR39" s="822"/>
      <c r="FLS39" s="822"/>
      <c r="FLT39" s="822"/>
      <c r="FLU39" s="822"/>
      <c r="FLV39" s="822"/>
      <c r="FLW39" s="822"/>
      <c r="FLX39" s="822"/>
      <c r="FLY39" s="822"/>
      <c r="FLZ39" s="822"/>
      <c r="FMA39" s="822"/>
      <c r="FMB39" s="822"/>
      <c r="FMC39" s="822"/>
      <c r="FMD39" s="822"/>
      <c r="FME39" s="822"/>
      <c r="FMF39" s="822"/>
      <c r="FMG39" s="822"/>
      <c r="FMH39" s="822"/>
      <c r="FMI39" s="822"/>
      <c r="FMJ39" s="822"/>
      <c r="FMK39" s="822"/>
      <c r="FML39" s="822"/>
      <c r="FMM39" s="822"/>
      <c r="FMN39" s="822"/>
      <c r="FMO39" s="822"/>
      <c r="FMP39" s="822"/>
      <c r="FMQ39" s="822"/>
      <c r="FMR39" s="822"/>
      <c r="FMS39" s="822"/>
      <c r="FMT39" s="822"/>
      <c r="FMU39" s="822"/>
      <c r="FMV39" s="822"/>
      <c r="FMW39" s="822"/>
      <c r="FMX39" s="822"/>
      <c r="FMY39" s="822"/>
      <c r="FMZ39" s="822"/>
      <c r="FNA39" s="822"/>
      <c r="FNB39" s="822"/>
      <c r="FNC39" s="822"/>
      <c r="FND39" s="822"/>
      <c r="FNE39" s="822"/>
      <c r="FNF39" s="822"/>
      <c r="FNG39" s="822"/>
      <c r="FNH39" s="822"/>
      <c r="FNI39" s="822"/>
      <c r="FNJ39" s="822"/>
      <c r="FNK39" s="822"/>
      <c r="FNL39" s="822"/>
      <c r="FNM39" s="822"/>
      <c r="FNN39" s="822"/>
      <c r="FNO39" s="822"/>
      <c r="FNP39" s="822"/>
      <c r="FNQ39" s="822"/>
      <c r="FNR39" s="822"/>
      <c r="FNS39" s="822"/>
      <c r="FNT39" s="822"/>
      <c r="FNU39" s="822"/>
      <c r="FNV39" s="822"/>
      <c r="FNW39" s="822"/>
      <c r="FNX39" s="822"/>
      <c r="FNY39" s="822"/>
      <c r="FNZ39" s="822"/>
      <c r="FOA39" s="822"/>
      <c r="FOB39" s="822"/>
      <c r="FOC39" s="822"/>
      <c r="FOD39" s="822"/>
      <c r="FOE39" s="822"/>
      <c r="FOF39" s="822"/>
      <c r="FOG39" s="822"/>
      <c r="FOH39" s="822"/>
      <c r="FOI39" s="822"/>
      <c r="FOJ39" s="822"/>
      <c r="FOK39" s="822"/>
      <c r="FOL39" s="822"/>
      <c r="FOM39" s="822"/>
      <c r="FON39" s="822"/>
      <c r="FOO39" s="822"/>
      <c r="FOP39" s="822"/>
      <c r="FOQ39" s="822"/>
      <c r="FOR39" s="822"/>
      <c r="FOS39" s="822"/>
      <c r="FOT39" s="822"/>
      <c r="FOU39" s="822"/>
      <c r="FOV39" s="822"/>
      <c r="FOW39" s="822"/>
      <c r="FOX39" s="822"/>
      <c r="FOY39" s="822"/>
      <c r="FOZ39" s="822"/>
      <c r="FPA39" s="822"/>
      <c r="FPB39" s="822"/>
      <c r="FPC39" s="822"/>
      <c r="FPD39" s="822"/>
      <c r="FPE39" s="822"/>
      <c r="FPF39" s="822"/>
      <c r="FPG39" s="822"/>
      <c r="FPH39" s="822"/>
      <c r="FPI39" s="822"/>
      <c r="FPJ39" s="822"/>
      <c r="FPK39" s="822"/>
      <c r="FPL39" s="822"/>
      <c r="FPM39" s="822"/>
      <c r="FPN39" s="822"/>
      <c r="FPO39" s="822"/>
      <c r="FPP39" s="822"/>
      <c r="FPQ39" s="822"/>
      <c r="FPR39" s="822"/>
      <c r="FPS39" s="822"/>
      <c r="FPT39" s="822"/>
      <c r="FPU39" s="822"/>
      <c r="FPV39" s="822"/>
      <c r="FPW39" s="822"/>
      <c r="FPX39" s="822"/>
      <c r="FPY39" s="822"/>
      <c r="FPZ39" s="822"/>
      <c r="FQA39" s="822"/>
      <c r="FQB39" s="822"/>
      <c r="FQC39" s="822"/>
      <c r="FQD39" s="822"/>
      <c r="FQE39" s="822"/>
      <c r="FQF39" s="822"/>
      <c r="FQG39" s="822"/>
      <c r="FQH39" s="822"/>
      <c r="FQI39" s="822"/>
      <c r="FQJ39" s="822"/>
      <c r="FQK39" s="822"/>
      <c r="FQL39" s="822"/>
      <c r="FQM39" s="822"/>
      <c r="FQN39" s="822"/>
      <c r="FQO39" s="822"/>
      <c r="FQP39" s="822"/>
      <c r="FQQ39" s="822"/>
      <c r="FQR39" s="822"/>
      <c r="FQS39" s="822"/>
      <c r="FQT39" s="822"/>
      <c r="FQU39" s="822"/>
      <c r="FQV39" s="822"/>
      <c r="FQW39" s="822"/>
      <c r="FQX39" s="822"/>
      <c r="FQY39" s="822"/>
      <c r="FQZ39" s="822"/>
      <c r="FRA39" s="822"/>
      <c r="FRB39" s="822"/>
      <c r="FRC39" s="822"/>
      <c r="FRD39" s="822"/>
      <c r="FRE39" s="822"/>
      <c r="FRF39" s="822"/>
      <c r="FRG39" s="822"/>
      <c r="FRH39" s="822"/>
      <c r="FRI39" s="822"/>
      <c r="FRJ39" s="822"/>
      <c r="FRK39" s="822"/>
      <c r="FRL39" s="822"/>
      <c r="FRM39" s="822"/>
      <c r="FRN39" s="822"/>
      <c r="FRO39" s="822"/>
      <c r="FRP39" s="822"/>
      <c r="FRQ39" s="822"/>
      <c r="FRR39" s="822"/>
      <c r="FRS39" s="822"/>
      <c r="FRT39" s="822"/>
      <c r="FRU39" s="822"/>
      <c r="FRV39" s="822"/>
      <c r="FRW39" s="822"/>
      <c r="FRX39" s="822"/>
      <c r="FRY39" s="822"/>
      <c r="FRZ39" s="822"/>
      <c r="FSA39" s="822"/>
      <c r="FSB39" s="822"/>
      <c r="FSC39" s="822"/>
      <c r="FSD39" s="822"/>
      <c r="FSE39" s="822"/>
      <c r="FSF39" s="822"/>
      <c r="FSG39" s="822"/>
      <c r="FSH39" s="822"/>
      <c r="FSI39" s="822"/>
      <c r="FSJ39" s="822"/>
      <c r="FSK39" s="822"/>
      <c r="FSL39" s="822"/>
      <c r="FSM39" s="822"/>
      <c r="FSN39" s="822"/>
      <c r="FSO39" s="822"/>
      <c r="FSP39" s="822"/>
      <c r="FSQ39" s="822"/>
      <c r="FSR39" s="822"/>
      <c r="FSS39" s="822"/>
      <c r="FST39" s="822"/>
      <c r="FSU39" s="822"/>
      <c r="FSV39" s="822"/>
      <c r="FSW39" s="822"/>
      <c r="FSX39" s="822"/>
      <c r="FSY39" s="822"/>
      <c r="FSZ39" s="822"/>
      <c r="FTA39" s="822"/>
      <c r="FTB39" s="822"/>
      <c r="FTC39" s="822"/>
      <c r="FTD39" s="822"/>
      <c r="FTE39" s="822"/>
      <c r="FTF39" s="822"/>
      <c r="FTG39" s="822"/>
      <c r="FTH39" s="822"/>
      <c r="FTI39" s="822"/>
      <c r="FTJ39" s="822"/>
      <c r="FTK39" s="822"/>
      <c r="FTL39" s="822"/>
      <c r="FTM39" s="822"/>
      <c r="FTN39" s="822"/>
      <c r="FTO39" s="822"/>
      <c r="FTP39" s="822"/>
      <c r="FTQ39" s="822"/>
      <c r="FTR39" s="822"/>
      <c r="FTS39" s="822"/>
      <c r="FTT39" s="822"/>
      <c r="FTU39" s="822"/>
      <c r="FTV39" s="822"/>
      <c r="FTW39" s="822"/>
      <c r="FTX39" s="822"/>
      <c r="FTY39" s="822"/>
      <c r="FTZ39" s="822"/>
      <c r="FUA39" s="822"/>
      <c r="FUB39" s="822"/>
      <c r="FUC39" s="822"/>
      <c r="FUD39" s="822"/>
      <c r="FUE39" s="822"/>
      <c r="FUF39" s="822"/>
      <c r="FUG39" s="822"/>
      <c r="FUH39" s="822"/>
      <c r="FUI39" s="822"/>
      <c r="FUJ39" s="822"/>
      <c r="FUK39" s="822"/>
      <c r="FUL39" s="822"/>
      <c r="FUM39" s="822"/>
      <c r="FUN39" s="822"/>
      <c r="FUO39" s="822"/>
      <c r="FUP39" s="822"/>
      <c r="FUQ39" s="822"/>
      <c r="FUR39" s="822"/>
      <c r="FUS39" s="822"/>
      <c r="FUT39" s="822"/>
      <c r="FUU39" s="822"/>
      <c r="FUV39" s="822"/>
      <c r="FUW39" s="822"/>
      <c r="FUX39" s="822"/>
      <c r="FUY39" s="822"/>
      <c r="FUZ39" s="822"/>
      <c r="FVA39" s="822"/>
      <c r="FVB39" s="822"/>
      <c r="FVC39" s="822"/>
      <c r="FVD39" s="822"/>
      <c r="FVE39" s="822"/>
      <c r="FVF39" s="822"/>
      <c r="FVG39" s="822"/>
      <c r="FVH39" s="822"/>
      <c r="FVI39" s="822"/>
      <c r="FVJ39" s="822"/>
      <c r="FVK39" s="822"/>
      <c r="FVL39" s="822"/>
      <c r="FVM39" s="822"/>
      <c r="FVN39" s="822"/>
      <c r="FVO39" s="822"/>
      <c r="FVP39" s="822"/>
      <c r="FVQ39" s="822"/>
      <c r="FVR39" s="822"/>
      <c r="FVS39" s="822"/>
      <c r="FVT39" s="822"/>
      <c r="FVU39" s="822"/>
      <c r="FVV39" s="822"/>
      <c r="FVW39" s="822"/>
      <c r="FVX39" s="822"/>
      <c r="FVY39" s="822"/>
      <c r="FVZ39" s="822"/>
      <c r="FWA39" s="822"/>
      <c r="FWB39" s="822"/>
      <c r="FWC39" s="822"/>
      <c r="FWD39" s="822"/>
      <c r="FWE39" s="822"/>
      <c r="FWF39" s="822"/>
      <c r="FWG39" s="822"/>
      <c r="FWH39" s="822"/>
      <c r="FWI39" s="822"/>
      <c r="FWJ39" s="822"/>
      <c r="FWK39" s="822"/>
      <c r="FWL39" s="822"/>
      <c r="FWM39" s="822"/>
      <c r="FWN39" s="822"/>
      <c r="FWO39" s="822"/>
      <c r="FWP39" s="822"/>
      <c r="FWQ39" s="822"/>
      <c r="FWR39" s="822"/>
      <c r="FWS39" s="822"/>
      <c r="FWT39" s="822"/>
      <c r="FWU39" s="822"/>
      <c r="FWV39" s="822"/>
      <c r="FWW39" s="822"/>
      <c r="FWX39" s="822"/>
      <c r="FWY39" s="822"/>
      <c r="FWZ39" s="822"/>
      <c r="FXA39" s="822"/>
      <c r="FXB39" s="822"/>
      <c r="FXC39" s="822"/>
      <c r="FXD39" s="822"/>
      <c r="FXE39" s="822"/>
      <c r="FXF39" s="822"/>
      <c r="FXG39" s="822"/>
      <c r="FXH39" s="822"/>
      <c r="FXI39" s="822"/>
      <c r="FXJ39" s="822"/>
      <c r="FXK39" s="822"/>
      <c r="FXL39" s="822"/>
      <c r="FXM39" s="822"/>
      <c r="FXN39" s="822"/>
      <c r="FXO39" s="822"/>
      <c r="FXP39" s="822"/>
      <c r="FXQ39" s="822"/>
      <c r="FXR39" s="822"/>
      <c r="FXS39" s="822"/>
      <c r="FXT39" s="822"/>
      <c r="FXU39" s="822"/>
      <c r="FXV39" s="822"/>
      <c r="FXW39" s="822"/>
      <c r="FXX39" s="822"/>
      <c r="FXY39" s="822"/>
      <c r="FXZ39" s="822"/>
      <c r="FYA39" s="822"/>
      <c r="FYB39" s="822"/>
      <c r="FYC39" s="822"/>
      <c r="FYD39" s="822"/>
      <c r="FYE39" s="822"/>
      <c r="FYF39" s="822"/>
      <c r="FYG39" s="822"/>
      <c r="FYH39" s="822"/>
      <c r="FYI39" s="822"/>
      <c r="FYJ39" s="822"/>
      <c r="FYK39" s="822"/>
      <c r="FYL39" s="822"/>
      <c r="FYM39" s="822"/>
      <c r="FYN39" s="822"/>
      <c r="FYO39" s="822"/>
      <c r="FYP39" s="822"/>
      <c r="FYQ39" s="822"/>
      <c r="FYR39" s="822"/>
      <c r="FYS39" s="822"/>
      <c r="FYT39" s="822"/>
      <c r="FYU39" s="822"/>
      <c r="FYV39" s="822"/>
      <c r="FYW39" s="822"/>
      <c r="FYX39" s="822"/>
      <c r="FYY39" s="822"/>
      <c r="FYZ39" s="822"/>
      <c r="FZA39" s="822"/>
      <c r="FZB39" s="822"/>
      <c r="FZC39" s="822"/>
      <c r="FZD39" s="822"/>
      <c r="FZE39" s="822"/>
      <c r="FZF39" s="822"/>
      <c r="FZG39" s="822"/>
      <c r="FZH39" s="822"/>
      <c r="FZI39" s="822"/>
      <c r="FZJ39" s="822"/>
      <c r="FZK39" s="822"/>
      <c r="FZL39" s="822"/>
      <c r="FZM39" s="822"/>
      <c r="FZN39" s="822"/>
      <c r="FZO39" s="822"/>
      <c r="FZP39" s="822"/>
      <c r="FZQ39" s="822"/>
      <c r="FZR39" s="822"/>
      <c r="FZS39" s="822"/>
      <c r="FZT39" s="822"/>
      <c r="FZU39" s="822"/>
      <c r="FZV39" s="822"/>
      <c r="FZW39" s="822"/>
      <c r="FZX39" s="822"/>
      <c r="FZY39" s="822"/>
      <c r="FZZ39" s="822"/>
      <c r="GAA39" s="822"/>
      <c r="GAB39" s="822"/>
      <c r="GAC39" s="822"/>
      <c r="GAD39" s="822"/>
      <c r="GAE39" s="822"/>
      <c r="GAF39" s="822"/>
      <c r="GAG39" s="822"/>
      <c r="GAH39" s="822"/>
      <c r="GAI39" s="822"/>
      <c r="GAJ39" s="822"/>
      <c r="GAK39" s="822"/>
      <c r="GAL39" s="822"/>
      <c r="GAM39" s="822"/>
      <c r="GAN39" s="822"/>
      <c r="GAO39" s="822"/>
      <c r="GAP39" s="822"/>
      <c r="GAQ39" s="822"/>
      <c r="GAR39" s="822"/>
      <c r="GAS39" s="822"/>
      <c r="GAT39" s="822"/>
      <c r="GAU39" s="822"/>
      <c r="GAV39" s="822"/>
      <c r="GAW39" s="822"/>
      <c r="GAX39" s="822"/>
      <c r="GAY39" s="822"/>
      <c r="GAZ39" s="822"/>
      <c r="GBA39" s="822"/>
      <c r="GBB39" s="822"/>
      <c r="GBC39" s="822"/>
      <c r="GBD39" s="822"/>
      <c r="GBE39" s="822"/>
      <c r="GBF39" s="822"/>
      <c r="GBG39" s="822"/>
      <c r="GBH39" s="822"/>
      <c r="GBI39" s="822"/>
      <c r="GBJ39" s="822"/>
      <c r="GBK39" s="822"/>
      <c r="GBL39" s="822"/>
      <c r="GBM39" s="822"/>
      <c r="GBN39" s="822"/>
      <c r="GBO39" s="822"/>
      <c r="GBP39" s="822"/>
      <c r="GBQ39" s="822"/>
      <c r="GBR39" s="822"/>
      <c r="GBS39" s="822"/>
      <c r="GBT39" s="822"/>
      <c r="GBU39" s="822"/>
      <c r="GBV39" s="822"/>
      <c r="GBW39" s="822"/>
      <c r="GBX39" s="822"/>
      <c r="GBY39" s="822"/>
      <c r="GBZ39" s="822"/>
      <c r="GCA39" s="822"/>
      <c r="GCB39" s="822"/>
      <c r="GCC39" s="822"/>
      <c r="GCD39" s="822"/>
      <c r="GCE39" s="822"/>
      <c r="GCF39" s="822"/>
      <c r="GCG39" s="822"/>
      <c r="GCH39" s="822"/>
      <c r="GCI39" s="822"/>
      <c r="GCJ39" s="822"/>
      <c r="GCK39" s="822"/>
      <c r="GCL39" s="822"/>
      <c r="GCM39" s="822"/>
      <c r="GCN39" s="822"/>
      <c r="GCO39" s="822"/>
      <c r="GCP39" s="822"/>
      <c r="GCQ39" s="822"/>
      <c r="GCR39" s="822"/>
      <c r="GCS39" s="822"/>
      <c r="GCT39" s="822"/>
      <c r="GCU39" s="822"/>
      <c r="GCV39" s="822"/>
      <c r="GCW39" s="822"/>
      <c r="GCX39" s="822"/>
      <c r="GCY39" s="822"/>
      <c r="GCZ39" s="822"/>
      <c r="GDA39" s="822"/>
      <c r="GDB39" s="822"/>
      <c r="GDC39" s="822"/>
      <c r="GDD39" s="822"/>
      <c r="GDE39" s="822"/>
      <c r="GDF39" s="822"/>
      <c r="GDG39" s="822"/>
      <c r="GDH39" s="822"/>
      <c r="GDI39" s="822"/>
      <c r="GDJ39" s="822"/>
      <c r="GDK39" s="822"/>
      <c r="GDL39" s="822"/>
      <c r="GDM39" s="822"/>
      <c r="GDN39" s="822"/>
      <c r="GDO39" s="822"/>
      <c r="GDP39" s="822"/>
      <c r="GDQ39" s="822"/>
      <c r="GDR39" s="822"/>
      <c r="GDS39" s="822"/>
      <c r="GDT39" s="822"/>
      <c r="GDU39" s="822"/>
      <c r="GDV39" s="822"/>
      <c r="GDW39" s="822"/>
      <c r="GDX39" s="822"/>
      <c r="GDY39" s="822"/>
      <c r="GDZ39" s="822"/>
      <c r="GEA39" s="822"/>
      <c r="GEB39" s="822"/>
      <c r="GEC39" s="822"/>
      <c r="GED39" s="822"/>
      <c r="GEE39" s="822"/>
      <c r="GEF39" s="822"/>
      <c r="GEG39" s="822"/>
      <c r="GEH39" s="822"/>
      <c r="GEI39" s="822"/>
      <c r="GEJ39" s="822"/>
      <c r="GEK39" s="822"/>
      <c r="GEL39" s="822"/>
      <c r="GEM39" s="822"/>
      <c r="GEN39" s="822"/>
      <c r="GEO39" s="822"/>
      <c r="GEP39" s="822"/>
      <c r="GEQ39" s="822"/>
      <c r="GER39" s="822"/>
      <c r="GES39" s="822"/>
      <c r="GET39" s="822"/>
      <c r="GEU39" s="822"/>
      <c r="GEV39" s="822"/>
      <c r="GEW39" s="822"/>
      <c r="GEX39" s="822"/>
      <c r="GEY39" s="822"/>
      <c r="GEZ39" s="822"/>
      <c r="GFA39" s="822"/>
      <c r="GFB39" s="822"/>
      <c r="GFC39" s="822"/>
      <c r="GFD39" s="822"/>
      <c r="GFE39" s="822"/>
      <c r="GFF39" s="822"/>
      <c r="GFG39" s="822"/>
      <c r="GFH39" s="822"/>
      <c r="GFI39" s="822"/>
      <c r="GFJ39" s="822"/>
      <c r="GFK39" s="822"/>
      <c r="GFL39" s="822"/>
      <c r="GFM39" s="822"/>
      <c r="GFN39" s="822"/>
      <c r="GFO39" s="822"/>
      <c r="GFP39" s="822"/>
      <c r="GFQ39" s="822"/>
      <c r="GFR39" s="822"/>
      <c r="GFS39" s="822"/>
      <c r="GFT39" s="822"/>
      <c r="GFU39" s="822"/>
      <c r="GFV39" s="822"/>
      <c r="GFW39" s="822"/>
      <c r="GFX39" s="822"/>
      <c r="GFY39" s="822"/>
      <c r="GFZ39" s="822"/>
      <c r="GGA39" s="822"/>
      <c r="GGB39" s="822"/>
      <c r="GGC39" s="822"/>
      <c r="GGD39" s="822"/>
      <c r="GGE39" s="822"/>
      <c r="GGF39" s="822"/>
      <c r="GGG39" s="822"/>
      <c r="GGH39" s="822"/>
      <c r="GGI39" s="822"/>
      <c r="GGJ39" s="822"/>
      <c r="GGK39" s="822"/>
      <c r="GGL39" s="822"/>
      <c r="GGM39" s="822"/>
      <c r="GGN39" s="822"/>
      <c r="GGO39" s="822"/>
      <c r="GGP39" s="822"/>
      <c r="GGQ39" s="822"/>
      <c r="GGR39" s="822"/>
      <c r="GGS39" s="822"/>
      <c r="GGT39" s="822"/>
      <c r="GGU39" s="822"/>
      <c r="GGV39" s="822"/>
      <c r="GGW39" s="822"/>
      <c r="GGX39" s="822"/>
      <c r="GGY39" s="822"/>
      <c r="GGZ39" s="822"/>
      <c r="GHA39" s="822"/>
      <c r="GHB39" s="822"/>
      <c r="GHC39" s="822"/>
      <c r="GHD39" s="822"/>
      <c r="GHE39" s="822"/>
      <c r="GHF39" s="822"/>
      <c r="GHG39" s="822"/>
      <c r="GHH39" s="822"/>
      <c r="GHI39" s="822"/>
      <c r="GHJ39" s="822"/>
      <c r="GHK39" s="822"/>
      <c r="GHL39" s="822"/>
      <c r="GHM39" s="822"/>
      <c r="GHN39" s="822"/>
      <c r="GHO39" s="822"/>
      <c r="GHP39" s="822"/>
      <c r="GHQ39" s="822"/>
      <c r="GHR39" s="822"/>
      <c r="GHS39" s="822"/>
      <c r="GHT39" s="822"/>
      <c r="GHU39" s="822"/>
      <c r="GHV39" s="822"/>
      <c r="GHW39" s="822"/>
      <c r="GHX39" s="822"/>
      <c r="GHY39" s="822"/>
      <c r="GHZ39" s="822"/>
      <c r="GIA39" s="822"/>
      <c r="GIB39" s="822"/>
      <c r="GIC39" s="822"/>
      <c r="GID39" s="822"/>
      <c r="GIE39" s="822"/>
      <c r="GIF39" s="822"/>
      <c r="GIG39" s="822"/>
      <c r="GIH39" s="822"/>
      <c r="GII39" s="822"/>
      <c r="GIJ39" s="822"/>
      <c r="GIK39" s="822"/>
      <c r="GIL39" s="822"/>
      <c r="GIM39" s="822"/>
      <c r="GIN39" s="822"/>
      <c r="GIO39" s="822"/>
      <c r="GIP39" s="822"/>
      <c r="GIQ39" s="822"/>
      <c r="GIR39" s="822"/>
      <c r="GIS39" s="822"/>
      <c r="GIT39" s="822"/>
      <c r="GIU39" s="822"/>
      <c r="GIV39" s="822"/>
      <c r="GIW39" s="822"/>
      <c r="GIX39" s="822"/>
      <c r="GIY39" s="822"/>
      <c r="GIZ39" s="822"/>
      <c r="GJA39" s="822"/>
      <c r="GJB39" s="822"/>
      <c r="GJC39" s="822"/>
      <c r="GJD39" s="822"/>
      <c r="GJE39" s="822"/>
      <c r="GJF39" s="822"/>
      <c r="GJG39" s="822"/>
      <c r="GJH39" s="822"/>
      <c r="GJI39" s="822"/>
      <c r="GJJ39" s="822"/>
      <c r="GJK39" s="822"/>
      <c r="GJL39" s="822"/>
      <c r="GJM39" s="822"/>
      <c r="GJN39" s="822"/>
      <c r="GJO39" s="822"/>
      <c r="GJP39" s="822"/>
      <c r="GJQ39" s="822"/>
      <c r="GJR39" s="822"/>
      <c r="GJS39" s="822"/>
      <c r="GJT39" s="822"/>
      <c r="GJU39" s="822"/>
      <c r="GJV39" s="822"/>
      <c r="GJW39" s="822"/>
      <c r="GJX39" s="822"/>
      <c r="GJY39" s="822"/>
      <c r="GJZ39" s="822"/>
      <c r="GKA39" s="822"/>
      <c r="GKB39" s="822"/>
      <c r="GKC39" s="822"/>
      <c r="GKD39" s="822"/>
      <c r="GKE39" s="822"/>
      <c r="GKF39" s="822"/>
      <c r="GKG39" s="822"/>
      <c r="GKH39" s="822"/>
      <c r="GKI39" s="822"/>
      <c r="GKJ39" s="822"/>
      <c r="GKK39" s="822"/>
      <c r="GKL39" s="822"/>
      <c r="GKM39" s="822"/>
      <c r="GKN39" s="822"/>
      <c r="GKO39" s="822"/>
      <c r="GKP39" s="822"/>
      <c r="GKQ39" s="822"/>
      <c r="GKR39" s="822"/>
      <c r="GKS39" s="822"/>
      <c r="GKT39" s="822"/>
      <c r="GKU39" s="822"/>
      <c r="GKV39" s="822"/>
      <c r="GKW39" s="822"/>
      <c r="GKX39" s="822"/>
      <c r="GKY39" s="822"/>
      <c r="GKZ39" s="822"/>
      <c r="GLA39" s="822"/>
      <c r="GLB39" s="822"/>
      <c r="GLC39" s="822"/>
      <c r="GLD39" s="822"/>
      <c r="GLE39" s="822"/>
      <c r="GLF39" s="822"/>
      <c r="GLG39" s="822"/>
      <c r="GLH39" s="822"/>
      <c r="GLI39" s="822"/>
      <c r="GLJ39" s="822"/>
      <c r="GLK39" s="822"/>
      <c r="GLL39" s="822"/>
      <c r="GLM39" s="822"/>
      <c r="GLN39" s="822"/>
      <c r="GLO39" s="822"/>
      <c r="GLP39" s="822"/>
      <c r="GLQ39" s="822"/>
      <c r="GLR39" s="822"/>
      <c r="GLS39" s="822"/>
      <c r="GLT39" s="822"/>
      <c r="GLU39" s="822"/>
      <c r="GLV39" s="822"/>
      <c r="GLW39" s="822"/>
      <c r="GLX39" s="822"/>
      <c r="GLY39" s="822"/>
      <c r="GLZ39" s="822"/>
      <c r="GMA39" s="822"/>
      <c r="GMB39" s="822"/>
      <c r="GMC39" s="822"/>
      <c r="GMD39" s="822"/>
      <c r="GME39" s="822"/>
      <c r="GMF39" s="822"/>
      <c r="GMG39" s="822"/>
      <c r="GMH39" s="822"/>
      <c r="GMI39" s="822"/>
      <c r="GMJ39" s="822"/>
      <c r="GMK39" s="822"/>
      <c r="GML39" s="822"/>
      <c r="GMM39" s="822"/>
      <c r="GMN39" s="822"/>
      <c r="GMO39" s="822"/>
      <c r="GMP39" s="822"/>
      <c r="GMQ39" s="822"/>
      <c r="GMR39" s="822"/>
      <c r="GMS39" s="822"/>
      <c r="GMT39" s="822"/>
      <c r="GMU39" s="822"/>
      <c r="GMV39" s="822"/>
      <c r="GMW39" s="822"/>
      <c r="GMX39" s="822"/>
      <c r="GMY39" s="822"/>
      <c r="GMZ39" s="822"/>
      <c r="GNA39" s="822"/>
      <c r="GNB39" s="822"/>
      <c r="GNC39" s="822"/>
      <c r="GND39" s="822"/>
      <c r="GNE39" s="822"/>
      <c r="GNF39" s="822"/>
      <c r="GNG39" s="822"/>
      <c r="GNH39" s="822"/>
      <c r="GNI39" s="822"/>
      <c r="GNJ39" s="822"/>
      <c r="GNK39" s="822"/>
      <c r="GNL39" s="822"/>
      <c r="GNM39" s="822"/>
      <c r="GNN39" s="822"/>
      <c r="GNO39" s="822"/>
      <c r="GNP39" s="822"/>
      <c r="GNQ39" s="822"/>
      <c r="GNR39" s="822"/>
      <c r="GNS39" s="822"/>
      <c r="GNT39" s="822"/>
      <c r="GNU39" s="822"/>
      <c r="GNV39" s="822"/>
      <c r="GNW39" s="822"/>
      <c r="GNX39" s="822"/>
      <c r="GNY39" s="822"/>
      <c r="GNZ39" s="822"/>
      <c r="GOA39" s="822"/>
      <c r="GOB39" s="822"/>
      <c r="GOC39" s="822"/>
      <c r="GOD39" s="822"/>
      <c r="GOE39" s="822"/>
      <c r="GOF39" s="822"/>
      <c r="GOG39" s="822"/>
      <c r="GOH39" s="822"/>
      <c r="GOI39" s="822"/>
      <c r="GOJ39" s="822"/>
      <c r="GOK39" s="822"/>
      <c r="GOL39" s="822"/>
      <c r="GOM39" s="822"/>
      <c r="GON39" s="822"/>
      <c r="GOO39" s="822"/>
      <c r="GOP39" s="822"/>
      <c r="GOQ39" s="822"/>
      <c r="GOR39" s="822"/>
      <c r="GOS39" s="822"/>
      <c r="GOT39" s="822"/>
      <c r="GOU39" s="822"/>
      <c r="GOV39" s="822"/>
      <c r="GOW39" s="822"/>
      <c r="GOX39" s="822"/>
      <c r="GOY39" s="822"/>
      <c r="GOZ39" s="822"/>
      <c r="GPA39" s="822"/>
      <c r="GPB39" s="822"/>
      <c r="GPC39" s="822"/>
      <c r="GPD39" s="822"/>
      <c r="GPE39" s="822"/>
      <c r="GPF39" s="822"/>
      <c r="GPG39" s="822"/>
      <c r="GPH39" s="822"/>
      <c r="GPI39" s="822"/>
      <c r="GPJ39" s="822"/>
      <c r="GPK39" s="822"/>
      <c r="GPL39" s="822"/>
      <c r="GPM39" s="822"/>
      <c r="GPN39" s="822"/>
      <c r="GPO39" s="822"/>
      <c r="GPP39" s="822"/>
      <c r="GPQ39" s="822"/>
      <c r="GPR39" s="822"/>
      <c r="GPS39" s="822"/>
      <c r="GPT39" s="822"/>
      <c r="GPU39" s="822"/>
      <c r="GPV39" s="822"/>
      <c r="GPW39" s="822"/>
      <c r="GPX39" s="822"/>
      <c r="GPY39" s="822"/>
      <c r="GPZ39" s="822"/>
      <c r="GQA39" s="822"/>
      <c r="GQB39" s="822"/>
      <c r="GQC39" s="822"/>
      <c r="GQD39" s="822"/>
      <c r="GQE39" s="822"/>
      <c r="GQF39" s="822"/>
      <c r="GQG39" s="822"/>
      <c r="GQH39" s="822"/>
      <c r="GQI39" s="822"/>
      <c r="GQJ39" s="822"/>
      <c r="GQK39" s="822"/>
      <c r="GQL39" s="822"/>
      <c r="GQM39" s="822"/>
      <c r="GQN39" s="822"/>
      <c r="GQO39" s="822"/>
      <c r="GQP39" s="822"/>
      <c r="GQQ39" s="822"/>
      <c r="GQR39" s="822"/>
      <c r="GQS39" s="822"/>
      <c r="GQT39" s="822"/>
      <c r="GQU39" s="822"/>
      <c r="GQV39" s="822"/>
      <c r="GQW39" s="822"/>
      <c r="GQX39" s="822"/>
      <c r="GQY39" s="822"/>
      <c r="GQZ39" s="822"/>
      <c r="GRA39" s="822"/>
      <c r="GRB39" s="822"/>
      <c r="GRC39" s="822"/>
      <c r="GRD39" s="822"/>
      <c r="GRE39" s="822"/>
      <c r="GRF39" s="822"/>
      <c r="GRG39" s="822"/>
      <c r="GRH39" s="822"/>
      <c r="GRI39" s="822"/>
      <c r="GRJ39" s="822"/>
      <c r="GRK39" s="822"/>
      <c r="GRL39" s="822"/>
      <c r="GRM39" s="822"/>
      <c r="GRN39" s="822"/>
      <c r="GRO39" s="822"/>
      <c r="GRP39" s="822"/>
      <c r="GRQ39" s="822"/>
      <c r="GRR39" s="822"/>
      <c r="GRS39" s="822"/>
      <c r="GRT39" s="822"/>
      <c r="GRU39" s="822"/>
      <c r="GRV39" s="822"/>
      <c r="GRW39" s="822"/>
      <c r="GRX39" s="822"/>
      <c r="GRY39" s="822"/>
      <c r="GRZ39" s="822"/>
      <c r="GSA39" s="822"/>
      <c r="GSB39" s="822"/>
      <c r="GSC39" s="822"/>
      <c r="GSD39" s="822"/>
      <c r="GSE39" s="822"/>
      <c r="GSF39" s="822"/>
      <c r="GSG39" s="822"/>
      <c r="GSH39" s="822"/>
      <c r="GSI39" s="822"/>
      <c r="GSJ39" s="822"/>
      <c r="GSK39" s="822"/>
      <c r="GSL39" s="822"/>
      <c r="GSM39" s="822"/>
      <c r="GSN39" s="822"/>
      <c r="GSO39" s="822"/>
      <c r="GSP39" s="822"/>
      <c r="GSQ39" s="822"/>
      <c r="GSR39" s="822"/>
      <c r="GSS39" s="822"/>
      <c r="GST39" s="822"/>
      <c r="GSU39" s="822"/>
      <c r="GSV39" s="822"/>
      <c r="GSW39" s="822"/>
      <c r="GSX39" s="822"/>
      <c r="GSY39" s="822"/>
      <c r="GSZ39" s="822"/>
      <c r="GTA39" s="822"/>
      <c r="GTB39" s="822"/>
      <c r="GTC39" s="822"/>
      <c r="GTD39" s="822"/>
      <c r="GTE39" s="822"/>
      <c r="GTF39" s="822"/>
      <c r="GTG39" s="822"/>
      <c r="GTH39" s="822"/>
      <c r="GTI39" s="822"/>
      <c r="GTJ39" s="822"/>
      <c r="GTK39" s="822"/>
      <c r="GTL39" s="822"/>
      <c r="GTM39" s="822"/>
      <c r="GTN39" s="822"/>
      <c r="GTO39" s="822"/>
      <c r="GTP39" s="822"/>
      <c r="GTQ39" s="822"/>
      <c r="GTR39" s="822"/>
      <c r="GTS39" s="822"/>
      <c r="GTT39" s="822"/>
      <c r="GTU39" s="822"/>
      <c r="GTV39" s="822"/>
      <c r="GTW39" s="822"/>
      <c r="GTX39" s="822"/>
      <c r="GTY39" s="822"/>
      <c r="GTZ39" s="822"/>
      <c r="GUA39" s="822"/>
      <c r="GUB39" s="822"/>
      <c r="GUC39" s="822"/>
      <c r="GUD39" s="822"/>
      <c r="GUE39" s="822"/>
      <c r="GUF39" s="822"/>
      <c r="GUG39" s="822"/>
      <c r="GUH39" s="822"/>
      <c r="GUI39" s="822"/>
      <c r="GUJ39" s="822"/>
      <c r="GUK39" s="822"/>
      <c r="GUL39" s="822"/>
      <c r="GUM39" s="822"/>
      <c r="GUN39" s="822"/>
      <c r="GUO39" s="822"/>
      <c r="GUP39" s="822"/>
      <c r="GUQ39" s="822"/>
      <c r="GUR39" s="822"/>
      <c r="GUS39" s="822"/>
      <c r="GUT39" s="822"/>
      <c r="GUU39" s="822"/>
      <c r="GUV39" s="822"/>
      <c r="GUW39" s="822"/>
      <c r="GUX39" s="822"/>
      <c r="GUY39" s="822"/>
      <c r="GUZ39" s="822"/>
      <c r="GVA39" s="822"/>
      <c r="GVB39" s="822"/>
      <c r="GVC39" s="822"/>
      <c r="GVD39" s="822"/>
      <c r="GVE39" s="822"/>
      <c r="GVF39" s="822"/>
      <c r="GVG39" s="822"/>
      <c r="GVH39" s="822"/>
      <c r="GVI39" s="822"/>
      <c r="GVJ39" s="822"/>
      <c r="GVK39" s="822"/>
      <c r="GVL39" s="822"/>
      <c r="GVM39" s="822"/>
      <c r="GVN39" s="822"/>
      <c r="GVO39" s="822"/>
      <c r="GVP39" s="822"/>
      <c r="GVQ39" s="822"/>
      <c r="GVR39" s="822"/>
      <c r="GVS39" s="822"/>
      <c r="GVT39" s="822"/>
      <c r="GVU39" s="822"/>
      <c r="GVV39" s="822"/>
      <c r="GVW39" s="822"/>
      <c r="GVX39" s="822"/>
      <c r="GVY39" s="822"/>
      <c r="GVZ39" s="822"/>
      <c r="GWA39" s="822"/>
      <c r="GWB39" s="822"/>
      <c r="GWC39" s="822"/>
      <c r="GWD39" s="822"/>
      <c r="GWE39" s="822"/>
      <c r="GWF39" s="822"/>
      <c r="GWG39" s="822"/>
      <c r="GWH39" s="822"/>
      <c r="GWI39" s="822"/>
      <c r="GWJ39" s="822"/>
      <c r="GWK39" s="822"/>
      <c r="GWL39" s="822"/>
      <c r="GWM39" s="822"/>
      <c r="GWN39" s="822"/>
      <c r="GWO39" s="822"/>
      <c r="GWP39" s="822"/>
      <c r="GWQ39" s="822"/>
      <c r="GWR39" s="822"/>
      <c r="GWS39" s="822"/>
      <c r="GWT39" s="822"/>
      <c r="GWU39" s="822"/>
      <c r="GWV39" s="822"/>
      <c r="GWW39" s="822"/>
      <c r="GWX39" s="822"/>
      <c r="GWY39" s="822"/>
      <c r="GWZ39" s="822"/>
      <c r="GXA39" s="822"/>
      <c r="GXB39" s="822"/>
      <c r="GXC39" s="822"/>
      <c r="GXD39" s="822"/>
      <c r="GXE39" s="822"/>
      <c r="GXF39" s="822"/>
      <c r="GXG39" s="822"/>
      <c r="GXH39" s="822"/>
      <c r="GXI39" s="822"/>
      <c r="GXJ39" s="822"/>
      <c r="GXK39" s="822"/>
      <c r="GXL39" s="822"/>
      <c r="GXM39" s="822"/>
      <c r="GXN39" s="822"/>
      <c r="GXO39" s="822"/>
      <c r="GXP39" s="822"/>
      <c r="GXQ39" s="822"/>
      <c r="GXR39" s="822"/>
      <c r="GXS39" s="822"/>
      <c r="GXT39" s="822"/>
      <c r="GXU39" s="822"/>
      <c r="GXV39" s="822"/>
      <c r="GXW39" s="822"/>
      <c r="GXX39" s="822"/>
      <c r="GXY39" s="822"/>
      <c r="GXZ39" s="822"/>
      <c r="GYA39" s="822"/>
      <c r="GYB39" s="822"/>
      <c r="GYC39" s="822"/>
      <c r="GYD39" s="822"/>
      <c r="GYE39" s="822"/>
      <c r="GYF39" s="822"/>
      <c r="GYG39" s="822"/>
      <c r="GYH39" s="822"/>
      <c r="GYI39" s="822"/>
      <c r="GYJ39" s="822"/>
      <c r="GYK39" s="822"/>
      <c r="GYL39" s="822"/>
      <c r="GYM39" s="822"/>
      <c r="GYN39" s="822"/>
      <c r="GYO39" s="822"/>
      <c r="GYP39" s="822"/>
      <c r="GYQ39" s="822"/>
      <c r="GYR39" s="822"/>
      <c r="GYS39" s="822"/>
      <c r="GYT39" s="822"/>
      <c r="GYU39" s="822"/>
      <c r="GYV39" s="822"/>
      <c r="GYW39" s="822"/>
      <c r="GYX39" s="822"/>
      <c r="GYY39" s="822"/>
      <c r="GYZ39" s="822"/>
      <c r="GZA39" s="822"/>
      <c r="GZB39" s="822"/>
      <c r="GZC39" s="822"/>
      <c r="GZD39" s="822"/>
      <c r="GZE39" s="822"/>
      <c r="GZF39" s="822"/>
      <c r="GZG39" s="822"/>
      <c r="GZH39" s="822"/>
      <c r="GZI39" s="822"/>
      <c r="GZJ39" s="822"/>
      <c r="GZK39" s="822"/>
      <c r="GZL39" s="822"/>
      <c r="GZM39" s="822"/>
      <c r="GZN39" s="822"/>
      <c r="GZO39" s="822"/>
      <c r="GZP39" s="822"/>
      <c r="GZQ39" s="822"/>
      <c r="GZR39" s="822"/>
      <c r="GZS39" s="822"/>
      <c r="GZT39" s="822"/>
      <c r="GZU39" s="822"/>
      <c r="GZV39" s="822"/>
      <c r="GZW39" s="822"/>
      <c r="GZX39" s="822"/>
      <c r="GZY39" s="822"/>
      <c r="GZZ39" s="822"/>
      <c r="HAA39" s="822"/>
      <c r="HAB39" s="822"/>
      <c r="HAC39" s="822"/>
      <c r="HAD39" s="822"/>
      <c r="HAE39" s="822"/>
      <c r="HAF39" s="822"/>
      <c r="HAG39" s="822"/>
      <c r="HAH39" s="822"/>
      <c r="HAI39" s="822"/>
      <c r="HAJ39" s="822"/>
      <c r="HAK39" s="822"/>
      <c r="HAL39" s="822"/>
      <c r="HAM39" s="822"/>
      <c r="HAN39" s="822"/>
      <c r="HAO39" s="822"/>
      <c r="HAP39" s="822"/>
      <c r="HAQ39" s="822"/>
      <c r="HAR39" s="822"/>
      <c r="HAS39" s="822"/>
      <c r="HAT39" s="822"/>
      <c r="HAU39" s="822"/>
      <c r="HAV39" s="822"/>
      <c r="HAW39" s="822"/>
      <c r="HAX39" s="822"/>
      <c r="HAY39" s="822"/>
      <c r="HAZ39" s="822"/>
      <c r="HBA39" s="822"/>
      <c r="HBB39" s="822"/>
      <c r="HBC39" s="822"/>
      <c r="HBD39" s="822"/>
      <c r="HBE39" s="822"/>
      <c r="HBF39" s="822"/>
      <c r="HBG39" s="822"/>
      <c r="HBH39" s="822"/>
      <c r="HBI39" s="822"/>
      <c r="HBJ39" s="822"/>
      <c r="HBK39" s="822"/>
      <c r="HBL39" s="822"/>
      <c r="HBM39" s="822"/>
      <c r="HBN39" s="822"/>
      <c r="HBO39" s="822"/>
      <c r="HBP39" s="822"/>
      <c r="HBQ39" s="822"/>
      <c r="HBR39" s="822"/>
      <c r="HBS39" s="822"/>
      <c r="HBT39" s="822"/>
      <c r="HBU39" s="822"/>
      <c r="HBV39" s="822"/>
      <c r="HBW39" s="822"/>
      <c r="HBX39" s="822"/>
      <c r="HBY39" s="822"/>
      <c r="HBZ39" s="822"/>
      <c r="HCA39" s="822"/>
      <c r="HCB39" s="822"/>
      <c r="HCC39" s="822"/>
      <c r="HCD39" s="822"/>
      <c r="HCE39" s="822"/>
      <c r="HCF39" s="822"/>
      <c r="HCG39" s="822"/>
      <c r="HCH39" s="822"/>
      <c r="HCI39" s="822"/>
      <c r="HCJ39" s="822"/>
      <c r="HCK39" s="822"/>
      <c r="HCL39" s="822"/>
      <c r="HCM39" s="822"/>
      <c r="HCN39" s="822"/>
      <c r="HCO39" s="822"/>
      <c r="HCP39" s="822"/>
      <c r="HCQ39" s="822"/>
      <c r="HCR39" s="822"/>
      <c r="HCS39" s="822"/>
      <c r="HCT39" s="822"/>
      <c r="HCU39" s="822"/>
      <c r="HCV39" s="822"/>
      <c r="HCW39" s="822"/>
      <c r="HCX39" s="822"/>
      <c r="HCY39" s="822"/>
      <c r="HCZ39" s="822"/>
      <c r="HDA39" s="822"/>
      <c r="HDB39" s="822"/>
      <c r="HDC39" s="822"/>
      <c r="HDD39" s="822"/>
      <c r="HDE39" s="822"/>
      <c r="HDF39" s="822"/>
      <c r="HDG39" s="822"/>
      <c r="HDH39" s="822"/>
      <c r="HDI39" s="822"/>
      <c r="HDJ39" s="822"/>
      <c r="HDK39" s="822"/>
      <c r="HDL39" s="822"/>
      <c r="HDM39" s="822"/>
      <c r="HDN39" s="822"/>
      <c r="HDO39" s="822"/>
      <c r="HDP39" s="822"/>
      <c r="HDQ39" s="822"/>
      <c r="HDR39" s="822"/>
      <c r="HDS39" s="822"/>
      <c r="HDT39" s="822"/>
      <c r="HDU39" s="822"/>
      <c r="HDV39" s="822"/>
      <c r="HDW39" s="822"/>
      <c r="HDX39" s="822"/>
      <c r="HDY39" s="822"/>
      <c r="HDZ39" s="822"/>
      <c r="HEA39" s="822"/>
      <c r="HEB39" s="822"/>
      <c r="HEC39" s="822"/>
      <c r="HED39" s="822"/>
      <c r="HEE39" s="822"/>
      <c r="HEF39" s="822"/>
      <c r="HEG39" s="822"/>
      <c r="HEH39" s="822"/>
      <c r="HEI39" s="822"/>
      <c r="HEJ39" s="822"/>
      <c r="HEK39" s="822"/>
      <c r="HEL39" s="822"/>
      <c r="HEM39" s="822"/>
      <c r="HEN39" s="822"/>
      <c r="HEO39" s="822"/>
      <c r="HEP39" s="822"/>
      <c r="HEQ39" s="822"/>
      <c r="HER39" s="822"/>
      <c r="HES39" s="822"/>
      <c r="HET39" s="822"/>
      <c r="HEU39" s="822"/>
      <c r="HEV39" s="822"/>
      <c r="HEW39" s="822"/>
      <c r="HEX39" s="822"/>
      <c r="HEY39" s="822"/>
      <c r="HEZ39" s="822"/>
      <c r="HFA39" s="822"/>
      <c r="HFB39" s="822"/>
      <c r="HFC39" s="822"/>
      <c r="HFD39" s="822"/>
      <c r="HFE39" s="822"/>
      <c r="HFF39" s="822"/>
      <c r="HFG39" s="822"/>
      <c r="HFH39" s="822"/>
      <c r="HFI39" s="822"/>
      <c r="HFJ39" s="822"/>
      <c r="HFK39" s="822"/>
      <c r="HFL39" s="822"/>
      <c r="HFM39" s="822"/>
      <c r="HFN39" s="822"/>
      <c r="HFO39" s="822"/>
      <c r="HFP39" s="822"/>
      <c r="HFQ39" s="822"/>
      <c r="HFR39" s="822"/>
      <c r="HFS39" s="822"/>
      <c r="HFT39" s="822"/>
      <c r="HFU39" s="822"/>
      <c r="HFV39" s="822"/>
      <c r="HFW39" s="822"/>
      <c r="HFX39" s="822"/>
      <c r="HFY39" s="822"/>
      <c r="HFZ39" s="822"/>
      <c r="HGA39" s="822"/>
      <c r="HGB39" s="822"/>
      <c r="HGC39" s="822"/>
      <c r="HGD39" s="822"/>
      <c r="HGE39" s="822"/>
      <c r="HGF39" s="822"/>
      <c r="HGG39" s="822"/>
      <c r="HGH39" s="822"/>
      <c r="HGI39" s="822"/>
      <c r="HGJ39" s="822"/>
      <c r="HGK39" s="822"/>
      <c r="HGL39" s="822"/>
      <c r="HGM39" s="822"/>
      <c r="HGN39" s="822"/>
      <c r="HGO39" s="822"/>
      <c r="HGP39" s="822"/>
      <c r="HGQ39" s="822"/>
      <c r="HGR39" s="822"/>
      <c r="HGS39" s="822"/>
      <c r="HGT39" s="822"/>
      <c r="HGU39" s="822"/>
      <c r="HGV39" s="822"/>
      <c r="HGW39" s="822"/>
      <c r="HGX39" s="822"/>
      <c r="HGY39" s="822"/>
      <c r="HGZ39" s="822"/>
      <c r="HHA39" s="822"/>
      <c r="HHB39" s="822"/>
      <c r="HHC39" s="822"/>
      <c r="HHD39" s="822"/>
      <c r="HHE39" s="822"/>
      <c r="HHF39" s="822"/>
      <c r="HHG39" s="822"/>
      <c r="HHH39" s="822"/>
      <c r="HHI39" s="822"/>
      <c r="HHJ39" s="822"/>
      <c r="HHK39" s="822"/>
      <c r="HHL39" s="822"/>
      <c r="HHM39" s="822"/>
      <c r="HHN39" s="822"/>
      <c r="HHO39" s="822"/>
      <c r="HHP39" s="822"/>
      <c r="HHQ39" s="822"/>
      <c r="HHR39" s="822"/>
      <c r="HHS39" s="822"/>
      <c r="HHT39" s="822"/>
      <c r="HHU39" s="822"/>
      <c r="HHV39" s="822"/>
      <c r="HHW39" s="822"/>
      <c r="HHX39" s="822"/>
      <c r="HHY39" s="822"/>
      <c r="HHZ39" s="822"/>
      <c r="HIA39" s="822"/>
      <c r="HIB39" s="822"/>
      <c r="HIC39" s="822"/>
      <c r="HID39" s="822"/>
      <c r="HIE39" s="822"/>
      <c r="HIF39" s="822"/>
      <c r="HIG39" s="822"/>
      <c r="HIH39" s="822"/>
      <c r="HII39" s="822"/>
      <c r="HIJ39" s="822"/>
      <c r="HIK39" s="822"/>
      <c r="HIL39" s="822"/>
      <c r="HIM39" s="822"/>
      <c r="HIN39" s="822"/>
      <c r="HIO39" s="822"/>
      <c r="HIP39" s="822"/>
      <c r="HIQ39" s="822"/>
      <c r="HIR39" s="822"/>
      <c r="HIS39" s="822"/>
      <c r="HIT39" s="822"/>
      <c r="HIU39" s="822"/>
      <c r="HIV39" s="822"/>
      <c r="HIW39" s="822"/>
      <c r="HIX39" s="822"/>
      <c r="HIY39" s="822"/>
      <c r="HIZ39" s="822"/>
      <c r="HJA39" s="822"/>
      <c r="HJB39" s="822"/>
      <c r="HJC39" s="822"/>
      <c r="HJD39" s="822"/>
      <c r="HJE39" s="822"/>
      <c r="HJF39" s="822"/>
      <c r="HJG39" s="822"/>
      <c r="HJH39" s="822"/>
      <c r="HJI39" s="822"/>
      <c r="HJJ39" s="822"/>
      <c r="HJK39" s="822"/>
      <c r="HJL39" s="822"/>
      <c r="HJM39" s="822"/>
      <c r="HJN39" s="822"/>
      <c r="HJO39" s="822"/>
      <c r="HJP39" s="822"/>
      <c r="HJQ39" s="822"/>
      <c r="HJR39" s="822"/>
      <c r="HJS39" s="822"/>
      <c r="HJT39" s="822"/>
      <c r="HJU39" s="822"/>
      <c r="HJV39" s="822"/>
      <c r="HJW39" s="822"/>
      <c r="HJX39" s="822"/>
      <c r="HJY39" s="822"/>
      <c r="HJZ39" s="822"/>
      <c r="HKA39" s="822"/>
      <c r="HKB39" s="822"/>
      <c r="HKC39" s="822"/>
      <c r="HKD39" s="822"/>
      <c r="HKE39" s="822"/>
      <c r="HKF39" s="822"/>
      <c r="HKG39" s="822"/>
      <c r="HKH39" s="822"/>
      <c r="HKI39" s="822"/>
      <c r="HKJ39" s="822"/>
      <c r="HKK39" s="822"/>
      <c r="HKL39" s="822"/>
      <c r="HKM39" s="822"/>
      <c r="HKN39" s="822"/>
      <c r="HKO39" s="822"/>
      <c r="HKP39" s="822"/>
      <c r="HKQ39" s="822"/>
      <c r="HKR39" s="822"/>
      <c r="HKS39" s="822"/>
      <c r="HKT39" s="822"/>
      <c r="HKU39" s="822"/>
      <c r="HKV39" s="822"/>
      <c r="HKW39" s="822"/>
      <c r="HKX39" s="822"/>
      <c r="HKY39" s="822"/>
      <c r="HKZ39" s="822"/>
      <c r="HLA39" s="822"/>
      <c r="HLB39" s="822"/>
      <c r="HLC39" s="822"/>
      <c r="HLD39" s="822"/>
      <c r="HLE39" s="822"/>
      <c r="HLF39" s="822"/>
      <c r="HLG39" s="822"/>
      <c r="HLH39" s="822"/>
      <c r="HLI39" s="822"/>
      <c r="HLJ39" s="822"/>
      <c r="HLK39" s="822"/>
      <c r="HLL39" s="822"/>
      <c r="HLM39" s="822"/>
      <c r="HLN39" s="822"/>
      <c r="HLO39" s="822"/>
      <c r="HLP39" s="822"/>
      <c r="HLQ39" s="822"/>
      <c r="HLR39" s="822"/>
      <c r="HLS39" s="822"/>
      <c r="HLT39" s="822"/>
      <c r="HLU39" s="822"/>
      <c r="HLV39" s="822"/>
      <c r="HLW39" s="822"/>
      <c r="HLX39" s="822"/>
      <c r="HLY39" s="822"/>
      <c r="HLZ39" s="822"/>
      <c r="HMA39" s="822"/>
      <c r="HMB39" s="822"/>
      <c r="HMC39" s="822"/>
      <c r="HMD39" s="822"/>
      <c r="HME39" s="822"/>
      <c r="HMF39" s="822"/>
      <c r="HMG39" s="822"/>
      <c r="HMH39" s="822"/>
      <c r="HMI39" s="822"/>
      <c r="HMJ39" s="822"/>
      <c r="HMK39" s="822"/>
      <c r="HML39" s="822"/>
      <c r="HMM39" s="822"/>
      <c r="HMN39" s="822"/>
      <c r="HMO39" s="822"/>
      <c r="HMP39" s="822"/>
      <c r="HMQ39" s="822"/>
      <c r="HMR39" s="822"/>
      <c r="HMS39" s="822"/>
      <c r="HMT39" s="822"/>
      <c r="HMU39" s="822"/>
      <c r="HMV39" s="822"/>
      <c r="HMW39" s="822"/>
      <c r="HMX39" s="822"/>
      <c r="HMY39" s="822"/>
      <c r="HMZ39" s="822"/>
      <c r="HNA39" s="822"/>
      <c r="HNB39" s="822"/>
      <c r="HNC39" s="822"/>
      <c r="HND39" s="822"/>
      <c r="HNE39" s="822"/>
      <c r="HNF39" s="822"/>
      <c r="HNG39" s="822"/>
      <c r="HNH39" s="822"/>
      <c r="HNI39" s="822"/>
      <c r="HNJ39" s="822"/>
      <c r="HNK39" s="822"/>
      <c r="HNL39" s="822"/>
      <c r="HNM39" s="822"/>
      <c r="HNN39" s="822"/>
      <c r="HNO39" s="822"/>
      <c r="HNP39" s="822"/>
      <c r="HNQ39" s="822"/>
      <c r="HNR39" s="822"/>
      <c r="HNS39" s="822"/>
      <c r="HNT39" s="822"/>
      <c r="HNU39" s="822"/>
      <c r="HNV39" s="822"/>
      <c r="HNW39" s="822"/>
      <c r="HNX39" s="822"/>
      <c r="HNY39" s="822"/>
      <c r="HNZ39" s="822"/>
      <c r="HOA39" s="822"/>
      <c r="HOB39" s="822"/>
      <c r="HOC39" s="822"/>
      <c r="HOD39" s="822"/>
      <c r="HOE39" s="822"/>
      <c r="HOF39" s="822"/>
      <c r="HOG39" s="822"/>
      <c r="HOH39" s="822"/>
      <c r="HOI39" s="822"/>
      <c r="HOJ39" s="822"/>
      <c r="HOK39" s="822"/>
      <c r="HOL39" s="822"/>
      <c r="HOM39" s="822"/>
      <c r="HON39" s="822"/>
      <c r="HOO39" s="822"/>
      <c r="HOP39" s="822"/>
      <c r="HOQ39" s="822"/>
      <c r="HOR39" s="822"/>
      <c r="HOS39" s="822"/>
      <c r="HOT39" s="822"/>
      <c r="HOU39" s="822"/>
      <c r="HOV39" s="822"/>
      <c r="HOW39" s="822"/>
      <c r="HOX39" s="822"/>
      <c r="HOY39" s="822"/>
      <c r="HOZ39" s="822"/>
      <c r="HPA39" s="822"/>
      <c r="HPB39" s="822"/>
      <c r="HPC39" s="822"/>
      <c r="HPD39" s="822"/>
      <c r="HPE39" s="822"/>
      <c r="HPF39" s="822"/>
      <c r="HPG39" s="822"/>
      <c r="HPH39" s="822"/>
      <c r="HPI39" s="822"/>
      <c r="HPJ39" s="822"/>
      <c r="HPK39" s="822"/>
      <c r="HPL39" s="822"/>
      <c r="HPM39" s="822"/>
      <c r="HPN39" s="822"/>
      <c r="HPO39" s="822"/>
      <c r="HPP39" s="822"/>
      <c r="HPQ39" s="822"/>
      <c r="HPR39" s="822"/>
      <c r="HPS39" s="822"/>
      <c r="HPT39" s="822"/>
      <c r="HPU39" s="822"/>
      <c r="HPV39" s="822"/>
      <c r="HPW39" s="822"/>
      <c r="HPX39" s="822"/>
      <c r="HPY39" s="822"/>
      <c r="HPZ39" s="822"/>
      <c r="HQA39" s="822"/>
      <c r="HQB39" s="822"/>
      <c r="HQC39" s="822"/>
      <c r="HQD39" s="822"/>
      <c r="HQE39" s="822"/>
      <c r="HQF39" s="822"/>
      <c r="HQG39" s="822"/>
      <c r="HQH39" s="822"/>
      <c r="HQI39" s="822"/>
      <c r="HQJ39" s="822"/>
      <c r="HQK39" s="822"/>
      <c r="HQL39" s="822"/>
      <c r="HQM39" s="822"/>
      <c r="HQN39" s="822"/>
      <c r="HQO39" s="822"/>
      <c r="HQP39" s="822"/>
      <c r="HQQ39" s="822"/>
      <c r="HQR39" s="822"/>
      <c r="HQS39" s="822"/>
      <c r="HQT39" s="822"/>
      <c r="HQU39" s="822"/>
      <c r="HQV39" s="822"/>
      <c r="HQW39" s="822"/>
      <c r="HQX39" s="822"/>
      <c r="HQY39" s="822"/>
      <c r="HQZ39" s="822"/>
      <c r="HRA39" s="822"/>
      <c r="HRB39" s="822"/>
      <c r="HRC39" s="822"/>
      <c r="HRD39" s="822"/>
      <c r="HRE39" s="822"/>
      <c r="HRF39" s="822"/>
      <c r="HRG39" s="822"/>
      <c r="HRH39" s="822"/>
      <c r="HRI39" s="822"/>
      <c r="HRJ39" s="822"/>
      <c r="HRK39" s="822"/>
      <c r="HRL39" s="822"/>
      <c r="HRM39" s="822"/>
      <c r="HRN39" s="822"/>
      <c r="HRO39" s="822"/>
      <c r="HRP39" s="822"/>
      <c r="HRQ39" s="822"/>
      <c r="HRR39" s="822"/>
      <c r="HRS39" s="822"/>
      <c r="HRT39" s="822"/>
      <c r="HRU39" s="822"/>
      <c r="HRV39" s="822"/>
      <c r="HRW39" s="822"/>
      <c r="HRX39" s="822"/>
      <c r="HRY39" s="822"/>
      <c r="HRZ39" s="822"/>
      <c r="HSA39" s="822"/>
      <c r="HSB39" s="822"/>
      <c r="HSC39" s="822"/>
      <c r="HSD39" s="822"/>
      <c r="HSE39" s="822"/>
      <c r="HSF39" s="822"/>
      <c r="HSG39" s="822"/>
      <c r="HSH39" s="822"/>
      <c r="HSI39" s="822"/>
      <c r="HSJ39" s="822"/>
      <c r="HSK39" s="822"/>
      <c r="HSL39" s="822"/>
      <c r="HSM39" s="822"/>
      <c r="HSN39" s="822"/>
      <c r="HSO39" s="822"/>
      <c r="HSP39" s="822"/>
      <c r="HSQ39" s="822"/>
      <c r="HSR39" s="822"/>
      <c r="HSS39" s="822"/>
      <c r="HST39" s="822"/>
      <c r="HSU39" s="822"/>
      <c r="HSV39" s="822"/>
      <c r="HSW39" s="822"/>
      <c r="HSX39" s="822"/>
      <c r="HSY39" s="822"/>
      <c r="HSZ39" s="822"/>
      <c r="HTA39" s="822"/>
      <c r="HTB39" s="822"/>
      <c r="HTC39" s="822"/>
      <c r="HTD39" s="822"/>
      <c r="HTE39" s="822"/>
      <c r="HTF39" s="822"/>
      <c r="HTG39" s="822"/>
      <c r="HTH39" s="822"/>
      <c r="HTI39" s="822"/>
      <c r="HTJ39" s="822"/>
      <c r="HTK39" s="822"/>
      <c r="HTL39" s="822"/>
      <c r="HTM39" s="822"/>
      <c r="HTN39" s="822"/>
      <c r="HTO39" s="822"/>
      <c r="HTP39" s="822"/>
      <c r="HTQ39" s="822"/>
      <c r="HTR39" s="822"/>
      <c r="HTS39" s="822"/>
      <c r="HTT39" s="822"/>
      <c r="HTU39" s="822"/>
      <c r="HTV39" s="822"/>
      <c r="HTW39" s="822"/>
      <c r="HTX39" s="822"/>
      <c r="HTY39" s="822"/>
      <c r="HTZ39" s="822"/>
      <c r="HUA39" s="822"/>
      <c r="HUB39" s="822"/>
      <c r="HUC39" s="822"/>
      <c r="HUD39" s="822"/>
      <c r="HUE39" s="822"/>
      <c r="HUF39" s="822"/>
      <c r="HUG39" s="822"/>
      <c r="HUH39" s="822"/>
      <c r="HUI39" s="822"/>
      <c r="HUJ39" s="822"/>
      <c r="HUK39" s="822"/>
      <c r="HUL39" s="822"/>
      <c r="HUM39" s="822"/>
      <c r="HUN39" s="822"/>
      <c r="HUO39" s="822"/>
      <c r="HUP39" s="822"/>
      <c r="HUQ39" s="822"/>
      <c r="HUR39" s="822"/>
      <c r="HUS39" s="822"/>
      <c r="HUT39" s="822"/>
      <c r="HUU39" s="822"/>
      <c r="HUV39" s="822"/>
      <c r="HUW39" s="822"/>
      <c r="HUX39" s="822"/>
      <c r="HUY39" s="822"/>
      <c r="HUZ39" s="822"/>
      <c r="HVA39" s="822"/>
      <c r="HVB39" s="822"/>
      <c r="HVC39" s="822"/>
      <c r="HVD39" s="822"/>
      <c r="HVE39" s="822"/>
      <c r="HVF39" s="822"/>
      <c r="HVG39" s="822"/>
      <c r="HVH39" s="822"/>
      <c r="HVI39" s="822"/>
      <c r="HVJ39" s="822"/>
      <c r="HVK39" s="822"/>
      <c r="HVL39" s="822"/>
      <c r="HVM39" s="822"/>
      <c r="HVN39" s="822"/>
      <c r="HVO39" s="822"/>
      <c r="HVP39" s="822"/>
      <c r="HVQ39" s="822"/>
      <c r="HVR39" s="822"/>
      <c r="HVS39" s="822"/>
      <c r="HVT39" s="822"/>
      <c r="HVU39" s="822"/>
      <c r="HVV39" s="822"/>
      <c r="HVW39" s="822"/>
      <c r="HVX39" s="822"/>
      <c r="HVY39" s="822"/>
      <c r="HVZ39" s="822"/>
      <c r="HWA39" s="822"/>
      <c r="HWB39" s="822"/>
      <c r="HWC39" s="822"/>
      <c r="HWD39" s="822"/>
      <c r="HWE39" s="822"/>
      <c r="HWF39" s="822"/>
      <c r="HWG39" s="822"/>
      <c r="HWH39" s="822"/>
      <c r="HWI39" s="822"/>
      <c r="HWJ39" s="822"/>
      <c r="HWK39" s="822"/>
      <c r="HWL39" s="822"/>
      <c r="HWM39" s="822"/>
      <c r="HWN39" s="822"/>
      <c r="HWO39" s="822"/>
      <c r="HWP39" s="822"/>
      <c r="HWQ39" s="822"/>
      <c r="HWR39" s="822"/>
      <c r="HWS39" s="822"/>
      <c r="HWT39" s="822"/>
      <c r="HWU39" s="822"/>
      <c r="HWV39" s="822"/>
      <c r="HWW39" s="822"/>
      <c r="HWX39" s="822"/>
      <c r="HWY39" s="822"/>
      <c r="HWZ39" s="822"/>
      <c r="HXA39" s="822"/>
      <c r="HXB39" s="822"/>
      <c r="HXC39" s="822"/>
      <c r="HXD39" s="822"/>
      <c r="HXE39" s="822"/>
      <c r="HXF39" s="822"/>
      <c r="HXG39" s="822"/>
      <c r="HXH39" s="822"/>
      <c r="HXI39" s="822"/>
      <c r="HXJ39" s="822"/>
      <c r="HXK39" s="822"/>
      <c r="HXL39" s="822"/>
      <c r="HXM39" s="822"/>
      <c r="HXN39" s="822"/>
      <c r="HXO39" s="822"/>
      <c r="HXP39" s="822"/>
      <c r="HXQ39" s="822"/>
      <c r="HXR39" s="822"/>
      <c r="HXS39" s="822"/>
      <c r="HXT39" s="822"/>
      <c r="HXU39" s="822"/>
      <c r="HXV39" s="822"/>
      <c r="HXW39" s="822"/>
      <c r="HXX39" s="822"/>
      <c r="HXY39" s="822"/>
      <c r="HXZ39" s="822"/>
      <c r="HYA39" s="822"/>
      <c r="HYB39" s="822"/>
      <c r="HYC39" s="822"/>
      <c r="HYD39" s="822"/>
      <c r="HYE39" s="822"/>
      <c r="HYF39" s="822"/>
      <c r="HYG39" s="822"/>
      <c r="HYH39" s="822"/>
      <c r="HYI39" s="822"/>
      <c r="HYJ39" s="822"/>
      <c r="HYK39" s="822"/>
      <c r="HYL39" s="822"/>
      <c r="HYM39" s="822"/>
      <c r="HYN39" s="822"/>
      <c r="HYO39" s="822"/>
      <c r="HYP39" s="822"/>
      <c r="HYQ39" s="822"/>
      <c r="HYR39" s="822"/>
      <c r="HYS39" s="822"/>
      <c r="HYT39" s="822"/>
      <c r="HYU39" s="822"/>
      <c r="HYV39" s="822"/>
      <c r="HYW39" s="822"/>
      <c r="HYX39" s="822"/>
      <c r="HYY39" s="822"/>
      <c r="HYZ39" s="822"/>
      <c r="HZA39" s="822"/>
      <c r="HZB39" s="822"/>
      <c r="HZC39" s="822"/>
      <c r="HZD39" s="822"/>
      <c r="HZE39" s="822"/>
      <c r="HZF39" s="822"/>
      <c r="HZG39" s="822"/>
      <c r="HZH39" s="822"/>
      <c r="HZI39" s="822"/>
      <c r="HZJ39" s="822"/>
      <c r="HZK39" s="822"/>
      <c r="HZL39" s="822"/>
      <c r="HZM39" s="822"/>
      <c r="HZN39" s="822"/>
      <c r="HZO39" s="822"/>
      <c r="HZP39" s="822"/>
      <c r="HZQ39" s="822"/>
      <c r="HZR39" s="822"/>
      <c r="HZS39" s="822"/>
      <c r="HZT39" s="822"/>
      <c r="HZU39" s="822"/>
      <c r="HZV39" s="822"/>
      <c r="HZW39" s="822"/>
      <c r="HZX39" s="822"/>
      <c r="HZY39" s="822"/>
      <c r="HZZ39" s="822"/>
      <c r="IAA39" s="822"/>
      <c r="IAB39" s="822"/>
      <c r="IAC39" s="822"/>
      <c r="IAD39" s="822"/>
      <c r="IAE39" s="822"/>
      <c r="IAF39" s="822"/>
      <c r="IAG39" s="822"/>
      <c r="IAH39" s="822"/>
      <c r="IAI39" s="822"/>
      <c r="IAJ39" s="822"/>
      <c r="IAK39" s="822"/>
      <c r="IAL39" s="822"/>
      <c r="IAM39" s="822"/>
      <c r="IAN39" s="822"/>
      <c r="IAO39" s="822"/>
      <c r="IAP39" s="822"/>
      <c r="IAQ39" s="822"/>
      <c r="IAR39" s="822"/>
      <c r="IAS39" s="822"/>
      <c r="IAT39" s="822"/>
      <c r="IAU39" s="822"/>
      <c r="IAV39" s="822"/>
      <c r="IAW39" s="822"/>
      <c r="IAX39" s="822"/>
      <c r="IAY39" s="822"/>
      <c r="IAZ39" s="822"/>
      <c r="IBA39" s="822"/>
      <c r="IBB39" s="822"/>
      <c r="IBC39" s="822"/>
      <c r="IBD39" s="822"/>
      <c r="IBE39" s="822"/>
      <c r="IBF39" s="822"/>
      <c r="IBG39" s="822"/>
      <c r="IBH39" s="822"/>
      <c r="IBI39" s="822"/>
      <c r="IBJ39" s="822"/>
      <c r="IBK39" s="822"/>
      <c r="IBL39" s="822"/>
      <c r="IBM39" s="822"/>
      <c r="IBN39" s="822"/>
      <c r="IBO39" s="822"/>
      <c r="IBP39" s="822"/>
      <c r="IBQ39" s="822"/>
      <c r="IBR39" s="822"/>
      <c r="IBS39" s="822"/>
      <c r="IBT39" s="822"/>
      <c r="IBU39" s="822"/>
      <c r="IBV39" s="822"/>
      <c r="IBW39" s="822"/>
      <c r="IBX39" s="822"/>
      <c r="IBY39" s="822"/>
      <c r="IBZ39" s="822"/>
      <c r="ICA39" s="822"/>
      <c r="ICB39" s="822"/>
      <c r="ICC39" s="822"/>
      <c r="ICD39" s="822"/>
      <c r="ICE39" s="822"/>
      <c r="ICF39" s="822"/>
      <c r="ICG39" s="822"/>
      <c r="ICH39" s="822"/>
      <c r="ICI39" s="822"/>
      <c r="ICJ39" s="822"/>
      <c r="ICK39" s="822"/>
      <c r="ICL39" s="822"/>
      <c r="ICM39" s="822"/>
      <c r="ICN39" s="822"/>
      <c r="ICO39" s="822"/>
      <c r="ICP39" s="822"/>
      <c r="ICQ39" s="822"/>
      <c r="ICR39" s="822"/>
      <c r="ICS39" s="822"/>
      <c r="ICT39" s="822"/>
      <c r="ICU39" s="822"/>
      <c r="ICV39" s="822"/>
      <c r="ICW39" s="822"/>
      <c r="ICX39" s="822"/>
      <c r="ICY39" s="822"/>
      <c r="ICZ39" s="822"/>
      <c r="IDA39" s="822"/>
      <c r="IDB39" s="822"/>
      <c r="IDC39" s="822"/>
      <c r="IDD39" s="822"/>
      <c r="IDE39" s="822"/>
      <c r="IDF39" s="822"/>
      <c r="IDG39" s="822"/>
      <c r="IDH39" s="822"/>
      <c r="IDI39" s="822"/>
      <c r="IDJ39" s="822"/>
      <c r="IDK39" s="822"/>
      <c r="IDL39" s="822"/>
      <c r="IDM39" s="822"/>
      <c r="IDN39" s="822"/>
      <c r="IDO39" s="822"/>
      <c r="IDP39" s="822"/>
      <c r="IDQ39" s="822"/>
      <c r="IDR39" s="822"/>
      <c r="IDS39" s="822"/>
      <c r="IDT39" s="822"/>
      <c r="IDU39" s="822"/>
      <c r="IDV39" s="822"/>
      <c r="IDW39" s="822"/>
      <c r="IDX39" s="822"/>
      <c r="IDY39" s="822"/>
      <c r="IDZ39" s="822"/>
      <c r="IEA39" s="822"/>
      <c r="IEB39" s="822"/>
      <c r="IEC39" s="822"/>
      <c r="IED39" s="822"/>
      <c r="IEE39" s="822"/>
      <c r="IEF39" s="822"/>
      <c r="IEG39" s="822"/>
      <c r="IEH39" s="822"/>
      <c r="IEI39" s="822"/>
      <c r="IEJ39" s="822"/>
      <c r="IEK39" s="822"/>
      <c r="IEL39" s="822"/>
      <c r="IEM39" s="822"/>
      <c r="IEN39" s="822"/>
      <c r="IEO39" s="822"/>
      <c r="IEP39" s="822"/>
      <c r="IEQ39" s="822"/>
      <c r="IER39" s="822"/>
      <c r="IES39" s="822"/>
      <c r="IET39" s="822"/>
      <c r="IEU39" s="822"/>
      <c r="IEV39" s="822"/>
      <c r="IEW39" s="822"/>
      <c r="IEX39" s="822"/>
      <c r="IEY39" s="822"/>
      <c r="IEZ39" s="822"/>
      <c r="IFA39" s="822"/>
      <c r="IFB39" s="822"/>
      <c r="IFC39" s="822"/>
      <c r="IFD39" s="822"/>
      <c r="IFE39" s="822"/>
      <c r="IFF39" s="822"/>
      <c r="IFG39" s="822"/>
      <c r="IFH39" s="822"/>
      <c r="IFI39" s="822"/>
      <c r="IFJ39" s="822"/>
      <c r="IFK39" s="822"/>
      <c r="IFL39" s="822"/>
      <c r="IFM39" s="822"/>
      <c r="IFN39" s="822"/>
      <c r="IFO39" s="822"/>
      <c r="IFP39" s="822"/>
      <c r="IFQ39" s="822"/>
      <c r="IFR39" s="822"/>
      <c r="IFS39" s="822"/>
      <c r="IFT39" s="822"/>
      <c r="IFU39" s="822"/>
      <c r="IFV39" s="822"/>
      <c r="IFW39" s="822"/>
      <c r="IFX39" s="822"/>
      <c r="IFY39" s="822"/>
      <c r="IFZ39" s="822"/>
      <c r="IGA39" s="822"/>
      <c r="IGB39" s="822"/>
      <c r="IGC39" s="822"/>
      <c r="IGD39" s="822"/>
      <c r="IGE39" s="822"/>
      <c r="IGF39" s="822"/>
      <c r="IGG39" s="822"/>
      <c r="IGH39" s="822"/>
      <c r="IGI39" s="822"/>
      <c r="IGJ39" s="822"/>
      <c r="IGK39" s="822"/>
      <c r="IGL39" s="822"/>
      <c r="IGM39" s="822"/>
      <c r="IGN39" s="822"/>
      <c r="IGO39" s="822"/>
      <c r="IGP39" s="822"/>
      <c r="IGQ39" s="822"/>
      <c r="IGR39" s="822"/>
      <c r="IGS39" s="822"/>
      <c r="IGT39" s="822"/>
      <c r="IGU39" s="822"/>
      <c r="IGV39" s="822"/>
      <c r="IGW39" s="822"/>
      <c r="IGX39" s="822"/>
      <c r="IGY39" s="822"/>
      <c r="IGZ39" s="822"/>
      <c r="IHA39" s="822"/>
      <c r="IHB39" s="822"/>
      <c r="IHC39" s="822"/>
      <c r="IHD39" s="822"/>
      <c r="IHE39" s="822"/>
      <c r="IHF39" s="822"/>
      <c r="IHG39" s="822"/>
      <c r="IHH39" s="822"/>
      <c r="IHI39" s="822"/>
      <c r="IHJ39" s="822"/>
      <c r="IHK39" s="822"/>
      <c r="IHL39" s="822"/>
      <c r="IHM39" s="822"/>
      <c r="IHN39" s="822"/>
      <c r="IHO39" s="822"/>
      <c r="IHP39" s="822"/>
      <c r="IHQ39" s="822"/>
      <c r="IHR39" s="822"/>
      <c r="IHS39" s="822"/>
      <c r="IHT39" s="822"/>
      <c r="IHU39" s="822"/>
      <c r="IHV39" s="822"/>
      <c r="IHW39" s="822"/>
      <c r="IHX39" s="822"/>
      <c r="IHY39" s="822"/>
      <c r="IHZ39" s="822"/>
      <c r="IIA39" s="822"/>
      <c r="IIB39" s="822"/>
      <c r="IIC39" s="822"/>
      <c r="IID39" s="822"/>
      <c r="IIE39" s="822"/>
      <c r="IIF39" s="822"/>
      <c r="IIG39" s="822"/>
      <c r="IIH39" s="822"/>
      <c r="III39" s="822"/>
      <c r="IIJ39" s="822"/>
      <c r="IIK39" s="822"/>
      <c r="IIL39" s="822"/>
      <c r="IIM39" s="822"/>
      <c r="IIN39" s="822"/>
      <c r="IIO39" s="822"/>
      <c r="IIP39" s="822"/>
      <c r="IIQ39" s="822"/>
      <c r="IIR39" s="822"/>
      <c r="IIS39" s="822"/>
      <c r="IIT39" s="822"/>
      <c r="IIU39" s="822"/>
      <c r="IIV39" s="822"/>
      <c r="IIW39" s="822"/>
      <c r="IIX39" s="822"/>
      <c r="IIY39" s="822"/>
      <c r="IIZ39" s="822"/>
      <c r="IJA39" s="822"/>
      <c r="IJB39" s="822"/>
      <c r="IJC39" s="822"/>
      <c r="IJD39" s="822"/>
      <c r="IJE39" s="822"/>
      <c r="IJF39" s="822"/>
      <c r="IJG39" s="822"/>
      <c r="IJH39" s="822"/>
      <c r="IJI39" s="822"/>
      <c r="IJJ39" s="822"/>
      <c r="IJK39" s="822"/>
      <c r="IJL39" s="822"/>
      <c r="IJM39" s="822"/>
      <c r="IJN39" s="822"/>
      <c r="IJO39" s="822"/>
      <c r="IJP39" s="822"/>
      <c r="IJQ39" s="822"/>
      <c r="IJR39" s="822"/>
      <c r="IJS39" s="822"/>
      <c r="IJT39" s="822"/>
      <c r="IJU39" s="822"/>
      <c r="IJV39" s="822"/>
      <c r="IJW39" s="822"/>
      <c r="IJX39" s="822"/>
      <c r="IJY39" s="822"/>
      <c r="IJZ39" s="822"/>
      <c r="IKA39" s="822"/>
      <c r="IKB39" s="822"/>
      <c r="IKC39" s="822"/>
      <c r="IKD39" s="822"/>
      <c r="IKE39" s="822"/>
      <c r="IKF39" s="822"/>
      <c r="IKG39" s="822"/>
      <c r="IKH39" s="822"/>
      <c r="IKI39" s="822"/>
      <c r="IKJ39" s="822"/>
      <c r="IKK39" s="822"/>
      <c r="IKL39" s="822"/>
      <c r="IKM39" s="822"/>
      <c r="IKN39" s="822"/>
      <c r="IKO39" s="822"/>
      <c r="IKP39" s="822"/>
      <c r="IKQ39" s="822"/>
      <c r="IKR39" s="822"/>
      <c r="IKS39" s="822"/>
      <c r="IKT39" s="822"/>
      <c r="IKU39" s="822"/>
      <c r="IKV39" s="822"/>
      <c r="IKW39" s="822"/>
      <c r="IKX39" s="822"/>
      <c r="IKY39" s="822"/>
      <c r="IKZ39" s="822"/>
      <c r="ILA39" s="822"/>
      <c r="ILB39" s="822"/>
      <c r="ILC39" s="822"/>
      <c r="ILD39" s="822"/>
      <c r="ILE39" s="822"/>
      <c r="ILF39" s="822"/>
      <c r="ILG39" s="822"/>
      <c r="ILH39" s="822"/>
      <c r="ILI39" s="822"/>
      <c r="ILJ39" s="822"/>
      <c r="ILK39" s="822"/>
      <c r="ILL39" s="822"/>
      <c r="ILM39" s="822"/>
      <c r="ILN39" s="822"/>
      <c r="ILO39" s="822"/>
      <c r="ILP39" s="822"/>
      <c r="ILQ39" s="822"/>
      <c r="ILR39" s="822"/>
      <c r="ILS39" s="822"/>
      <c r="ILT39" s="822"/>
      <c r="ILU39" s="822"/>
      <c r="ILV39" s="822"/>
      <c r="ILW39" s="822"/>
      <c r="ILX39" s="822"/>
      <c r="ILY39" s="822"/>
      <c r="ILZ39" s="822"/>
      <c r="IMA39" s="822"/>
      <c r="IMB39" s="822"/>
      <c r="IMC39" s="822"/>
      <c r="IMD39" s="822"/>
      <c r="IME39" s="822"/>
      <c r="IMF39" s="822"/>
      <c r="IMG39" s="822"/>
      <c r="IMH39" s="822"/>
      <c r="IMI39" s="822"/>
      <c r="IMJ39" s="822"/>
      <c r="IMK39" s="822"/>
      <c r="IML39" s="822"/>
      <c r="IMM39" s="822"/>
      <c r="IMN39" s="822"/>
      <c r="IMO39" s="822"/>
      <c r="IMP39" s="822"/>
      <c r="IMQ39" s="822"/>
      <c r="IMR39" s="822"/>
      <c r="IMS39" s="822"/>
      <c r="IMT39" s="822"/>
      <c r="IMU39" s="822"/>
      <c r="IMV39" s="822"/>
      <c r="IMW39" s="822"/>
      <c r="IMX39" s="822"/>
      <c r="IMY39" s="822"/>
      <c r="IMZ39" s="822"/>
      <c r="INA39" s="822"/>
      <c r="INB39" s="822"/>
      <c r="INC39" s="822"/>
      <c r="IND39" s="822"/>
      <c r="INE39" s="822"/>
      <c r="INF39" s="822"/>
      <c r="ING39" s="822"/>
      <c r="INH39" s="822"/>
      <c r="INI39" s="822"/>
      <c r="INJ39" s="822"/>
      <c r="INK39" s="822"/>
      <c r="INL39" s="822"/>
      <c r="INM39" s="822"/>
      <c r="INN39" s="822"/>
      <c r="INO39" s="822"/>
      <c r="INP39" s="822"/>
      <c r="INQ39" s="822"/>
      <c r="INR39" s="822"/>
      <c r="INS39" s="822"/>
      <c r="INT39" s="822"/>
      <c r="INU39" s="822"/>
      <c r="INV39" s="822"/>
      <c r="INW39" s="822"/>
      <c r="INX39" s="822"/>
      <c r="INY39" s="822"/>
      <c r="INZ39" s="822"/>
      <c r="IOA39" s="822"/>
      <c r="IOB39" s="822"/>
      <c r="IOC39" s="822"/>
      <c r="IOD39" s="822"/>
      <c r="IOE39" s="822"/>
      <c r="IOF39" s="822"/>
      <c r="IOG39" s="822"/>
      <c r="IOH39" s="822"/>
      <c r="IOI39" s="822"/>
      <c r="IOJ39" s="822"/>
      <c r="IOK39" s="822"/>
      <c r="IOL39" s="822"/>
      <c r="IOM39" s="822"/>
      <c r="ION39" s="822"/>
      <c r="IOO39" s="822"/>
      <c r="IOP39" s="822"/>
      <c r="IOQ39" s="822"/>
      <c r="IOR39" s="822"/>
      <c r="IOS39" s="822"/>
      <c r="IOT39" s="822"/>
      <c r="IOU39" s="822"/>
      <c r="IOV39" s="822"/>
      <c r="IOW39" s="822"/>
      <c r="IOX39" s="822"/>
      <c r="IOY39" s="822"/>
      <c r="IOZ39" s="822"/>
      <c r="IPA39" s="822"/>
      <c r="IPB39" s="822"/>
      <c r="IPC39" s="822"/>
      <c r="IPD39" s="822"/>
      <c r="IPE39" s="822"/>
      <c r="IPF39" s="822"/>
      <c r="IPG39" s="822"/>
      <c r="IPH39" s="822"/>
      <c r="IPI39" s="822"/>
      <c r="IPJ39" s="822"/>
      <c r="IPK39" s="822"/>
      <c r="IPL39" s="822"/>
      <c r="IPM39" s="822"/>
      <c r="IPN39" s="822"/>
      <c r="IPO39" s="822"/>
      <c r="IPP39" s="822"/>
      <c r="IPQ39" s="822"/>
      <c r="IPR39" s="822"/>
      <c r="IPS39" s="822"/>
      <c r="IPT39" s="822"/>
      <c r="IPU39" s="822"/>
      <c r="IPV39" s="822"/>
      <c r="IPW39" s="822"/>
      <c r="IPX39" s="822"/>
      <c r="IPY39" s="822"/>
      <c r="IPZ39" s="822"/>
      <c r="IQA39" s="822"/>
      <c r="IQB39" s="822"/>
      <c r="IQC39" s="822"/>
      <c r="IQD39" s="822"/>
      <c r="IQE39" s="822"/>
      <c r="IQF39" s="822"/>
      <c r="IQG39" s="822"/>
      <c r="IQH39" s="822"/>
      <c r="IQI39" s="822"/>
      <c r="IQJ39" s="822"/>
      <c r="IQK39" s="822"/>
      <c r="IQL39" s="822"/>
      <c r="IQM39" s="822"/>
      <c r="IQN39" s="822"/>
      <c r="IQO39" s="822"/>
      <c r="IQP39" s="822"/>
      <c r="IQQ39" s="822"/>
      <c r="IQR39" s="822"/>
      <c r="IQS39" s="822"/>
      <c r="IQT39" s="822"/>
      <c r="IQU39" s="822"/>
      <c r="IQV39" s="822"/>
      <c r="IQW39" s="822"/>
      <c r="IQX39" s="822"/>
      <c r="IQY39" s="822"/>
      <c r="IQZ39" s="822"/>
      <c r="IRA39" s="822"/>
      <c r="IRB39" s="822"/>
      <c r="IRC39" s="822"/>
      <c r="IRD39" s="822"/>
      <c r="IRE39" s="822"/>
      <c r="IRF39" s="822"/>
      <c r="IRG39" s="822"/>
      <c r="IRH39" s="822"/>
      <c r="IRI39" s="822"/>
      <c r="IRJ39" s="822"/>
      <c r="IRK39" s="822"/>
      <c r="IRL39" s="822"/>
      <c r="IRM39" s="822"/>
      <c r="IRN39" s="822"/>
      <c r="IRO39" s="822"/>
      <c r="IRP39" s="822"/>
      <c r="IRQ39" s="822"/>
      <c r="IRR39" s="822"/>
      <c r="IRS39" s="822"/>
      <c r="IRT39" s="822"/>
      <c r="IRU39" s="822"/>
      <c r="IRV39" s="822"/>
      <c r="IRW39" s="822"/>
      <c r="IRX39" s="822"/>
      <c r="IRY39" s="822"/>
      <c r="IRZ39" s="822"/>
      <c r="ISA39" s="822"/>
      <c r="ISB39" s="822"/>
      <c r="ISC39" s="822"/>
      <c r="ISD39" s="822"/>
      <c r="ISE39" s="822"/>
      <c r="ISF39" s="822"/>
      <c r="ISG39" s="822"/>
      <c r="ISH39" s="822"/>
      <c r="ISI39" s="822"/>
      <c r="ISJ39" s="822"/>
      <c r="ISK39" s="822"/>
      <c r="ISL39" s="822"/>
      <c r="ISM39" s="822"/>
      <c r="ISN39" s="822"/>
      <c r="ISO39" s="822"/>
      <c r="ISP39" s="822"/>
      <c r="ISQ39" s="822"/>
      <c r="ISR39" s="822"/>
      <c r="ISS39" s="822"/>
      <c r="IST39" s="822"/>
      <c r="ISU39" s="822"/>
      <c r="ISV39" s="822"/>
      <c r="ISW39" s="822"/>
      <c r="ISX39" s="822"/>
      <c r="ISY39" s="822"/>
      <c r="ISZ39" s="822"/>
      <c r="ITA39" s="822"/>
      <c r="ITB39" s="822"/>
      <c r="ITC39" s="822"/>
      <c r="ITD39" s="822"/>
      <c r="ITE39" s="822"/>
      <c r="ITF39" s="822"/>
      <c r="ITG39" s="822"/>
      <c r="ITH39" s="822"/>
      <c r="ITI39" s="822"/>
      <c r="ITJ39" s="822"/>
      <c r="ITK39" s="822"/>
      <c r="ITL39" s="822"/>
      <c r="ITM39" s="822"/>
      <c r="ITN39" s="822"/>
      <c r="ITO39" s="822"/>
      <c r="ITP39" s="822"/>
      <c r="ITQ39" s="822"/>
      <c r="ITR39" s="822"/>
      <c r="ITS39" s="822"/>
      <c r="ITT39" s="822"/>
      <c r="ITU39" s="822"/>
      <c r="ITV39" s="822"/>
      <c r="ITW39" s="822"/>
      <c r="ITX39" s="822"/>
      <c r="ITY39" s="822"/>
      <c r="ITZ39" s="822"/>
      <c r="IUA39" s="822"/>
      <c r="IUB39" s="822"/>
      <c r="IUC39" s="822"/>
      <c r="IUD39" s="822"/>
      <c r="IUE39" s="822"/>
      <c r="IUF39" s="822"/>
      <c r="IUG39" s="822"/>
      <c r="IUH39" s="822"/>
      <c r="IUI39" s="822"/>
      <c r="IUJ39" s="822"/>
      <c r="IUK39" s="822"/>
      <c r="IUL39" s="822"/>
      <c r="IUM39" s="822"/>
      <c r="IUN39" s="822"/>
      <c r="IUO39" s="822"/>
      <c r="IUP39" s="822"/>
      <c r="IUQ39" s="822"/>
      <c r="IUR39" s="822"/>
      <c r="IUS39" s="822"/>
      <c r="IUT39" s="822"/>
      <c r="IUU39" s="822"/>
      <c r="IUV39" s="822"/>
      <c r="IUW39" s="822"/>
      <c r="IUX39" s="822"/>
      <c r="IUY39" s="822"/>
      <c r="IUZ39" s="822"/>
      <c r="IVA39" s="822"/>
      <c r="IVB39" s="822"/>
      <c r="IVC39" s="822"/>
      <c r="IVD39" s="822"/>
      <c r="IVE39" s="822"/>
      <c r="IVF39" s="822"/>
      <c r="IVG39" s="822"/>
      <c r="IVH39" s="822"/>
      <c r="IVI39" s="822"/>
      <c r="IVJ39" s="822"/>
      <c r="IVK39" s="822"/>
      <c r="IVL39" s="822"/>
      <c r="IVM39" s="822"/>
      <c r="IVN39" s="822"/>
      <c r="IVO39" s="822"/>
      <c r="IVP39" s="822"/>
      <c r="IVQ39" s="822"/>
      <c r="IVR39" s="822"/>
      <c r="IVS39" s="822"/>
      <c r="IVT39" s="822"/>
      <c r="IVU39" s="822"/>
      <c r="IVV39" s="822"/>
      <c r="IVW39" s="822"/>
      <c r="IVX39" s="822"/>
      <c r="IVY39" s="822"/>
      <c r="IVZ39" s="822"/>
      <c r="IWA39" s="822"/>
      <c r="IWB39" s="822"/>
      <c r="IWC39" s="822"/>
      <c r="IWD39" s="822"/>
      <c r="IWE39" s="822"/>
      <c r="IWF39" s="822"/>
      <c r="IWG39" s="822"/>
      <c r="IWH39" s="822"/>
      <c r="IWI39" s="822"/>
      <c r="IWJ39" s="822"/>
      <c r="IWK39" s="822"/>
      <c r="IWL39" s="822"/>
      <c r="IWM39" s="822"/>
      <c r="IWN39" s="822"/>
      <c r="IWO39" s="822"/>
      <c r="IWP39" s="822"/>
      <c r="IWQ39" s="822"/>
      <c r="IWR39" s="822"/>
      <c r="IWS39" s="822"/>
      <c r="IWT39" s="822"/>
      <c r="IWU39" s="822"/>
      <c r="IWV39" s="822"/>
      <c r="IWW39" s="822"/>
      <c r="IWX39" s="822"/>
      <c r="IWY39" s="822"/>
      <c r="IWZ39" s="822"/>
      <c r="IXA39" s="822"/>
      <c r="IXB39" s="822"/>
      <c r="IXC39" s="822"/>
      <c r="IXD39" s="822"/>
      <c r="IXE39" s="822"/>
      <c r="IXF39" s="822"/>
      <c r="IXG39" s="822"/>
      <c r="IXH39" s="822"/>
      <c r="IXI39" s="822"/>
      <c r="IXJ39" s="822"/>
      <c r="IXK39" s="822"/>
      <c r="IXL39" s="822"/>
      <c r="IXM39" s="822"/>
      <c r="IXN39" s="822"/>
      <c r="IXO39" s="822"/>
      <c r="IXP39" s="822"/>
      <c r="IXQ39" s="822"/>
      <c r="IXR39" s="822"/>
      <c r="IXS39" s="822"/>
      <c r="IXT39" s="822"/>
      <c r="IXU39" s="822"/>
      <c r="IXV39" s="822"/>
      <c r="IXW39" s="822"/>
      <c r="IXX39" s="822"/>
      <c r="IXY39" s="822"/>
      <c r="IXZ39" s="822"/>
      <c r="IYA39" s="822"/>
      <c r="IYB39" s="822"/>
      <c r="IYC39" s="822"/>
      <c r="IYD39" s="822"/>
      <c r="IYE39" s="822"/>
      <c r="IYF39" s="822"/>
      <c r="IYG39" s="822"/>
      <c r="IYH39" s="822"/>
      <c r="IYI39" s="822"/>
      <c r="IYJ39" s="822"/>
      <c r="IYK39" s="822"/>
      <c r="IYL39" s="822"/>
      <c r="IYM39" s="822"/>
      <c r="IYN39" s="822"/>
      <c r="IYO39" s="822"/>
      <c r="IYP39" s="822"/>
      <c r="IYQ39" s="822"/>
      <c r="IYR39" s="822"/>
      <c r="IYS39" s="822"/>
      <c r="IYT39" s="822"/>
      <c r="IYU39" s="822"/>
      <c r="IYV39" s="822"/>
      <c r="IYW39" s="822"/>
      <c r="IYX39" s="822"/>
      <c r="IYY39" s="822"/>
      <c r="IYZ39" s="822"/>
      <c r="IZA39" s="822"/>
      <c r="IZB39" s="822"/>
      <c r="IZC39" s="822"/>
      <c r="IZD39" s="822"/>
      <c r="IZE39" s="822"/>
      <c r="IZF39" s="822"/>
      <c r="IZG39" s="822"/>
      <c r="IZH39" s="822"/>
      <c r="IZI39" s="822"/>
      <c r="IZJ39" s="822"/>
      <c r="IZK39" s="822"/>
      <c r="IZL39" s="822"/>
      <c r="IZM39" s="822"/>
      <c r="IZN39" s="822"/>
      <c r="IZO39" s="822"/>
      <c r="IZP39" s="822"/>
      <c r="IZQ39" s="822"/>
      <c r="IZR39" s="822"/>
      <c r="IZS39" s="822"/>
      <c r="IZT39" s="822"/>
      <c r="IZU39" s="822"/>
      <c r="IZV39" s="822"/>
      <c r="IZW39" s="822"/>
      <c r="IZX39" s="822"/>
      <c r="IZY39" s="822"/>
      <c r="IZZ39" s="822"/>
      <c r="JAA39" s="822"/>
      <c r="JAB39" s="822"/>
      <c r="JAC39" s="822"/>
      <c r="JAD39" s="822"/>
      <c r="JAE39" s="822"/>
      <c r="JAF39" s="822"/>
      <c r="JAG39" s="822"/>
      <c r="JAH39" s="822"/>
      <c r="JAI39" s="822"/>
      <c r="JAJ39" s="822"/>
      <c r="JAK39" s="822"/>
      <c r="JAL39" s="822"/>
      <c r="JAM39" s="822"/>
      <c r="JAN39" s="822"/>
      <c r="JAO39" s="822"/>
      <c r="JAP39" s="822"/>
      <c r="JAQ39" s="822"/>
      <c r="JAR39" s="822"/>
      <c r="JAS39" s="822"/>
      <c r="JAT39" s="822"/>
      <c r="JAU39" s="822"/>
      <c r="JAV39" s="822"/>
      <c r="JAW39" s="822"/>
      <c r="JAX39" s="822"/>
      <c r="JAY39" s="822"/>
      <c r="JAZ39" s="822"/>
      <c r="JBA39" s="822"/>
      <c r="JBB39" s="822"/>
      <c r="JBC39" s="822"/>
      <c r="JBD39" s="822"/>
      <c r="JBE39" s="822"/>
      <c r="JBF39" s="822"/>
      <c r="JBG39" s="822"/>
      <c r="JBH39" s="822"/>
      <c r="JBI39" s="822"/>
      <c r="JBJ39" s="822"/>
      <c r="JBK39" s="822"/>
      <c r="JBL39" s="822"/>
      <c r="JBM39" s="822"/>
      <c r="JBN39" s="822"/>
      <c r="JBO39" s="822"/>
      <c r="JBP39" s="822"/>
      <c r="JBQ39" s="822"/>
      <c r="JBR39" s="822"/>
      <c r="JBS39" s="822"/>
      <c r="JBT39" s="822"/>
      <c r="JBU39" s="822"/>
      <c r="JBV39" s="822"/>
      <c r="JBW39" s="822"/>
      <c r="JBX39" s="822"/>
      <c r="JBY39" s="822"/>
      <c r="JBZ39" s="822"/>
      <c r="JCA39" s="822"/>
      <c r="JCB39" s="822"/>
      <c r="JCC39" s="822"/>
      <c r="JCD39" s="822"/>
      <c r="JCE39" s="822"/>
      <c r="JCF39" s="822"/>
      <c r="JCG39" s="822"/>
      <c r="JCH39" s="822"/>
      <c r="JCI39" s="822"/>
      <c r="JCJ39" s="822"/>
      <c r="JCK39" s="822"/>
      <c r="JCL39" s="822"/>
      <c r="JCM39" s="822"/>
      <c r="JCN39" s="822"/>
      <c r="JCO39" s="822"/>
      <c r="JCP39" s="822"/>
      <c r="JCQ39" s="822"/>
      <c r="JCR39" s="822"/>
      <c r="JCS39" s="822"/>
      <c r="JCT39" s="822"/>
      <c r="JCU39" s="822"/>
      <c r="JCV39" s="822"/>
      <c r="JCW39" s="822"/>
      <c r="JCX39" s="822"/>
      <c r="JCY39" s="822"/>
      <c r="JCZ39" s="822"/>
      <c r="JDA39" s="822"/>
      <c r="JDB39" s="822"/>
      <c r="JDC39" s="822"/>
      <c r="JDD39" s="822"/>
      <c r="JDE39" s="822"/>
      <c r="JDF39" s="822"/>
      <c r="JDG39" s="822"/>
      <c r="JDH39" s="822"/>
      <c r="JDI39" s="822"/>
      <c r="JDJ39" s="822"/>
      <c r="JDK39" s="822"/>
      <c r="JDL39" s="822"/>
      <c r="JDM39" s="822"/>
      <c r="JDN39" s="822"/>
      <c r="JDO39" s="822"/>
      <c r="JDP39" s="822"/>
      <c r="JDQ39" s="822"/>
      <c r="JDR39" s="822"/>
      <c r="JDS39" s="822"/>
      <c r="JDT39" s="822"/>
      <c r="JDU39" s="822"/>
      <c r="JDV39" s="822"/>
      <c r="JDW39" s="822"/>
      <c r="JDX39" s="822"/>
      <c r="JDY39" s="822"/>
      <c r="JDZ39" s="822"/>
      <c r="JEA39" s="822"/>
      <c r="JEB39" s="822"/>
      <c r="JEC39" s="822"/>
      <c r="JED39" s="822"/>
      <c r="JEE39" s="822"/>
      <c r="JEF39" s="822"/>
      <c r="JEG39" s="822"/>
      <c r="JEH39" s="822"/>
      <c r="JEI39" s="822"/>
      <c r="JEJ39" s="822"/>
      <c r="JEK39" s="822"/>
      <c r="JEL39" s="822"/>
      <c r="JEM39" s="822"/>
      <c r="JEN39" s="822"/>
      <c r="JEO39" s="822"/>
      <c r="JEP39" s="822"/>
      <c r="JEQ39" s="822"/>
      <c r="JER39" s="822"/>
      <c r="JES39" s="822"/>
      <c r="JET39" s="822"/>
      <c r="JEU39" s="822"/>
      <c r="JEV39" s="822"/>
      <c r="JEW39" s="822"/>
      <c r="JEX39" s="822"/>
      <c r="JEY39" s="822"/>
      <c r="JEZ39" s="822"/>
      <c r="JFA39" s="822"/>
      <c r="JFB39" s="822"/>
      <c r="JFC39" s="822"/>
      <c r="JFD39" s="822"/>
      <c r="JFE39" s="822"/>
      <c r="JFF39" s="822"/>
      <c r="JFG39" s="822"/>
      <c r="JFH39" s="822"/>
      <c r="JFI39" s="822"/>
      <c r="JFJ39" s="822"/>
      <c r="JFK39" s="822"/>
      <c r="JFL39" s="822"/>
      <c r="JFM39" s="822"/>
      <c r="JFN39" s="822"/>
      <c r="JFO39" s="822"/>
      <c r="JFP39" s="822"/>
      <c r="JFQ39" s="822"/>
      <c r="JFR39" s="822"/>
      <c r="JFS39" s="822"/>
      <c r="JFT39" s="822"/>
      <c r="JFU39" s="822"/>
      <c r="JFV39" s="822"/>
      <c r="JFW39" s="822"/>
      <c r="JFX39" s="822"/>
      <c r="JFY39" s="822"/>
      <c r="JFZ39" s="822"/>
      <c r="JGA39" s="822"/>
      <c r="JGB39" s="822"/>
      <c r="JGC39" s="822"/>
      <c r="JGD39" s="822"/>
      <c r="JGE39" s="822"/>
      <c r="JGF39" s="822"/>
      <c r="JGG39" s="822"/>
      <c r="JGH39" s="822"/>
      <c r="JGI39" s="822"/>
      <c r="JGJ39" s="822"/>
      <c r="JGK39" s="822"/>
      <c r="JGL39" s="822"/>
      <c r="JGM39" s="822"/>
      <c r="JGN39" s="822"/>
      <c r="JGO39" s="822"/>
      <c r="JGP39" s="822"/>
      <c r="JGQ39" s="822"/>
      <c r="JGR39" s="822"/>
      <c r="JGS39" s="822"/>
      <c r="JGT39" s="822"/>
      <c r="JGU39" s="822"/>
      <c r="JGV39" s="822"/>
      <c r="JGW39" s="822"/>
      <c r="JGX39" s="822"/>
      <c r="JGY39" s="822"/>
      <c r="JGZ39" s="822"/>
      <c r="JHA39" s="822"/>
      <c r="JHB39" s="822"/>
      <c r="JHC39" s="822"/>
      <c r="JHD39" s="822"/>
      <c r="JHE39" s="822"/>
      <c r="JHF39" s="822"/>
      <c r="JHG39" s="822"/>
      <c r="JHH39" s="822"/>
      <c r="JHI39" s="822"/>
      <c r="JHJ39" s="822"/>
      <c r="JHK39" s="822"/>
      <c r="JHL39" s="822"/>
      <c r="JHM39" s="822"/>
      <c r="JHN39" s="822"/>
      <c r="JHO39" s="822"/>
      <c r="JHP39" s="822"/>
      <c r="JHQ39" s="822"/>
      <c r="JHR39" s="822"/>
      <c r="JHS39" s="822"/>
      <c r="JHT39" s="822"/>
      <c r="JHU39" s="822"/>
      <c r="JHV39" s="822"/>
      <c r="JHW39" s="822"/>
      <c r="JHX39" s="822"/>
      <c r="JHY39" s="822"/>
      <c r="JHZ39" s="822"/>
      <c r="JIA39" s="822"/>
      <c r="JIB39" s="822"/>
      <c r="JIC39" s="822"/>
      <c r="JID39" s="822"/>
      <c r="JIE39" s="822"/>
      <c r="JIF39" s="822"/>
      <c r="JIG39" s="822"/>
      <c r="JIH39" s="822"/>
      <c r="JII39" s="822"/>
      <c r="JIJ39" s="822"/>
      <c r="JIK39" s="822"/>
      <c r="JIL39" s="822"/>
      <c r="JIM39" s="822"/>
      <c r="JIN39" s="822"/>
      <c r="JIO39" s="822"/>
      <c r="JIP39" s="822"/>
      <c r="JIQ39" s="822"/>
      <c r="JIR39" s="822"/>
      <c r="JIS39" s="822"/>
      <c r="JIT39" s="822"/>
      <c r="JIU39" s="822"/>
      <c r="JIV39" s="822"/>
      <c r="JIW39" s="822"/>
      <c r="JIX39" s="822"/>
      <c r="JIY39" s="822"/>
      <c r="JIZ39" s="822"/>
      <c r="JJA39" s="822"/>
      <c r="JJB39" s="822"/>
      <c r="JJC39" s="822"/>
      <c r="JJD39" s="822"/>
      <c r="JJE39" s="822"/>
      <c r="JJF39" s="822"/>
      <c r="JJG39" s="822"/>
      <c r="JJH39" s="822"/>
      <c r="JJI39" s="822"/>
      <c r="JJJ39" s="822"/>
      <c r="JJK39" s="822"/>
      <c r="JJL39" s="822"/>
      <c r="JJM39" s="822"/>
      <c r="JJN39" s="822"/>
      <c r="JJO39" s="822"/>
      <c r="JJP39" s="822"/>
      <c r="JJQ39" s="822"/>
      <c r="JJR39" s="822"/>
      <c r="JJS39" s="822"/>
      <c r="JJT39" s="822"/>
      <c r="JJU39" s="822"/>
      <c r="JJV39" s="822"/>
      <c r="JJW39" s="822"/>
      <c r="JJX39" s="822"/>
      <c r="JJY39" s="822"/>
      <c r="JJZ39" s="822"/>
      <c r="JKA39" s="822"/>
      <c r="JKB39" s="822"/>
      <c r="JKC39" s="822"/>
      <c r="JKD39" s="822"/>
      <c r="JKE39" s="822"/>
      <c r="JKF39" s="822"/>
      <c r="JKG39" s="822"/>
      <c r="JKH39" s="822"/>
      <c r="JKI39" s="822"/>
      <c r="JKJ39" s="822"/>
      <c r="JKK39" s="822"/>
      <c r="JKL39" s="822"/>
      <c r="JKM39" s="822"/>
      <c r="JKN39" s="822"/>
      <c r="JKO39" s="822"/>
      <c r="JKP39" s="822"/>
      <c r="JKQ39" s="822"/>
      <c r="JKR39" s="822"/>
      <c r="JKS39" s="822"/>
      <c r="JKT39" s="822"/>
      <c r="JKU39" s="822"/>
      <c r="JKV39" s="822"/>
      <c r="JKW39" s="822"/>
      <c r="JKX39" s="822"/>
      <c r="JKY39" s="822"/>
      <c r="JKZ39" s="822"/>
      <c r="JLA39" s="822"/>
      <c r="JLB39" s="822"/>
      <c r="JLC39" s="822"/>
      <c r="JLD39" s="822"/>
      <c r="JLE39" s="822"/>
      <c r="JLF39" s="822"/>
      <c r="JLG39" s="822"/>
      <c r="JLH39" s="822"/>
      <c r="JLI39" s="822"/>
      <c r="JLJ39" s="822"/>
      <c r="JLK39" s="822"/>
      <c r="JLL39" s="822"/>
      <c r="JLM39" s="822"/>
      <c r="JLN39" s="822"/>
      <c r="JLO39" s="822"/>
      <c r="JLP39" s="822"/>
      <c r="JLQ39" s="822"/>
      <c r="JLR39" s="822"/>
      <c r="JLS39" s="822"/>
      <c r="JLT39" s="822"/>
      <c r="JLU39" s="822"/>
      <c r="JLV39" s="822"/>
      <c r="JLW39" s="822"/>
      <c r="JLX39" s="822"/>
      <c r="JLY39" s="822"/>
      <c r="JLZ39" s="822"/>
      <c r="JMA39" s="822"/>
      <c r="JMB39" s="822"/>
      <c r="JMC39" s="822"/>
      <c r="JMD39" s="822"/>
      <c r="JME39" s="822"/>
      <c r="JMF39" s="822"/>
      <c r="JMG39" s="822"/>
      <c r="JMH39" s="822"/>
      <c r="JMI39" s="822"/>
      <c r="JMJ39" s="822"/>
      <c r="JMK39" s="822"/>
      <c r="JML39" s="822"/>
      <c r="JMM39" s="822"/>
      <c r="JMN39" s="822"/>
      <c r="JMO39" s="822"/>
      <c r="JMP39" s="822"/>
      <c r="JMQ39" s="822"/>
      <c r="JMR39" s="822"/>
      <c r="JMS39" s="822"/>
      <c r="JMT39" s="822"/>
      <c r="JMU39" s="822"/>
      <c r="JMV39" s="822"/>
      <c r="JMW39" s="822"/>
      <c r="JMX39" s="822"/>
      <c r="JMY39" s="822"/>
      <c r="JMZ39" s="822"/>
      <c r="JNA39" s="822"/>
      <c r="JNB39" s="822"/>
      <c r="JNC39" s="822"/>
      <c r="JND39" s="822"/>
      <c r="JNE39" s="822"/>
      <c r="JNF39" s="822"/>
      <c r="JNG39" s="822"/>
      <c r="JNH39" s="822"/>
      <c r="JNI39" s="822"/>
      <c r="JNJ39" s="822"/>
      <c r="JNK39" s="822"/>
      <c r="JNL39" s="822"/>
      <c r="JNM39" s="822"/>
      <c r="JNN39" s="822"/>
      <c r="JNO39" s="822"/>
      <c r="JNP39" s="822"/>
      <c r="JNQ39" s="822"/>
      <c r="JNR39" s="822"/>
      <c r="JNS39" s="822"/>
      <c r="JNT39" s="822"/>
      <c r="JNU39" s="822"/>
      <c r="JNV39" s="822"/>
      <c r="JNW39" s="822"/>
      <c r="JNX39" s="822"/>
      <c r="JNY39" s="822"/>
      <c r="JNZ39" s="822"/>
      <c r="JOA39" s="822"/>
      <c r="JOB39" s="822"/>
      <c r="JOC39" s="822"/>
      <c r="JOD39" s="822"/>
      <c r="JOE39" s="822"/>
      <c r="JOF39" s="822"/>
      <c r="JOG39" s="822"/>
      <c r="JOH39" s="822"/>
      <c r="JOI39" s="822"/>
      <c r="JOJ39" s="822"/>
      <c r="JOK39" s="822"/>
      <c r="JOL39" s="822"/>
      <c r="JOM39" s="822"/>
      <c r="JON39" s="822"/>
      <c r="JOO39" s="822"/>
      <c r="JOP39" s="822"/>
      <c r="JOQ39" s="822"/>
      <c r="JOR39" s="822"/>
      <c r="JOS39" s="822"/>
      <c r="JOT39" s="822"/>
      <c r="JOU39" s="822"/>
      <c r="JOV39" s="822"/>
      <c r="JOW39" s="822"/>
      <c r="JOX39" s="822"/>
      <c r="JOY39" s="822"/>
      <c r="JOZ39" s="822"/>
      <c r="JPA39" s="822"/>
      <c r="JPB39" s="822"/>
      <c r="JPC39" s="822"/>
      <c r="JPD39" s="822"/>
      <c r="JPE39" s="822"/>
      <c r="JPF39" s="822"/>
      <c r="JPG39" s="822"/>
      <c r="JPH39" s="822"/>
      <c r="JPI39" s="822"/>
      <c r="JPJ39" s="822"/>
      <c r="JPK39" s="822"/>
      <c r="JPL39" s="822"/>
      <c r="JPM39" s="822"/>
      <c r="JPN39" s="822"/>
      <c r="JPO39" s="822"/>
      <c r="JPP39" s="822"/>
      <c r="JPQ39" s="822"/>
      <c r="JPR39" s="822"/>
      <c r="JPS39" s="822"/>
      <c r="JPT39" s="822"/>
      <c r="JPU39" s="822"/>
      <c r="JPV39" s="822"/>
      <c r="JPW39" s="822"/>
      <c r="JPX39" s="822"/>
      <c r="JPY39" s="822"/>
      <c r="JPZ39" s="822"/>
      <c r="JQA39" s="822"/>
      <c r="JQB39" s="822"/>
      <c r="JQC39" s="822"/>
      <c r="JQD39" s="822"/>
      <c r="JQE39" s="822"/>
      <c r="JQF39" s="822"/>
      <c r="JQG39" s="822"/>
      <c r="JQH39" s="822"/>
      <c r="JQI39" s="822"/>
      <c r="JQJ39" s="822"/>
      <c r="JQK39" s="822"/>
      <c r="JQL39" s="822"/>
      <c r="JQM39" s="822"/>
      <c r="JQN39" s="822"/>
      <c r="JQO39" s="822"/>
      <c r="JQP39" s="822"/>
      <c r="JQQ39" s="822"/>
      <c r="JQR39" s="822"/>
      <c r="JQS39" s="822"/>
      <c r="JQT39" s="822"/>
      <c r="JQU39" s="822"/>
      <c r="JQV39" s="822"/>
      <c r="JQW39" s="822"/>
      <c r="JQX39" s="822"/>
      <c r="JQY39" s="822"/>
      <c r="JQZ39" s="822"/>
      <c r="JRA39" s="822"/>
      <c r="JRB39" s="822"/>
      <c r="JRC39" s="822"/>
      <c r="JRD39" s="822"/>
      <c r="JRE39" s="822"/>
      <c r="JRF39" s="822"/>
      <c r="JRG39" s="822"/>
      <c r="JRH39" s="822"/>
      <c r="JRI39" s="822"/>
      <c r="JRJ39" s="822"/>
      <c r="JRK39" s="822"/>
      <c r="JRL39" s="822"/>
      <c r="JRM39" s="822"/>
      <c r="JRN39" s="822"/>
      <c r="JRO39" s="822"/>
      <c r="JRP39" s="822"/>
      <c r="JRQ39" s="822"/>
      <c r="JRR39" s="822"/>
      <c r="JRS39" s="822"/>
      <c r="JRT39" s="822"/>
      <c r="JRU39" s="822"/>
      <c r="JRV39" s="822"/>
      <c r="JRW39" s="822"/>
      <c r="JRX39" s="822"/>
      <c r="JRY39" s="822"/>
      <c r="JRZ39" s="822"/>
      <c r="JSA39" s="822"/>
      <c r="JSB39" s="822"/>
      <c r="JSC39" s="822"/>
      <c r="JSD39" s="822"/>
      <c r="JSE39" s="822"/>
      <c r="JSF39" s="822"/>
      <c r="JSG39" s="822"/>
      <c r="JSH39" s="822"/>
      <c r="JSI39" s="822"/>
      <c r="JSJ39" s="822"/>
      <c r="JSK39" s="822"/>
      <c r="JSL39" s="822"/>
      <c r="JSM39" s="822"/>
      <c r="JSN39" s="822"/>
      <c r="JSO39" s="822"/>
      <c r="JSP39" s="822"/>
      <c r="JSQ39" s="822"/>
      <c r="JSR39" s="822"/>
      <c r="JSS39" s="822"/>
      <c r="JST39" s="822"/>
      <c r="JSU39" s="822"/>
      <c r="JSV39" s="822"/>
      <c r="JSW39" s="822"/>
      <c r="JSX39" s="822"/>
      <c r="JSY39" s="822"/>
      <c r="JSZ39" s="822"/>
      <c r="JTA39" s="822"/>
      <c r="JTB39" s="822"/>
      <c r="JTC39" s="822"/>
      <c r="JTD39" s="822"/>
      <c r="JTE39" s="822"/>
      <c r="JTF39" s="822"/>
      <c r="JTG39" s="822"/>
      <c r="JTH39" s="822"/>
      <c r="JTI39" s="822"/>
      <c r="JTJ39" s="822"/>
      <c r="JTK39" s="822"/>
      <c r="JTL39" s="822"/>
      <c r="JTM39" s="822"/>
      <c r="JTN39" s="822"/>
      <c r="JTO39" s="822"/>
      <c r="JTP39" s="822"/>
      <c r="JTQ39" s="822"/>
      <c r="JTR39" s="822"/>
      <c r="JTS39" s="822"/>
      <c r="JTT39" s="822"/>
      <c r="JTU39" s="822"/>
      <c r="JTV39" s="822"/>
      <c r="JTW39" s="822"/>
      <c r="JTX39" s="822"/>
      <c r="JTY39" s="822"/>
      <c r="JTZ39" s="822"/>
      <c r="JUA39" s="822"/>
      <c r="JUB39" s="822"/>
      <c r="JUC39" s="822"/>
      <c r="JUD39" s="822"/>
      <c r="JUE39" s="822"/>
      <c r="JUF39" s="822"/>
      <c r="JUG39" s="822"/>
      <c r="JUH39" s="822"/>
      <c r="JUI39" s="822"/>
      <c r="JUJ39" s="822"/>
      <c r="JUK39" s="822"/>
      <c r="JUL39" s="822"/>
      <c r="JUM39" s="822"/>
      <c r="JUN39" s="822"/>
      <c r="JUO39" s="822"/>
      <c r="JUP39" s="822"/>
      <c r="JUQ39" s="822"/>
      <c r="JUR39" s="822"/>
      <c r="JUS39" s="822"/>
      <c r="JUT39" s="822"/>
      <c r="JUU39" s="822"/>
      <c r="JUV39" s="822"/>
      <c r="JUW39" s="822"/>
      <c r="JUX39" s="822"/>
      <c r="JUY39" s="822"/>
      <c r="JUZ39" s="822"/>
      <c r="JVA39" s="822"/>
      <c r="JVB39" s="822"/>
      <c r="JVC39" s="822"/>
      <c r="JVD39" s="822"/>
      <c r="JVE39" s="822"/>
      <c r="JVF39" s="822"/>
      <c r="JVG39" s="822"/>
      <c r="JVH39" s="822"/>
      <c r="JVI39" s="822"/>
      <c r="JVJ39" s="822"/>
      <c r="JVK39" s="822"/>
      <c r="JVL39" s="822"/>
      <c r="JVM39" s="822"/>
      <c r="JVN39" s="822"/>
      <c r="JVO39" s="822"/>
      <c r="JVP39" s="822"/>
      <c r="JVQ39" s="822"/>
      <c r="JVR39" s="822"/>
      <c r="JVS39" s="822"/>
      <c r="JVT39" s="822"/>
      <c r="JVU39" s="822"/>
      <c r="JVV39" s="822"/>
      <c r="JVW39" s="822"/>
      <c r="JVX39" s="822"/>
      <c r="JVY39" s="822"/>
      <c r="JVZ39" s="822"/>
      <c r="JWA39" s="822"/>
      <c r="JWB39" s="822"/>
      <c r="JWC39" s="822"/>
      <c r="JWD39" s="822"/>
      <c r="JWE39" s="822"/>
      <c r="JWF39" s="822"/>
      <c r="JWG39" s="822"/>
      <c r="JWH39" s="822"/>
      <c r="JWI39" s="822"/>
      <c r="JWJ39" s="822"/>
      <c r="JWK39" s="822"/>
      <c r="JWL39" s="822"/>
      <c r="JWM39" s="822"/>
      <c r="JWN39" s="822"/>
      <c r="JWO39" s="822"/>
      <c r="JWP39" s="822"/>
      <c r="JWQ39" s="822"/>
      <c r="JWR39" s="822"/>
      <c r="JWS39" s="822"/>
      <c r="JWT39" s="822"/>
      <c r="JWU39" s="822"/>
      <c r="JWV39" s="822"/>
      <c r="JWW39" s="822"/>
      <c r="JWX39" s="822"/>
      <c r="JWY39" s="822"/>
      <c r="JWZ39" s="822"/>
      <c r="JXA39" s="822"/>
      <c r="JXB39" s="822"/>
      <c r="JXC39" s="822"/>
      <c r="JXD39" s="822"/>
      <c r="JXE39" s="822"/>
      <c r="JXF39" s="822"/>
      <c r="JXG39" s="822"/>
      <c r="JXH39" s="822"/>
      <c r="JXI39" s="822"/>
      <c r="JXJ39" s="822"/>
      <c r="JXK39" s="822"/>
      <c r="JXL39" s="822"/>
      <c r="JXM39" s="822"/>
      <c r="JXN39" s="822"/>
      <c r="JXO39" s="822"/>
      <c r="JXP39" s="822"/>
      <c r="JXQ39" s="822"/>
      <c r="JXR39" s="822"/>
      <c r="JXS39" s="822"/>
      <c r="JXT39" s="822"/>
      <c r="JXU39" s="822"/>
      <c r="JXV39" s="822"/>
      <c r="JXW39" s="822"/>
      <c r="JXX39" s="822"/>
      <c r="JXY39" s="822"/>
      <c r="JXZ39" s="822"/>
      <c r="JYA39" s="822"/>
      <c r="JYB39" s="822"/>
      <c r="JYC39" s="822"/>
      <c r="JYD39" s="822"/>
      <c r="JYE39" s="822"/>
      <c r="JYF39" s="822"/>
      <c r="JYG39" s="822"/>
      <c r="JYH39" s="822"/>
      <c r="JYI39" s="822"/>
      <c r="JYJ39" s="822"/>
      <c r="JYK39" s="822"/>
      <c r="JYL39" s="822"/>
      <c r="JYM39" s="822"/>
      <c r="JYN39" s="822"/>
      <c r="JYO39" s="822"/>
      <c r="JYP39" s="822"/>
      <c r="JYQ39" s="822"/>
      <c r="JYR39" s="822"/>
      <c r="JYS39" s="822"/>
      <c r="JYT39" s="822"/>
      <c r="JYU39" s="822"/>
      <c r="JYV39" s="822"/>
      <c r="JYW39" s="822"/>
      <c r="JYX39" s="822"/>
      <c r="JYY39" s="822"/>
      <c r="JYZ39" s="822"/>
      <c r="JZA39" s="822"/>
      <c r="JZB39" s="822"/>
      <c r="JZC39" s="822"/>
      <c r="JZD39" s="822"/>
      <c r="JZE39" s="822"/>
      <c r="JZF39" s="822"/>
      <c r="JZG39" s="822"/>
      <c r="JZH39" s="822"/>
      <c r="JZI39" s="822"/>
      <c r="JZJ39" s="822"/>
      <c r="JZK39" s="822"/>
      <c r="JZL39" s="822"/>
      <c r="JZM39" s="822"/>
      <c r="JZN39" s="822"/>
      <c r="JZO39" s="822"/>
      <c r="JZP39" s="822"/>
      <c r="JZQ39" s="822"/>
      <c r="JZR39" s="822"/>
      <c r="JZS39" s="822"/>
      <c r="JZT39" s="822"/>
      <c r="JZU39" s="822"/>
      <c r="JZV39" s="822"/>
      <c r="JZW39" s="822"/>
      <c r="JZX39" s="822"/>
      <c r="JZY39" s="822"/>
      <c r="JZZ39" s="822"/>
      <c r="KAA39" s="822"/>
      <c r="KAB39" s="822"/>
      <c r="KAC39" s="822"/>
      <c r="KAD39" s="822"/>
      <c r="KAE39" s="822"/>
      <c r="KAF39" s="822"/>
      <c r="KAG39" s="822"/>
      <c r="KAH39" s="822"/>
      <c r="KAI39" s="822"/>
      <c r="KAJ39" s="822"/>
      <c r="KAK39" s="822"/>
      <c r="KAL39" s="822"/>
      <c r="KAM39" s="822"/>
      <c r="KAN39" s="822"/>
      <c r="KAO39" s="822"/>
      <c r="KAP39" s="822"/>
      <c r="KAQ39" s="822"/>
      <c r="KAR39" s="822"/>
      <c r="KAS39" s="822"/>
      <c r="KAT39" s="822"/>
      <c r="KAU39" s="822"/>
      <c r="KAV39" s="822"/>
      <c r="KAW39" s="822"/>
      <c r="KAX39" s="822"/>
      <c r="KAY39" s="822"/>
      <c r="KAZ39" s="822"/>
      <c r="KBA39" s="822"/>
      <c r="KBB39" s="822"/>
      <c r="KBC39" s="822"/>
      <c r="KBD39" s="822"/>
      <c r="KBE39" s="822"/>
      <c r="KBF39" s="822"/>
      <c r="KBG39" s="822"/>
      <c r="KBH39" s="822"/>
      <c r="KBI39" s="822"/>
      <c r="KBJ39" s="822"/>
      <c r="KBK39" s="822"/>
      <c r="KBL39" s="822"/>
      <c r="KBM39" s="822"/>
      <c r="KBN39" s="822"/>
      <c r="KBO39" s="822"/>
      <c r="KBP39" s="822"/>
      <c r="KBQ39" s="822"/>
      <c r="KBR39" s="822"/>
      <c r="KBS39" s="822"/>
      <c r="KBT39" s="822"/>
      <c r="KBU39" s="822"/>
      <c r="KBV39" s="822"/>
      <c r="KBW39" s="822"/>
      <c r="KBX39" s="822"/>
      <c r="KBY39" s="822"/>
      <c r="KBZ39" s="822"/>
      <c r="KCA39" s="822"/>
      <c r="KCB39" s="822"/>
      <c r="KCC39" s="822"/>
      <c r="KCD39" s="822"/>
      <c r="KCE39" s="822"/>
      <c r="KCF39" s="822"/>
      <c r="KCG39" s="822"/>
      <c r="KCH39" s="822"/>
      <c r="KCI39" s="822"/>
      <c r="KCJ39" s="822"/>
      <c r="KCK39" s="822"/>
      <c r="KCL39" s="822"/>
      <c r="KCM39" s="822"/>
      <c r="KCN39" s="822"/>
      <c r="KCO39" s="822"/>
      <c r="KCP39" s="822"/>
      <c r="KCQ39" s="822"/>
      <c r="KCR39" s="822"/>
      <c r="KCS39" s="822"/>
      <c r="KCT39" s="822"/>
      <c r="KCU39" s="822"/>
      <c r="KCV39" s="822"/>
      <c r="KCW39" s="822"/>
      <c r="KCX39" s="822"/>
      <c r="KCY39" s="822"/>
      <c r="KCZ39" s="822"/>
      <c r="KDA39" s="822"/>
      <c r="KDB39" s="822"/>
      <c r="KDC39" s="822"/>
      <c r="KDD39" s="822"/>
      <c r="KDE39" s="822"/>
      <c r="KDF39" s="822"/>
      <c r="KDG39" s="822"/>
      <c r="KDH39" s="822"/>
      <c r="KDI39" s="822"/>
      <c r="KDJ39" s="822"/>
      <c r="KDK39" s="822"/>
      <c r="KDL39" s="822"/>
      <c r="KDM39" s="822"/>
      <c r="KDN39" s="822"/>
      <c r="KDO39" s="822"/>
      <c r="KDP39" s="822"/>
      <c r="KDQ39" s="822"/>
      <c r="KDR39" s="822"/>
      <c r="KDS39" s="822"/>
      <c r="KDT39" s="822"/>
      <c r="KDU39" s="822"/>
      <c r="KDV39" s="822"/>
      <c r="KDW39" s="822"/>
      <c r="KDX39" s="822"/>
      <c r="KDY39" s="822"/>
      <c r="KDZ39" s="822"/>
      <c r="KEA39" s="822"/>
      <c r="KEB39" s="822"/>
      <c r="KEC39" s="822"/>
      <c r="KED39" s="822"/>
      <c r="KEE39" s="822"/>
      <c r="KEF39" s="822"/>
      <c r="KEG39" s="822"/>
      <c r="KEH39" s="822"/>
      <c r="KEI39" s="822"/>
      <c r="KEJ39" s="822"/>
      <c r="KEK39" s="822"/>
      <c r="KEL39" s="822"/>
      <c r="KEM39" s="822"/>
      <c r="KEN39" s="822"/>
      <c r="KEO39" s="822"/>
      <c r="KEP39" s="822"/>
      <c r="KEQ39" s="822"/>
      <c r="KER39" s="822"/>
      <c r="KES39" s="822"/>
      <c r="KET39" s="822"/>
      <c r="KEU39" s="822"/>
      <c r="KEV39" s="822"/>
      <c r="KEW39" s="822"/>
      <c r="KEX39" s="822"/>
      <c r="KEY39" s="822"/>
      <c r="KEZ39" s="822"/>
      <c r="KFA39" s="822"/>
      <c r="KFB39" s="822"/>
      <c r="KFC39" s="822"/>
      <c r="KFD39" s="822"/>
      <c r="KFE39" s="822"/>
      <c r="KFF39" s="822"/>
      <c r="KFG39" s="822"/>
      <c r="KFH39" s="822"/>
      <c r="KFI39" s="822"/>
      <c r="KFJ39" s="822"/>
      <c r="KFK39" s="822"/>
      <c r="KFL39" s="822"/>
      <c r="KFM39" s="822"/>
      <c r="KFN39" s="822"/>
      <c r="KFO39" s="822"/>
      <c r="KFP39" s="822"/>
      <c r="KFQ39" s="822"/>
      <c r="KFR39" s="822"/>
      <c r="KFS39" s="822"/>
      <c r="KFT39" s="822"/>
      <c r="KFU39" s="822"/>
      <c r="KFV39" s="822"/>
      <c r="KFW39" s="822"/>
      <c r="KFX39" s="822"/>
      <c r="KFY39" s="822"/>
      <c r="KFZ39" s="822"/>
      <c r="KGA39" s="822"/>
      <c r="KGB39" s="822"/>
      <c r="KGC39" s="822"/>
      <c r="KGD39" s="822"/>
      <c r="KGE39" s="822"/>
      <c r="KGF39" s="822"/>
      <c r="KGG39" s="822"/>
      <c r="KGH39" s="822"/>
      <c r="KGI39" s="822"/>
      <c r="KGJ39" s="822"/>
      <c r="KGK39" s="822"/>
      <c r="KGL39" s="822"/>
      <c r="KGM39" s="822"/>
      <c r="KGN39" s="822"/>
      <c r="KGO39" s="822"/>
      <c r="KGP39" s="822"/>
      <c r="KGQ39" s="822"/>
      <c r="KGR39" s="822"/>
      <c r="KGS39" s="822"/>
      <c r="KGT39" s="822"/>
      <c r="KGU39" s="822"/>
      <c r="KGV39" s="822"/>
      <c r="KGW39" s="822"/>
      <c r="KGX39" s="822"/>
      <c r="KGY39" s="822"/>
      <c r="KGZ39" s="822"/>
      <c r="KHA39" s="822"/>
      <c r="KHB39" s="822"/>
      <c r="KHC39" s="822"/>
      <c r="KHD39" s="822"/>
      <c r="KHE39" s="822"/>
      <c r="KHF39" s="822"/>
      <c r="KHG39" s="822"/>
      <c r="KHH39" s="822"/>
      <c r="KHI39" s="822"/>
      <c r="KHJ39" s="822"/>
      <c r="KHK39" s="822"/>
      <c r="KHL39" s="822"/>
      <c r="KHM39" s="822"/>
      <c r="KHN39" s="822"/>
      <c r="KHO39" s="822"/>
      <c r="KHP39" s="822"/>
      <c r="KHQ39" s="822"/>
      <c r="KHR39" s="822"/>
      <c r="KHS39" s="822"/>
      <c r="KHT39" s="822"/>
      <c r="KHU39" s="822"/>
      <c r="KHV39" s="822"/>
      <c r="KHW39" s="822"/>
      <c r="KHX39" s="822"/>
      <c r="KHY39" s="822"/>
      <c r="KHZ39" s="822"/>
      <c r="KIA39" s="822"/>
      <c r="KIB39" s="822"/>
      <c r="KIC39" s="822"/>
      <c r="KID39" s="822"/>
      <c r="KIE39" s="822"/>
      <c r="KIF39" s="822"/>
      <c r="KIG39" s="822"/>
      <c r="KIH39" s="822"/>
      <c r="KII39" s="822"/>
      <c r="KIJ39" s="822"/>
      <c r="KIK39" s="822"/>
      <c r="KIL39" s="822"/>
      <c r="KIM39" s="822"/>
      <c r="KIN39" s="822"/>
      <c r="KIO39" s="822"/>
      <c r="KIP39" s="822"/>
      <c r="KIQ39" s="822"/>
      <c r="KIR39" s="822"/>
      <c r="KIS39" s="822"/>
      <c r="KIT39" s="822"/>
      <c r="KIU39" s="822"/>
      <c r="KIV39" s="822"/>
      <c r="KIW39" s="822"/>
      <c r="KIX39" s="822"/>
      <c r="KIY39" s="822"/>
      <c r="KIZ39" s="822"/>
      <c r="KJA39" s="822"/>
      <c r="KJB39" s="822"/>
      <c r="KJC39" s="822"/>
      <c r="KJD39" s="822"/>
      <c r="KJE39" s="822"/>
      <c r="KJF39" s="822"/>
      <c r="KJG39" s="822"/>
      <c r="KJH39" s="822"/>
      <c r="KJI39" s="822"/>
      <c r="KJJ39" s="822"/>
      <c r="KJK39" s="822"/>
      <c r="KJL39" s="822"/>
      <c r="KJM39" s="822"/>
      <c r="KJN39" s="822"/>
      <c r="KJO39" s="822"/>
      <c r="KJP39" s="822"/>
      <c r="KJQ39" s="822"/>
      <c r="KJR39" s="822"/>
      <c r="KJS39" s="822"/>
      <c r="KJT39" s="822"/>
      <c r="KJU39" s="822"/>
      <c r="KJV39" s="822"/>
      <c r="KJW39" s="822"/>
      <c r="KJX39" s="822"/>
      <c r="KJY39" s="822"/>
      <c r="KJZ39" s="822"/>
      <c r="KKA39" s="822"/>
      <c r="KKB39" s="822"/>
      <c r="KKC39" s="822"/>
      <c r="KKD39" s="822"/>
      <c r="KKE39" s="822"/>
      <c r="KKF39" s="822"/>
      <c r="KKG39" s="822"/>
      <c r="KKH39" s="822"/>
      <c r="KKI39" s="822"/>
      <c r="KKJ39" s="822"/>
      <c r="KKK39" s="822"/>
      <c r="KKL39" s="822"/>
      <c r="KKM39" s="822"/>
      <c r="KKN39" s="822"/>
      <c r="KKO39" s="822"/>
      <c r="KKP39" s="822"/>
      <c r="KKQ39" s="822"/>
      <c r="KKR39" s="822"/>
      <c r="KKS39" s="822"/>
      <c r="KKT39" s="822"/>
      <c r="KKU39" s="822"/>
      <c r="KKV39" s="822"/>
      <c r="KKW39" s="822"/>
      <c r="KKX39" s="822"/>
      <c r="KKY39" s="822"/>
      <c r="KKZ39" s="822"/>
      <c r="KLA39" s="822"/>
      <c r="KLB39" s="822"/>
      <c r="KLC39" s="822"/>
      <c r="KLD39" s="822"/>
      <c r="KLE39" s="822"/>
      <c r="KLF39" s="822"/>
      <c r="KLG39" s="822"/>
      <c r="KLH39" s="822"/>
      <c r="KLI39" s="822"/>
      <c r="KLJ39" s="822"/>
      <c r="KLK39" s="822"/>
      <c r="KLL39" s="822"/>
      <c r="KLM39" s="822"/>
      <c r="KLN39" s="822"/>
      <c r="KLO39" s="822"/>
      <c r="KLP39" s="822"/>
      <c r="KLQ39" s="822"/>
      <c r="KLR39" s="822"/>
      <c r="KLS39" s="822"/>
      <c r="KLT39" s="822"/>
      <c r="KLU39" s="822"/>
      <c r="KLV39" s="822"/>
      <c r="KLW39" s="822"/>
      <c r="KLX39" s="822"/>
      <c r="KLY39" s="822"/>
      <c r="KLZ39" s="822"/>
      <c r="KMA39" s="822"/>
      <c r="KMB39" s="822"/>
      <c r="KMC39" s="822"/>
      <c r="KMD39" s="822"/>
      <c r="KME39" s="822"/>
      <c r="KMF39" s="822"/>
      <c r="KMG39" s="822"/>
      <c r="KMH39" s="822"/>
      <c r="KMI39" s="822"/>
      <c r="KMJ39" s="822"/>
      <c r="KMK39" s="822"/>
      <c r="KML39" s="822"/>
      <c r="KMM39" s="822"/>
      <c r="KMN39" s="822"/>
      <c r="KMO39" s="822"/>
      <c r="KMP39" s="822"/>
      <c r="KMQ39" s="822"/>
      <c r="KMR39" s="822"/>
      <c r="KMS39" s="822"/>
      <c r="KMT39" s="822"/>
      <c r="KMU39" s="822"/>
      <c r="KMV39" s="822"/>
      <c r="KMW39" s="822"/>
      <c r="KMX39" s="822"/>
      <c r="KMY39" s="822"/>
      <c r="KMZ39" s="822"/>
      <c r="KNA39" s="822"/>
      <c r="KNB39" s="822"/>
      <c r="KNC39" s="822"/>
      <c r="KND39" s="822"/>
      <c r="KNE39" s="822"/>
      <c r="KNF39" s="822"/>
      <c r="KNG39" s="822"/>
      <c r="KNH39" s="822"/>
      <c r="KNI39" s="822"/>
      <c r="KNJ39" s="822"/>
      <c r="KNK39" s="822"/>
      <c r="KNL39" s="822"/>
      <c r="KNM39" s="822"/>
      <c r="KNN39" s="822"/>
      <c r="KNO39" s="822"/>
      <c r="KNP39" s="822"/>
      <c r="KNQ39" s="822"/>
      <c r="KNR39" s="822"/>
      <c r="KNS39" s="822"/>
      <c r="KNT39" s="822"/>
      <c r="KNU39" s="822"/>
      <c r="KNV39" s="822"/>
      <c r="KNW39" s="822"/>
      <c r="KNX39" s="822"/>
      <c r="KNY39" s="822"/>
      <c r="KNZ39" s="822"/>
      <c r="KOA39" s="822"/>
      <c r="KOB39" s="822"/>
      <c r="KOC39" s="822"/>
      <c r="KOD39" s="822"/>
      <c r="KOE39" s="822"/>
      <c r="KOF39" s="822"/>
      <c r="KOG39" s="822"/>
      <c r="KOH39" s="822"/>
      <c r="KOI39" s="822"/>
      <c r="KOJ39" s="822"/>
      <c r="KOK39" s="822"/>
      <c r="KOL39" s="822"/>
      <c r="KOM39" s="822"/>
      <c r="KON39" s="822"/>
      <c r="KOO39" s="822"/>
      <c r="KOP39" s="822"/>
      <c r="KOQ39" s="822"/>
      <c r="KOR39" s="822"/>
      <c r="KOS39" s="822"/>
      <c r="KOT39" s="822"/>
      <c r="KOU39" s="822"/>
      <c r="KOV39" s="822"/>
      <c r="KOW39" s="822"/>
      <c r="KOX39" s="822"/>
      <c r="KOY39" s="822"/>
      <c r="KOZ39" s="822"/>
      <c r="KPA39" s="822"/>
      <c r="KPB39" s="822"/>
      <c r="KPC39" s="822"/>
      <c r="KPD39" s="822"/>
      <c r="KPE39" s="822"/>
      <c r="KPF39" s="822"/>
      <c r="KPG39" s="822"/>
      <c r="KPH39" s="822"/>
      <c r="KPI39" s="822"/>
      <c r="KPJ39" s="822"/>
      <c r="KPK39" s="822"/>
      <c r="KPL39" s="822"/>
      <c r="KPM39" s="822"/>
      <c r="KPN39" s="822"/>
      <c r="KPO39" s="822"/>
      <c r="KPP39" s="822"/>
      <c r="KPQ39" s="822"/>
      <c r="KPR39" s="822"/>
      <c r="KPS39" s="822"/>
      <c r="KPT39" s="822"/>
      <c r="KPU39" s="822"/>
      <c r="KPV39" s="822"/>
      <c r="KPW39" s="822"/>
      <c r="KPX39" s="822"/>
      <c r="KPY39" s="822"/>
      <c r="KPZ39" s="822"/>
      <c r="KQA39" s="822"/>
      <c r="KQB39" s="822"/>
      <c r="KQC39" s="822"/>
      <c r="KQD39" s="822"/>
      <c r="KQE39" s="822"/>
      <c r="KQF39" s="822"/>
      <c r="KQG39" s="822"/>
      <c r="KQH39" s="822"/>
      <c r="KQI39" s="822"/>
      <c r="KQJ39" s="822"/>
      <c r="KQK39" s="822"/>
      <c r="KQL39" s="822"/>
      <c r="KQM39" s="822"/>
      <c r="KQN39" s="822"/>
      <c r="KQO39" s="822"/>
      <c r="KQP39" s="822"/>
      <c r="KQQ39" s="822"/>
      <c r="KQR39" s="822"/>
      <c r="KQS39" s="822"/>
      <c r="KQT39" s="822"/>
      <c r="KQU39" s="822"/>
      <c r="KQV39" s="822"/>
      <c r="KQW39" s="822"/>
      <c r="KQX39" s="822"/>
      <c r="KQY39" s="822"/>
      <c r="KQZ39" s="822"/>
      <c r="KRA39" s="822"/>
      <c r="KRB39" s="822"/>
      <c r="KRC39" s="822"/>
      <c r="KRD39" s="822"/>
      <c r="KRE39" s="822"/>
      <c r="KRF39" s="822"/>
      <c r="KRG39" s="822"/>
      <c r="KRH39" s="822"/>
      <c r="KRI39" s="822"/>
      <c r="KRJ39" s="822"/>
      <c r="KRK39" s="822"/>
      <c r="KRL39" s="822"/>
      <c r="KRM39" s="822"/>
      <c r="KRN39" s="822"/>
      <c r="KRO39" s="822"/>
      <c r="KRP39" s="822"/>
      <c r="KRQ39" s="822"/>
      <c r="KRR39" s="822"/>
      <c r="KRS39" s="822"/>
      <c r="KRT39" s="822"/>
      <c r="KRU39" s="822"/>
      <c r="KRV39" s="822"/>
      <c r="KRW39" s="822"/>
      <c r="KRX39" s="822"/>
      <c r="KRY39" s="822"/>
      <c r="KRZ39" s="822"/>
      <c r="KSA39" s="822"/>
      <c r="KSB39" s="822"/>
      <c r="KSC39" s="822"/>
      <c r="KSD39" s="822"/>
      <c r="KSE39" s="822"/>
      <c r="KSF39" s="822"/>
      <c r="KSG39" s="822"/>
      <c r="KSH39" s="822"/>
      <c r="KSI39" s="822"/>
      <c r="KSJ39" s="822"/>
      <c r="KSK39" s="822"/>
      <c r="KSL39" s="822"/>
      <c r="KSM39" s="822"/>
      <c r="KSN39" s="822"/>
      <c r="KSO39" s="822"/>
      <c r="KSP39" s="822"/>
      <c r="KSQ39" s="822"/>
      <c r="KSR39" s="822"/>
      <c r="KSS39" s="822"/>
      <c r="KST39" s="822"/>
      <c r="KSU39" s="822"/>
      <c r="KSV39" s="822"/>
      <c r="KSW39" s="822"/>
      <c r="KSX39" s="822"/>
      <c r="KSY39" s="822"/>
      <c r="KSZ39" s="822"/>
      <c r="KTA39" s="822"/>
      <c r="KTB39" s="822"/>
      <c r="KTC39" s="822"/>
      <c r="KTD39" s="822"/>
      <c r="KTE39" s="822"/>
      <c r="KTF39" s="822"/>
      <c r="KTG39" s="822"/>
      <c r="KTH39" s="822"/>
      <c r="KTI39" s="822"/>
      <c r="KTJ39" s="822"/>
      <c r="KTK39" s="822"/>
      <c r="KTL39" s="822"/>
      <c r="KTM39" s="822"/>
      <c r="KTN39" s="822"/>
      <c r="KTO39" s="822"/>
      <c r="KTP39" s="822"/>
      <c r="KTQ39" s="822"/>
      <c r="KTR39" s="822"/>
      <c r="KTS39" s="822"/>
      <c r="KTT39" s="822"/>
      <c r="KTU39" s="822"/>
      <c r="KTV39" s="822"/>
      <c r="KTW39" s="822"/>
      <c r="KTX39" s="822"/>
      <c r="KTY39" s="822"/>
      <c r="KTZ39" s="822"/>
      <c r="KUA39" s="822"/>
      <c r="KUB39" s="822"/>
      <c r="KUC39" s="822"/>
      <c r="KUD39" s="822"/>
      <c r="KUE39" s="822"/>
      <c r="KUF39" s="822"/>
      <c r="KUG39" s="822"/>
      <c r="KUH39" s="822"/>
      <c r="KUI39" s="822"/>
      <c r="KUJ39" s="822"/>
      <c r="KUK39" s="822"/>
      <c r="KUL39" s="822"/>
      <c r="KUM39" s="822"/>
      <c r="KUN39" s="822"/>
      <c r="KUO39" s="822"/>
      <c r="KUP39" s="822"/>
      <c r="KUQ39" s="822"/>
      <c r="KUR39" s="822"/>
      <c r="KUS39" s="822"/>
      <c r="KUT39" s="822"/>
      <c r="KUU39" s="822"/>
      <c r="KUV39" s="822"/>
      <c r="KUW39" s="822"/>
      <c r="KUX39" s="822"/>
      <c r="KUY39" s="822"/>
      <c r="KUZ39" s="822"/>
      <c r="KVA39" s="822"/>
      <c r="KVB39" s="822"/>
      <c r="KVC39" s="822"/>
      <c r="KVD39" s="822"/>
      <c r="KVE39" s="822"/>
      <c r="KVF39" s="822"/>
      <c r="KVG39" s="822"/>
      <c r="KVH39" s="822"/>
      <c r="KVI39" s="822"/>
      <c r="KVJ39" s="822"/>
      <c r="KVK39" s="822"/>
      <c r="KVL39" s="822"/>
      <c r="KVM39" s="822"/>
      <c r="KVN39" s="822"/>
      <c r="KVO39" s="822"/>
      <c r="KVP39" s="822"/>
      <c r="KVQ39" s="822"/>
      <c r="KVR39" s="822"/>
      <c r="KVS39" s="822"/>
      <c r="KVT39" s="822"/>
      <c r="KVU39" s="822"/>
      <c r="KVV39" s="822"/>
      <c r="KVW39" s="822"/>
      <c r="KVX39" s="822"/>
      <c r="KVY39" s="822"/>
      <c r="KVZ39" s="822"/>
      <c r="KWA39" s="822"/>
      <c r="KWB39" s="822"/>
      <c r="KWC39" s="822"/>
      <c r="KWD39" s="822"/>
      <c r="KWE39" s="822"/>
      <c r="KWF39" s="822"/>
      <c r="KWG39" s="822"/>
      <c r="KWH39" s="822"/>
      <c r="KWI39" s="822"/>
      <c r="KWJ39" s="822"/>
      <c r="KWK39" s="822"/>
      <c r="KWL39" s="822"/>
      <c r="KWM39" s="822"/>
      <c r="KWN39" s="822"/>
      <c r="KWO39" s="822"/>
      <c r="KWP39" s="822"/>
      <c r="KWQ39" s="822"/>
      <c r="KWR39" s="822"/>
      <c r="KWS39" s="822"/>
      <c r="KWT39" s="822"/>
      <c r="KWU39" s="822"/>
      <c r="KWV39" s="822"/>
      <c r="KWW39" s="822"/>
      <c r="KWX39" s="822"/>
      <c r="KWY39" s="822"/>
      <c r="KWZ39" s="822"/>
      <c r="KXA39" s="822"/>
      <c r="KXB39" s="822"/>
      <c r="KXC39" s="822"/>
      <c r="KXD39" s="822"/>
      <c r="KXE39" s="822"/>
      <c r="KXF39" s="822"/>
      <c r="KXG39" s="822"/>
      <c r="KXH39" s="822"/>
      <c r="KXI39" s="822"/>
      <c r="KXJ39" s="822"/>
      <c r="KXK39" s="822"/>
      <c r="KXL39" s="822"/>
      <c r="KXM39" s="822"/>
      <c r="KXN39" s="822"/>
      <c r="KXO39" s="822"/>
      <c r="KXP39" s="822"/>
      <c r="KXQ39" s="822"/>
      <c r="KXR39" s="822"/>
      <c r="KXS39" s="822"/>
      <c r="KXT39" s="822"/>
      <c r="KXU39" s="822"/>
      <c r="KXV39" s="822"/>
      <c r="KXW39" s="822"/>
      <c r="KXX39" s="822"/>
      <c r="KXY39" s="822"/>
      <c r="KXZ39" s="822"/>
      <c r="KYA39" s="822"/>
      <c r="KYB39" s="822"/>
      <c r="KYC39" s="822"/>
      <c r="KYD39" s="822"/>
      <c r="KYE39" s="822"/>
      <c r="KYF39" s="822"/>
      <c r="KYG39" s="822"/>
      <c r="KYH39" s="822"/>
      <c r="KYI39" s="822"/>
      <c r="KYJ39" s="822"/>
      <c r="KYK39" s="822"/>
      <c r="KYL39" s="822"/>
      <c r="KYM39" s="822"/>
      <c r="KYN39" s="822"/>
      <c r="KYO39" s="822"/>
      <c r="KYP39" s="822"/>
      <c r="KYQ39" s="822"/>
      <c r="KYR39" s="822"/>
      <c r="KYS39" s="822"/>
      <c r="KYT39" s="822"/>
      <c r="KYU39" s="822"/>
      <c r="KYV39" s="822"/>
      <c r="KYW39" s="822"/>
      <c r="KYX39" s="822"/>
      <c r="KYY39" s="822"/>
      <c r="KYZ39" s="822"/>
      <c r="KZA39" s="822"/>
      <c r="KZB39" s="822"/>
      <c r="KZC39" s="822"/>
      <c r="KZD39" s="822"/>
      <c r="KZE39" s="822"/>
      <c r="KZF39" s="822"/>
      <c r="KZG39" s="822"/>
      <c r="KZH39" s="822"/>
      <c r="KZI39" s="822"/>
      <c r="KZJ39" s="822"/>
      <c r="KZK39" s="822"/>
      <c r="KZL39" s="822"/>
      <c r="KZM39" s="822"/>
      <c r="KZN39" s="822"/>
      <c r="KZO39" s="822"/>
      <c r="KZP39" s="822"/>
      <c r="KZQ39" s="822"/>
      <c r="KZR39" s="822"/>
      <c r="KZS39" s="822"/>
      <c r="KZT39" s="822"/>
      <c r="KZU39" s="822"/>
      <c r="KZV39" s="822"/>
      <c r="KZW39" s="822"/>
      <c r="KZX39" s="822"/>
      <c r="KZY39" s="822"/>
      <c r="KZZ39" s="822"/>
      <c r="LAA39" s="822"/>
      <c r="LAB39" s="822"/>
      <c r="LAC39" s="822"/>
      <c r="LAD39" s="822"/>
      <c r="LAE39" s="822"/>
      <c r="LAF39" s="822"/>
      <c r="LAG39" s="822"/>
      <c r="LAH39" s="822"/>
      <c r="LAI39" s="822"/>
      <c r="LAJ39" s="822"/>
      <c r="LAK39" s="822"/>
      <c r="LAL39" s="822"/>
      <c r="LAM39" s="822"/>
      <c r="LAN39" s="822"/>
      <c r="LAO39" s="822"/>
      <c r="LAP39" s="822"/>
      <c r="LAQ39" s="822"/>
      <c r="LAR39" s="822"/>
      <c r="LAS39" s="822"/>
      <c r="LAT39" s="822"/>
      <c r="LAU39" s="822"/>
      <c r="LAV39" s="822"/>
      <c r="LAW39" s="822"/>
      <c r="LAX39" s="822"/>
      <c r="LAY39" s="822"/>
      <c r="LAZ39" s="822"/>
      <c r="LBA39" s="822"/>
      <c r="LBB39" s="822"/>
      <c r="LBC39" s="822"/>
      <c r="LBD39" s="822"/>
      <c r="LBE39" s="822"/>
      <c r="LBF39" s="822"/>
      <c r="LBG39" s="822"/>
      <c r="LBH39" s="822"/>
      <c r="LBI39" s="822"/>
      <c r="LBJ39" s="822"/>
      <c r="LBK39" s="822"/>
      <c r="LBL39" s="822"/>
      <c r="LBM39" s="822"/>
      <c r="LBN39" s="822"/>
      <c r="LBO39" s="822"/>
      <c r="LBP39" s="822"/>
      <c r="LBQ39" s="822"/>
      <c r="LBR39" s="822"/>
      <c r="LBS39" s="822"/>
      <c r="LBT39" s="822"/>
      <c r="LBU39" s="822"/>
      <c r="LBV39" s="822"/>
      <c r="LBW39" s="822"/>
      <c r="LBX39" s="822"/>
      <c r="LBY39" s="822"/>
      <c r="LBZ39" s="822"/>
      <c r="LCA39" s="822"/>
      <c r="LCB39" s="822"/>
      <c r="LCC39" s="822"/>
      <c r="LCD39" s="822"/>
      <c r="LCE39" s="822"/>
      <c r="LCF39" s="822"/>
      <c r="LCG39" s="822"/>
      <c r="LCH39" s="822"/>
      <c r="LCI39" s="822"/>
      <c r="LCJ39" s="822"/>
      <c r="LCK39" s="822"/>
      <c r="LCL39" s="822"/>
      <c r="LCM39" s="822"/>
      <c r="LCN39" s="822"/>
      <c r="LCO39" s="822"/>
      <c r="LCP39" s="822"/>
      <c r="LCQ39" s="822"/>
      <c r="LCR39" s="822"/>
      <c r="LCS39" s="822"/>
      <c r="LCT39" s="822"/>
      <c r="LCU39" s="822"/>
      <c r="LCV39" s="822"/>
      <c r="LCW39" s="822"/>
      <c r="LCX39" s="822"/>
      <c r="LCY39" s="822"/>
      <c r="LCZ39" s="822"/>
      <c r="LDA39" s="822"/>
      <c r="LDB39" s="822"/>
      <c r="LDC39" s="822"/>
      <c r="LDD39" s="822"/>
      <c r="LDE39" s="822"/>
      <c r="LDF39" s="822"/>
      <c r="LDG39" s="822"/>
      <c r="LDH39" s="822"/>
      <c r="LDI39" s="822"/>
      <c r="LDJ39" s="822"/>
      <c r="LDK39" s="822"/>
      <c r="LDL39" s="822"/>
      <c r="LDM39" s="822"/>
      <c r="LDN39" s="822"/>
      <c r="LDO39" s="822"/>
      <c r="LDP39" s="822"/>
      <c r="LDQ39" s="822"/>
      <c r="LDR39" s="822"/>
      <c r="LDS39" s="822"/>
      <c r="LDT39" s="822"/>
      <c r="LDU39" s="822"/>
      <c r="LDV39" s="822"/>
      <c r="LDW39" s="822"/>
      <c r="LDX39" s="822"/>
      <c r="LDY39" s="822"/>
      <c r="LDZ39" s="822"/>
      <c r="LEA39" s="822"/>
      <c r="LEB39" s="822"/>
      <c r="LEC39" s="822"/>
      <c r="LED39" s="822"/>
      <c r="LEE39" s="822"/>
      <c r="LEF39" s="822"/>
      <c r="LEG39" s="822"/>
      <c r="LEH39" s="822"/>
      <c r="LEI39" s="822"/>
      <c r="LEJ39" s="822"/>
      <c r="LEK39" s="822"/>
      <c r="LEL39" s="822"/>
      <c r="LEM39" s="822"/>
      <c r="LEN39" s="822"/>
      <c r="LEO39" s="822"/>
      <c r="LEP39" s="822"/>
      <c r="LEQ39" s="822"/>
      <c r="LER39" s="822"/>
      <c r="LES39" s="822"/>
      <c r="LET39" s="822"/>
      <c r="LEU39" s="822"/>
      <c r="LEV39" s="822"/>
      <c r="LEW39" s="822"/>
      <c r="LEX39" s="822"/>
      <c r="LEY39" s="822"/>
      <c r="LEZ39" s="822"/>
      <c r="LFA39" s="822"/>
      <c r="LFB39" s="822"/>
      <c r="LFC39" s="822"/>
      <c r="LFD39" s="822"/>
      <c r="LFE39" s="822"/>
      <c r="LFF39" s="822"/>
      <c r="LFG39" s="822"/>
      <c r="LFH39" s="822"/>
      <c r="LFI39" s="822"/>
      <c r="LFJ39" s="822"/>
      <c r="LFK39" s="822"/>
      <c r="LFL39" s="822"/>
      <c r="LFM39" s="822"/>
      <c r="LFN39" s="822"/>
      <c r="LFO39" s="822"/>
      <c r="LFP39" s="822"/>
      <c r="LFQ39" s="822"/>
      <c r="LFR39" s="822"/>
      <c r="LFS39" s="822"/>
      <c r="LFT39" s="822"/>
      <c r="LFU39" s="822"/>
      <c r="LFV39" s="822"/>
      <c r="LFW39" s="822"/>
      <c r="LFX39" s="822"/>
      <c r="LFY39" s="822"/>
      <c r="LFZ39" s="822"/>
      <c r="LGA39" s="822"/>
      <c r="LGB39" s="822"/>
      <c r="LGC39" s="822"/>
      <c r="LGD39" s="822"/>
      <c r="LGE39" s="822"/>
      <c r="LGF39" s="822"/>
      <c r="LGG39" s="822"/>
      <c r="LGH39" s="822"/>
      <c r="LGI39" s="822"/>
      <c r="LGJ39" s="822"/>
      <c r="LGK39" s="822"/>
      <c r="LGL39" s="822"/>
      <c r="LGM39" s="822"/>
      <c r="LGN39" s="822"/>
      <c r="LGO39" s="822"/>
      <c r="LGP39" s="822"/>
      <c r="LGQ39" s="822"/>
      <c r="LGR39" s="822"/>
      <c r="LGS39" s="822"/>
      <c r="LGT39" s="822"/>
      <c r="LGU39" s="822"/>
      <c r="LGV39" s="822"/>
      <c r="LGW39" s="822"/>
      <c r="LGX39" s="822"/>
      <c r="LGY39" s="822"/>
      <c r="LGZ39" s="822"/>
      <c r="LHA39" s="822"/>
      <c r="LHB39" s="822"/>
      <c r="LHC39" s="822"/>
      <c r="LHD39" s="822"/>
      <c r="LHE39" s="822"/>
      <c r="LHF39" s="822"/>
      <c r="LHG39" s="822"/>
      <c r="LHH39" s="822"/>
      <c r="LHI39" s="822"/>
      <c r="LHJ39" s="822"/>
      <c r="LHK39" s="822"/>
      <c r="LHL39" s="822"/>
      <c r="LHM39" s="822"/>
      <c r="LHN39" s="822"/>
      <c r="LHO39" s="822"/>
      <c r="LHP39" s="822"/>
      <c r="LHQ39" s="822"/>
      <c r="LHR39" s="822"/>
      <c r="LHS39" s="822"/>
      <c r="LHT39" s="822"/>
      <c r="LHU39" s="822"/>
      <c r="LHV39" s="822"/>
      <c r="LHW39" s="822"/>
      <c r="LHX39" s="822"/>
      <c r="LHY39" s="822"/>
      <c r="LHZ39" s="822"/>
      <c r="LIA39" s="822"/>
      <c r="LIB39" s="822"/>
      <c r="LIC39" s="822"/>
      <c r="LID39" s="822"/>
      <c r="LIE39" s="822"/>
      <c r="LIF39" s="822"/>
      <c r="LIG39" s="822"/>
      <c r="LIH39" s="822"/>
      <c r="LII39" s="822"/>
      <c r="LIJ39" s="822"/>
      <c r="LIK39" s="822"/>
      <c r="LIL39" s="822"/>
      <c r="LIM39" s="822"/>
      <c r="LIN39" s="822"/>
      <c r="LIO39" s="822"/>
      <c r="LIP39" s="822"/>
      <c r="LIQ39" s="822"/>
      <c r="LIR39" s="822"/>
      <c r="LIS39" s="822"/>
      <c r="LIT39" s="822"/>
      <c r="LIU39" s="822"/>
      <c r="LIV39" s="822"/>
      <c r="LIW39" s="822"/>
      <c r="LIX39" s="822"/>
      <c r="LIY39" s="822"/>
      <c r="LIZ39" s="822"/>
      <c r="LJA39" s="822"/>
      <c r="LJB39" s="822"/>
      <c r="LJC39" s="822"/>
      <c r="LJD39" s="822"/>
      <c r="LJE39" s="822"/>
      <c r="LJF39" s="822"/>
      <c r="LJG39" s="822"/>
      <c r="LJH39" s="822"/>
      <c r="LJI39" s="822"/>
      <c r="LJJ39" s="822"/>
      <c r="LJK39" s="822"/>
      <c r="LJL39" s="822"/>
      <c r="LJM39" s="822"/>
      <c r="LJN39" s="822"/>
      <c r="LJO39" s="822"/>
      <c r="LJP39" s="822"/>
      <c r="LJQ39" s="822"/>
      <c r="LJR39" s="822"/>
      <c r="LJS39" s="822"/>
      <c r="LJT39" s="822"/>
      <c r="LJU39" s="822"/>
      <c r="LJV39" s="822"/>
      <c r="LJW39" s="822"/>
      <c r="LJX39" s="822"/>
      <c r="LJY39" s="822"/>
      <c r="LJZ39" s="822"/>
      <c r="LKA39" s="822"/>
      <c r="LKB39" s="822"/>
      <c r="LKC39" s="822"/>
      <c r="LKD39" s="822"/>
      <c r="LKE39" s="822"/>
      <c r="LKF39" s="822"/>
      <c r="LKG39" s="822"/>
      <c r="LKH39" s="822"/>
      <c r="LKI39" s="822"/>
      <c r="LKJ39" s="822"/>
      <c r="LKK39" s="822"/>
      <c r="LKL39" s="822"/>
      <c r="LKM39" s="822"/>
      <c r="LKN39" s="822"/>
      <c r="LKO39" s="822"/>
      <c r="LKP39" s="822"/>
      <c r="LKQ39" s="822"/>
      <c r="LKR39" s="822"/>
      <c r="LKS39" s="822"/>
      <c r="LKT39" s="822"/>
      <c r="LKU39" s="822"/>
      <c r="LKV39" s="822"/>
      <c r="LKW39" s="822"/>
      <c r="LKX39" s="822"/>
      <c r="LKY39" s="822"/>
      <c r="LKZ39" s="822"/>
      <c r="LLA39" s="822"/>
      <c r="LLB39" s="822"/>
      <c r="LLC39" s="822"/>
      <c r="LLD39" s="822"/>
      <c r="LLE39" s="822"/>
      <c r="LLF39" s="822"/>
      <c r="LLG39" s="822"/>
      <c r="LLH39" s="822"/>
      <c r="LLI39" s="822"/>
      <c r="LLJ39" s="822"/>
      <c r="LLK39" s="822"/>
      <c r="LLL39" s="822"/>
      <c r="LLM39" s="822"/>
      <c r="LLN39" s="822"/>
      <c r="LLO39" s="822"/>
      <c r="LLP39" s="822"/>
      <c r="LLQ39" s="822"/>
      <c r="LLR39" s="822"/>
      <c r="LLS39" s="822"/>
      <c r="LLT39" s="822"/>
      <c r="LLU39" s="822"/>
      <c r="LLV39" s="822"/>
      <c r="LLW39" s="822"/>
      <c r="LLX39" s="822"/>
      <c r="LLY39" s="822"/>
      <c r="LLZ39" s="822"/>
      <c r="LMA39" s="822"/>
      <c r="LMB39" s="822"/>
      <c r="LMC39" s="822"/>
      <c r="LMD39" s="822"/>
      <c r="LME39" s="822"/>
      <c r="LMF39" s="822"/>
      <c r="LMG39" s="822"/>
      <c r="LMH39" s="822"/>
      <c r="LMI39" s="822"/>
      <c r="LMJ39" s="822"/>
      <c r="LMK39" s="822"/>
      <c r="LML39" s="822"/>
      <c r="LMM39" s="822"/>
      <c r="LMN39" s="822"/>
      <c r="LMO39" s="822"/>
      <c r="LMP39" s="822"/>
      <c r="LMQ39" s="822"/>
      <c r="LMR39" s="822"/>
      <c r="LMS39" s="822"/>
      <c r="LMT39" s="822"/>
      <c r="LMU39" s="822"/>
      <c r="LMV39" s="822"/>
      <c r="LMW39" s="822"/>
      <c r="LMX39" s="822"/>
      <c r="LMY39" s="822"/>
      <c r="LMZ39" s="822"/>
      <c r="LNA39" s="822"/>
      <c r="LNB39" s="822"/>
      <c r="LNC39" s="822"/>
      <c r="LND39" s="822"/>
      <c r="LNE39" s="822"/>
      <c r="LNF39" s="822"/>
      <c r="LNG39" s="822"/>
      <c r="LNH39" s="822"/>
      <c r="LNI39" s="822"/>
      <c r="LNJ39" s="822"/>
      <c r="LNK39" s="822"/>
      <c r="LNL39" s="822"/>
      <c r="LNM39" s="822"/>
      <c r="LNN39" s="822"/>
      <c r="LNO39" s="822"/>
      <c r="LNP39" s="822"/>
      <c r="LNQ39" s="822"/>
      <c r="LNR39" s="822"/>
      <c r="LNS39" s="822"/>
      <c r="LNT39" s="822"/>
      <c r="LNU39" s="822"/>
      <c r="LNV39" s="822"/>
      <c r="LNW39" s="822"/>
      <c r="LNX39" s="822"/>
      <c r="LNY39" s="822"/>
      <c r="LNZ39" s="822"/>
      <c r="LOA39" s="822"/>
      <c r="LOB39" s="822"/>
      <c r="LOC39" s="822"/>
      <c r="LOD39" s="822"/>
      <c r="LOE39" s="822"/>
      <c r="LOF39" s="822"/>
      <c r="LOG39" s="822"/>
      <c r="LOH39" s="822"/>
      <c r="LOI39" s="822"/>
      <c r="LOJ39" s="822"/>
      <c r="LOK39" s="822"/>
      <c r="LOL39" s="822"/>
      <c r="LOM39" s="822"/>
      <c r="LON39" s="822"/>
      <c r="LOO39" s="822"/>
      <c r="LOP39" s="822"/>
      <c r="LOQ39" s="822"/>
      <c r="LOR39" s="822"/>
      <c r="LOS39" s="822"/>
      <c r="LOT39" s="822"/>
      <c r="LOU39" s="822"/>
      <c r="LOV39" s="822"/>
      <c r="LOW39" s="822"/>
      <c r="LOX39" s="822"/>
      <c r="LOY39" s="822"/>
      <c r="LOZ39" s="822"/>
      <c r="LPA39" s="822"/>
      <c r="LPB39" s="822"/>
      <c r="LPC39" s="822"/>
      <c r="LPD39" s="822"/>
      <c r="LPE39" s="822"/>
      <c r="LPF39" s="822"/>
      <c r="LPG39" s="822"/>
      <c r="LPH39" s="822"/>
      <c r="LPI39" s="822"/>
      <c r="LPJ39" s="822"/>
      <c r="LPK39" s="822"/>
      <c r="LPL39" s="822"/>
      <c r="LPM39" s="822"/>
      <c r="LPN39" s="822"/>
      <c r="LPO39" s="822"/>
      <c r="LPP39" s="822"/>
      <c r="LPQ39" s="822"/>
      <c r="LPR39" s="822"/>
      <c r="LPS39" s="822"/>
      <c r="LPT39" s="822"/>
      <c r="LPU39" s="822"/>
      <c r="LPV39" s="822"/>
      <c r="LPW39" s="822"/>
      <c r="LPX39" s="822"/>
      <c r="LPY39" s="822"/>
      <c r="LPZ39" s="822"/>
      <c r="LQA39" s="822"/>
      <c r="LQB39" s="822"/>
      <c r="LQC39" s="822"/>
      <c r="LQD39" s="822"/>
      <c r="LQE39" s="822"/>
      <c r="LQF39" s="822"/>
      <c r="LQG39" s="822"/>
      <c r="LQH39" s="822"/>
      <c r="LQI39" s="822"/>
      <c r="LQJ39" s="822"/>
      <c r="LQK39" s="822"/>
      <c r="LQL39" s="822"/>
      <c r="LQM39" s="822"/>
      <c r="LQN39" s="822"/>
      <c r="LQO39" s="822"/>
      <c r="LQP39" s="822"/>
      <c r="LQQ39" s="822"/>
      <c r="LQR39" s="822"/>
      <c r="LQS39" s="822"/>
      <c r="LQT39" s="822"/>
      <c r="LQU39" s="822"/>
      <c r="LQV39" s="822"/>
      <c r="LQW39" s="822"/>
      <c r="LQX39" s="822"/>
      <c r="LQY39" s="822"/>
      <c r="LQZ39" s="822"/>
      <c r="LRA39" s="822"/>
      <c r="LRB39" s="822"/>
      <c r="LRC39" s="822"/>
      <c r="LRD39" s="822"/>
      <c r="LRE39" s="822"/>
      <c r="LRF39" s="822"/>
      <c r="LRG39" s="822"/>
      <c r="LRH39" s="822"/>
      <c r="LRI39" s="822"/>
      <c r="LRJ39" s="822"/>
      <c r="LRK39" s="822"/>
      <c r="LRL39" s="822"/>
      <c r="LRM39" s="822"/>
      <c r="LRN39" s="822"/>
      <c r="LRO39" s="822"/>
      <c r="LRP39" s="822"/>
      <c r="LRQ39" s="822"/>
      <c r="LRR39" s="822"/>
      <c r="LRS39" s="822"/>
      <c r="LRT39" s="822"/>
      <c r="LRU39" s="822"/>
      <c r="LRV39" s="822"/>
      <c r="LRW39" s="822"/>
      <c r="LRX39" s="822"/>
      <c r="LRY39" s="822"/>
      <c r="LRZ39" s="822"/>
      <c r="LSA39" s="822"/>
      <c r="LSB39" s="822"/>
      <c r="LSC39" s="822"/>
      <c r="LSD39" s="822"/>
      <c r="LSE39" s="822"/>
      <c r="LSF39" s="822"/>
      <c r="LSG39" s="822"/>
      <c r="LSH39" s="822"/>
      <c r="LSI39" s="822"/>
      <c r="LSJ39" s="822"/>
      <c r="LSK39" s="822"/>
      <c r="LSL39" s="822"/>
      <c r="LSM39" s="822"/>
      <c r="LSN39" s="822"/>
      <c r="LSO39" s="822"/>
      <c r="LSP39" s="822"/>
      <c r="LSQ39" s="822"/>
      <c r="LSR39" s="822"/>
      <c r="LSS39" s="822"/>
      <c r="LST39" s="822"/>
      <c r="LSU39" s="822"/>
      <c r="LSV39" s="822"/>
      <c r="LSW39" s="822"/>
      <c r="LSX39" s="822"/>
      <c r="LSY39" s="822"/>
      <c r="LSZ39" s="822"/>
      <c r="LTA39" s="822"/>
      <c r="LTB39" s="822"/>
      <c r="LTC39" s="822"/>
      <c r="LTD39" s="822"/>
      <c r="LTE39" s="822"/>
      <c r="LTF39" s="822"/>
      <c r="LTG39" s="822"/>
      <c r="LTH39" s="822"/>
      <c r="LTI39" s="822"/>
      <c r="LTJ39" s="822"/>
      <c r="LTK39" s="822"/>
      <c r="LTL39" s="822"/>
      <c r="LTM39" s="822"/>
      <c r="LTN39" s="822"/>
      <c r="LTO39" s="822"/>
      <c r="LTP39" s="822"/>
      <c r="LTQ39" s="822"/>
      <c r="LTR39" s="822"/>
      <c r="LTS39" s="822"/>
      <c r="LTT39" s="822"/>
      <c r="LTU39" s="822"/>
      <c r="LTV39" s="822"/>
      <c r="LTW39" s="822"/>
      <c r="LTX39" s="822"/>
      <c r="LTY39" s="822"/>
      <c r="LTZ39" s="822"/>
      <c r="LUA39" s="822"/>
      <c r="LUB39" s="822"/>
      <c r="LUC39" s="822"/>
      <c r="LUD39" s="822"/>
      <c r="LUE39" s="822"/>
      <c r="LUF39" s="822"/>
      <c r="LUG39" s="822"/>
      <c r="LUH39" s="822"/>
      <c r="LUI39" s="822"/>
      <c r="LUJ39" s="822"/>
      <c r="LUK39" s="822"/>
      <c r="LUL39" s="822"/>
      <c r="LUM39" s="822"/>
      <c r="LUN39" s="822"/>
      <c r="LUO39" s="822"/>
      <c r="LUP39" s="822"/>
      <c r="LUQ39" s="822"/>
      <c r="LUR39" s="822"/>
      <c r="LUS39" s="822"/>
      <c r="LUT39" s="822"/>
      <c r="LUU39" s="822"/>
      <c r="LUV39" s="822"/>
      <c r="LUW39" s="822"/>
      <c r="LUX39" s="822"/>
      <c r="LUY39" s="822"/>
      <c r="LUZ39" s="822"/>
      <c r="LVA39" s="822"/>
      <c r="LVB39" s="822"/>
      <c r="LVC39" s="822"/>
      <c r="LVD39" s="822"/>
      <c r="LVE39" s="822"/>
      <c r="LVF39" s="822"/>
      <c r="LVG39" s="822"/>
      <c r="LVH39" s="822"/>
      <c r="LVI39" s="822"/>
      <c r="LVJ39" s="822"/>
      <c r="LVK39" s="822"/>
      <c r="LVL39" s="822"/>
      <c r="LVM39" s="822"/>
      <c r="LVN39" s="822"/>
      <c r="LVO39" s="822"/>
      <c r="LVP39" s="822"/>
      <c r="LVQ39" s="822"/>
      <c r="LVR39" s="822"/>
      <c r="LVS39" s="822"/>
      <c r="LVT39" s="822"/>
      <c r="LVU39" s="822"/>
      <c r="LVV39" s="822"/>
      <c r="LVW39" s="822"/>
      <c r="LVX39" s="822"/>
      <c r="LVY39" s="822"/>
      <c r="LVZ39" s="822"/>
      <c r="LWA39" s="822"/>
      <c r="LWB39" s="822"/>
      <c r="LWC39" s="822"/>
      <c r="LWD39" s="822"/>
      <c r="LWE39" s="822"/>
      <c r="LWF39" s="822"/>
      <c r="LWG39" s="822"/>
      <c r="LWH39" s="822"/>
      <c r="LWI39" s="822"/>
      <c r="LWJ39" s="822"/>
      <c r="LWK39" s="822"/>
      <c r="LWL39" s="822"/>
      <c r="LWM39" s="822"/>
      <c r="LWN39" s="822"/>
      <c r="LWO39" s="822"/>
      <c r="LWP39" s="822"/>
      <c r="LWQ39" s="822"/>
      <c r="LWR39" s="822"/>
      <c r="LWS39" s="822"/>
      <c r="LWT39" s="822"/>
      <c r="LWU39" s="822"/>
      <c r="LWV39" s="822"/>
      <c r="LWW39" s="822"/>
      <c r="LWX39" s="822"/>
      <c r="LWY39" s="822"/>
      <c r="LWZ39" s="822"/>
      <c r="LXA39" s="822"/>
      <c r="LXB39" s="822"/>
      <c r="LXC39" s="822"/>
      <c r="LXD39" s="822"/>
      <c r="LXE39" s="822"/>
      <c r="LXF39" s="822"/>
      <c r="LXG39" s="822"/>
      <c r="LXH39" s="822"/>
      <c r="LXI39" s="822"/>
      <c r="LXJ39" s="822"/>
      <c r="LXK39" s="822"/>
      <c r="LXL39" s="822"/>
      <c r="LXM39" s="822"/>
      <c r="LXN39" s="822"/>
      <c r="LXO39" s="822"/>
      <c r="LXP39" s="822"/>
      <c r="LXQ39" s="822"/>
      <c r="LXR39" s="822"/>
      <c r="LXS39" s="822"/>
      <c r="LXT39" s="822"/>
      <c r="LXU39" s="822"/>
      <c r="LXV39" s="822"/>
      <c r="LXW39" s="822"/>
      <c r="LXX39" s="822"/>
      <c r="LXY39" s="822"/>
      <c r="LXZ39" s="822"/>
      <c r="LYA39" s="822"/>
      <c r="LYB39" s="822"/>
      <c r="LYC39" s="822"/>
      <c r="LYD39" s="822"/>
      <c r="LYE39" s="822"/>
      <c r="LYF39" s="822"/>
      <c r="LYG39" s="822"/>
      <c r="LYH39" s="822"/>
      <c r="LYI39" s="822"/>
      <c r="LYJ39" s="822"/>
      <c r="LYK39" s="822"/>
      <c r="LYL39" s="822"/>
      <c r="LYM39" s="822"/>
      <c r="LYN39" s="822"/>
      <c r="LYO39" s="822"/>
      <c r="LYP39" s="822"/>
      <c r="LYQ39" s="822"/>
      <c r="LYR39" s="822"/>
      <c r="LYS39" s="822"/>
      <c r="LYT39" s="822"/>
      <c r="LYU39" s="822"/>
      <c r="LYV39" s="822"/>
      <c r="LYW39" s="822"/>
      <c r="LYX39" s="822"/>
      <c r="LYY39" s="822"/>
      <c r="LYZ39" s="822"/>
      <c r="LZA39" s="822"/>
      <c r="LZB39" s="822"/>
      <c r="LZC39" s="822"/>
      <c r="LZD39" s="822"/>
      <c r="LZE39" s="822"/>
      <c r="LZF39" s="822"/>
      <c r="LZG39" s="822"/>
      <c r="LZH39" s="822"/>
      <c r="LZI39" s="822"/>
      <c r="LZJ39" s="822"/>
      <c r="LZK39" s="822"/>
      <c r="LZL39" s="822"/>
      <c r="LZM39" s="822"/>
      <c r="LZN39" s="822"/>
      <c r="LZO39" s="822"/>
      <c r="LZP39" s="822"/>
      <c r="LZQ39" s="822"/>
      <c r="LZR39" s="822"/>
      <c r="LZS39" s="822"/>
      <c r="LZT39" s="822"/>
      <c r="LZU39" s="822"/>
      <c r="LZV39" s="822"/>
      <c r="LZW39" s="822"/>
      <c r="LZX39" s="822"/>
      <c r="LZY39" s="822"/>
      <c r="LZZ39" s="822"/>
      <c r="MAA39" s="822"/>
      <c r="MAB39" s="822"/>
      <c r="MAC39" s="822"/>
      <c r="MAD39" s="822"/>
      <c r="MAE39" s="822"/>
      <c r="MAF39" s="822"/>
      <c r="MAG39" s="822"/>
      <c r="MAH39" s="822"/>
      <c r="MAI39" s="822"/>
      <c r="MAJ39" s="822"/>
      <c r="MAK39" s="822"/>
      <c r="MAL39" s="822"/>
      <c r="MAM39" s="822"/>
      <c r="MAN39" s="822"/>
      <c r="MAO39" s="822"/>
      <c r="MAP39" s="822"/>
      <c r="MAQ39" s="822"/>
      <c r="MAR39" s="822"/>
      <c r="MAS39" s="822"/>
      <c r="MAT39" s="822"/>
      <c r="MAU39" s="822"/>
      <c r="MAV39" s="822"/>
      <c r="MAW39" s="822"/>
      <c r="MAX39" s="822"/>
      <c r="MAY39" s="822"/>
      <c r="MAZ39" s="822"/>
      <c r="MBA39" s="822"/>
      <c r="MBB39" s="822"/>
      <c r="MBC39" s="822"/>
      <c r="MBD39" s="822"/>
      <c r="MBE39" s="822"/>
      <c r="MBF39" s="822"/>
      <c r="MBG39" s="822"/>
      <c r="MBH39" s="822"/>
      <c r="MBI39" s="822"/>
      <c r="MBJ39" s="822"/>
      <c r="MBK39" s="822"/>
      <c r="MBL39" s="822"/>
      <c r="MBM39" s="822"/>
      <c r="MBN39" s="822"/>
      <c r="MBO39" s="822"/>
      <c r="MBP39" s="822"/>
      <c r="MBQ39" s="822"/>
      <c r="MBR39" s="822"/>
      <c r="MBS39" s="822"/>
      <c r="MBT39" s="822"/>
      <c r="MBU39" s="822"/>
      <c r="MBV39" s="822"/>
      <c r="MBW39" s="822"/>
      <c r="MBX39" s="822"/>
      <c r="MBY39" s="822"/>
      <c r="MBZ39" s="822"/>
      <c r="MCA39" s="822"/>
      <c r="MCB39" s="822"/>
      <c r="MCC39" s="822"/>
      <c r="MCD39" s="822"/>
      <c r="MCE39" s="822"/>
      <c r="MCF39" s="822"/>
      <c r="MCG39" s="822"/>
      <c r="MCH39" s="822"/>
      <c r="MCI39" s="822"/>
      <c r="MCJ39" s="822"/>
      <c r="MCK39" s="822"/>
      <c r="MCL39" s="822"/>
      <c r="MCM39" s="822"/>
      <c r="MCN39" s="822"/>
      <c r="MCO39" s="822"/>
      <c r="MCP39" s="822"/>
      <c r="MCQ39" s="822"/>
      <c r="MCR39" s="822"/>
      <c r="MCS39" s="822"/>
      <c r="MCT39" s="822"/>
      <c r="MCU39" s="822"/>
      <c r="MCV39" s="822"/>
      <c r="MCW39" s="822"/>
      <c r="MCX39" s="822"/>
      <c r="MCY39" s="822"/>
      <c r="MCZ39" s="822"/>
      <c r="MDA39" s="822"/>
      <c r="MDB39" s="822"/>
      <c r="MDC39" s="822"/>
      <c r="MDD39" s="822"/>
      <c r="MDE39" s="822"/>
      <c r="MDF39" s="822"/>
      <c r="MDG39" s="822"/>
      <c r="MDH39" s="822"/>
      <c r="MDI39" s="822"/>
      <c r="MDJ39" s="822"/>
      <c r="MDK39" s="822"/>
      <c r="MDL39" s="822"/>
      <c r="MDM39" s="822"/>
      <c r="MDN39" s="822"/>
      <c r="MDO39" s="822"/>
      <c r="MDP39" s="822"/>
      <c r="MDQ39" s="822"/>
      <c r="MDR39" s="822"/>
      <c r="MDS39" s="822"/>
      <c r="MDT39" s="822"/>
      <c r="MDU39" s="822"/>
      <c r="MDV39" s="822"/>
      <c r="MDW39" s="822"/>
      <c r="MDX39" s="822"/>
      <c r="MDY39" s="822"/>
      <c r="MDZ39" s="822"/>
      <c r="MEA39" s="822"/>
      <c r="MEB39" s="822"/>
      <c r="MEC39" s="822"/>
      <c r="MED39" s="822"/>
      <c r="MEE39" s="822"/>
      <c r="MEF39" s="822"/>
      <c r="MEG39" s="822"/>
      <c r="MEH39" s="822"/>
      <c r="MEI39" s="822"/>
      <c r="MEJ39" s="822"/>
      <c r="MEK39" s="822"/>
      <c r="MEL39" s="822"/>
      <c r="MEM39" s="822"/>
      <c r="MEN39" s="822"/>
      <c r="MEO39" s="822"/>
      <c r="MEP39" s="822"/>
      <c r="MEQ39" s="822"/>
      <c r="MER39" s="822"/>
      <c r="MES39" s="822"/>
      <c r="MET39" s="822"/>
      <c r="MEU39" s="822"/>
      <c r="MEV39" s="822"/>
      <c r="MEW39" s="822"/>
      <c r="MEX39" s="822"/>
      <c r="MEY39" s="822"/>
      <c r="MEZ39" s="822"/>
      <c r="MFA39" s="822"/>
      <c r="MFB39" s="822"/>
      <c r="MFC39" s="822"/>
      <c r="MFD39" s="822"/>
      <c r="MFE39" s="822"/>
      <c r="MFF39" s="822"/>
      <c r="MFG39" s="822"/>
      <c r="MFH39" s="822"/>
      <c r="MFI39" s="822"/>
      <c r="MFJ39" s="822"/>
      <c r="MFK39" s="822"/>
      <c r="MFL39" s="822"/>
      <c r="MFM39" s="822"/>
      <c r="MFN39" s="822"/>
      <c r="MFO39" s="822"/>
      <c r="MFP39" s="822"/>
      <c r="MFQ39" s="822"/>
      <c r="MFR39" s="822"/>
      <c r="MFS39" s="822"/>
      <c r="MFT39" s="822"/>
      <c r="MFU39" s="822"/>
      <c r="MFV39" s="822"/>
      <c r="MFW39" s="822"/>
      <c r="MFX39" s="822"/>
      <c r="MFY39" s="822"/>
      <c r="MFZ39" s="822"/>
      <c r="MGA39" s="822"/>
      <c r="MGB39" s="822"/>
      <c r="MGC39" s="822"/>
      <c r="MGD39" s="822"/>
      <c r="MGE39" s="822"/>
      <c r="MGF39" s="822"/>
      <c r="MGG39" s="822"/>
      <c r="MGH39" s="822"/>
      <c r="MGI39" s="822"/>
      <c r="MGJ39" s="822"/>
      <c r="MGK39" s="822"/>
      <c r="MGL39" s="822"/>
      <c r="MGM39" s="822"/>
      <c r="MGN39" s="822"/>
      <c r="MGO39" s="822"/>
      <c r="MGP39" s="822"/>
      <c r="MGQ39" s="822"/>
      <c r="MGR39" s="822"/>
      <c r="MGS39" s="822"/>
      <c r="MGT39" s="822"/>
      <c r="MGU39" s="822"/>
      <c r="MGV39" s="822"/>
      <c r="MGW39" s="822"/>
      <c r="MGX39" s="822"/>
      <c r="MGY39" s="822"/>
      <c r="MGZ39" s="822"/>
      <c r="MHA39" s="822"/>
      <c r="MHB39" s="822"/>
      <c r="MHC39" s="822"/>
      <c r="MHD39" s="822"/>
      <c r="MHE39" s="822"/>
      <c r="MHF39" s="822"/>
      <c r="MHG39" s="822"/>
      <c r="MHH39" s="822"/>
      <c r="MHI39" s="822"/>
      <c r="MHJ39" s="822"/>
      <c r="MHK39" s="822"/>
      <c r="MHL39" s="822"/>
      <c r="MHM39" s="822"/>
      <c r="MHN39" s="822"/>
      <c r="MHO39" s="822"/>
      <c r="MHP39" s="822"/>
      <c r="MHQ39" s="822"/>
      <c r="MHR39" s="822"/>
      <c r="MHS39" s="822"/>
      <c r="MHT39" s="822"/>
      <c r="MHU39" s="822"/>
      <c r="MHV39" s="822"/>
      <c r="MHW39" s="822"/>
      <c r="MHX39" s="822"/>
      <c r="MHY39" s="822"/>
      <c r="MHZ39" s="822"/>
      <c r="MIA39" s="822"/>
      <c r="MIB39" s="822"/>
      <c r="MIC39" s="822"/>
      <c r="MID39" s="822"/>
      <c r="MIE39" s="822"/>
      <c r="MIF39" s="822"/>
      <c r="MIG39" s="822"/>
      <c r="MIH39" s="822"/>
      <c r="MII39" s="822"/>
      <c r="MIJ39" s="822"/>
      <c r="MIK39" s="822"/>
      <c r="MIL39" s="822"/>
      <c r="MIM39" s="822"/>
      <c r="MIN39" s="822"/>
      <c r="MIO39" s="822"/>
      <c r="MIP39" s="822"/>
      <c r="MIQ39" s="822"/>
      <c r="MIR39" s="822"/>
      <c r="MIS39" s="822"/>
      <c r="MIT39" s="822"/>
      <c r="MIU39" s="822"/>
      <c r="MIV39" s="822"/>
      <c r="MIW39" s="822"/>
      <c r="MIX39" s="822"/>
      <c r="MIY39" s="822"/>
      <c r="MIZ39" s="822"/>
      <c r="MJA39" s="822"/>
      <c r="MJB39" s="822"/>
      <c r="MJC39" s="822"/>
      <c r="MJD39" s="822"/>
      <c r="MJE39" s="822"/>
      <c r="MJF39" s="822"/>
      <c r="MJG39" s="822"/>
      <c r="MJH39" s="822"/>
      <c r="MJI39" s="822"/>
      <c r="MJJ39" s="822"/>
      <c r="MJK39" s="822"/>
      <c r="MJL39" s="822"/>
      <c r="MJM39" s="822"/>
      <c r="MJN39" s="822"/>
      <c r="MJO39" s="822"/>
      <c r="MJP39" s="822"/>
      <c r="MJQ39" s="822"/>
      <c r="MJR39" s="822"/>
      <c r="MJS39" s="822"/>
      <c r="MJT39" s="822"/>
      <c r="MJU39" s="822"/>
      <c r="MJV39" s="822"/>
      <c r="MJW39" s="822"/>
      <c r="MJX39" s="822"/>
      <c r="MJY39" s="822"/>
      <c r="MJZ39" s="822"/>
      <c r="MKA39" s="822"/>
      <c r="MKB39" s="822"/>
      <c r="MKC39" s="822"/>
      <c r="MKD39" s="822"/>
      <c r="MKE39" s="822"/>
      <c r="MKF39" s="822"/>
      <c r="MKG39" s="822"/>
      <c r="MKH39" s="822"/>
      <c r="MKI39" s="822"/>
      <c r="MKJ39" s="822"/>
      <c r="MKK39" s="822"/>
      <c r="MKL39" s="822"/>
      <c r="MKM39" s="822"/>
      <c r="MKN39" s="822"/>
      <c r="MKO39" s="822"/>
      <c r="MKP39" s="822"/>
      <c r="MKQ39" s="822"/>
      <c r="MKR39" s="822"/>
      <c r="MKS39" s="822"/>
      <c r="MKT39" s="822"/>
      <c r="MKU39" s="822"/>
      <c r="MKV39" s="822"/>
      <c r="MKW39" s="822"/>
      <c r="MKX39" s="822"/>
      <c r="MKY39" s="822"/>
      <c r="MKZ39" s="822"/>
      <c r="MLA39" s="822"/>
      <c r="MLB39" s="822"/>
      <c r="MLC39" s="822"/>
      <c r="MLD39" s="822"/>
      <c r="MLE39" s="822"/>
      <c r="MLF39" s="822"/>
      <c r="MLG39" s="822"/>
      <c r="MLH39" s="822"/>
      <c r="MLI39" s="822"/>
      <c r="MLJ39" s="822"/>
      <c r="MLK39" s="822"/>
      <c r="MLL39" s="822"/>
      <c r="MLM39" s="822"/>
      <c r="MLN39" s="822"/>
      <c r="MLO39" s="822"/>
      <c r="MLP39" s="822"/>
      <c r="MLQ39" s="822"/>
      <c r="MLR39" s="822"/>
      <c r="MLS39" s="822"/>
      <c r="MLT39" s="822"/>
      <c r="MLU39" s="822"/>
      <c r="MLV39" s="822"/>
      <c r="MLW39" s="822"/>
      <c r="MLX39" s="822"/>
      <c r="MLY39" s="822"/>
      <c r="MLZ39" s="822"/>
      <c r="MMA39" s="822"/>
      <c r="MMB39" s="822"/>
      <c r="MMC39" s="822"/>
      <c r="MMD39" s="822"/>
      <c r="MME39" s="822"/>
      <c r="MMF39" s="822"/>
      <c r="MMG39" s="822"/>
      <c r="MMH39" s="822"/>
      <c r="MMI39" s="822"/>
      <c r="MMJ39" s="822"/>
      <c r="MMK39" s="822"/>
      <c r="MML39" s="822"/>
      <c r="MMM39" s="822"/>
      <c r="MMN39" s="822"/>
      <c r="MMO39" s="822"/>
      <c r="MMP39" s="822"/>
      <c r="MMQ39" s="822"/>
      <c r="MMR39" s="822"/>
      <c r="MMS39" s="822"/>
      <c r="MMT39" s="822"/>
      <c r="MMU39" s="822"/>
      <c r="MMV39" s="822"/>
      <c r="MMW39" s="822"/>
      <c r="MMX39" s="822"/>
      <c r="MMY39" s="822"/>
      <c r="MMZ39" s="822"/>
      <c r="MNA39" s="822"/>
      <c r="MNB39" s="822"/>
      <c r="MNC39" s="822"/>
      <c r="MND39" s="822"/>
      <c r="MNE39" s="822"/>
      <c r="MNF39" s="822"/>
      <c r="MNG39" s="822"/>
      <c r="MNH39" s="822"/>
      <c r="MNI39" s="822"/>
      <c r="MNJ39" s="822"/>
      <c r="MNK39" s="822"/>
      <c r="MNL39" s="822"/>
      <c r="MNM39" s="822"/>
      <c r="MNN39" s="822"/>
      <c r="MNO39" s="822"/>
      <c r="MNP39" s="822"/>
      <c r="MNQ39" s="822"/>
      <c r="MNR39" s="822"/>
      <c r="MNS39" s="822"/>
      <c r="MNT39" s="822"/>
      <c r="MNU39" s="822"/>
      <c r="MNV39" s="822"/>
      <c r="MNW39" s="822"/>
      <c r="MNX39" s="822"/>
      <c r="MNY39" s="822"/>
      <c r="MNZ39" s="822"/>
      <c r="MOA39" s="822"/>
      <c r="MOB39" s="822"/>
      <c r="MOC39" s="822"/>
      <c r="MOD39" s="822"/>
      <c r="MOE39" s="822"/>
      <c r="MOF39" s="822"/>
      <c r="MOG39" s="822"/>
      <c r="MOH39" s="822"/>
      <c r="MOI39" s="822"/>
      <c r="MOJ39" s="822"/>
      <c r="MOK39" s="822"/>
      <c r="MOL39" s="822"/>
      <c r="MOM39" s="822"/>
      <c r="MON39" s="822"/>
      <c r="MOO39" s="822"/>
      <c r="MOP39" s="822"/>
      <c r="MOQ39" s="822"/>
      <c r="MOR39" s="822"/>
      <c r="MOS39" s="822"/>
      <c r="MOT39" s="822"/>
      <c r="MOU39" s="822"/>
      <c r="MOV39" s="822"/>
      <c r="MOW39" s="822"/>
      <c r="MOX39" s="822"/>
      <c r="MOY39" s="822"/>
      <c r="MOZ39" s="822"/>
      <c r="MPA39" s="822"/>
      <c r="MPB39" s="822"/>
      <c r="MPC39" s="822"/>
      <c r="MPD39" s="822"/>
      <c r="MPE39" s="822"/>
      <c r="MPF39" s="822"/>
      <c r="MPG39" s="822"/>
      <c r="MPH39" s="822"/>
      <c r="MPI39" s="822"/>
      <c r="MPJ39" s="822"/>
      <c r="MPK39" s="822"/>
      <c r="MPL39" s="822"/>
      <c r="MPM39" s="822"/>
      <c r="MPN39" s="822"/>
      <c r="MPO39" s="822"/>
      <c r="MPP39" s="822"/>
      <c r="MPQ39" s="822"/>
      <c r="MPR39" s="822"/>
      <c r="MPS39" s="822"/>
      <c r="MPT39" s="822"/>
      <c r="MPU39" s="822"/>
      <c r="MPV39" s="822"/>
      <c r="MPW39" s="822"/>
      <c r="MPX39" s="822"/>
      <c r="MPY39" s="822"/>
      <c r="MPZ39" s="822"/>
      <c r="MQA39" s="822"/>
      <c r="MQB39" s="822"/>
      <c r="MQC39" s="822"/>
      <c r="MQD39" s="822"/>
      <c r="MQE39" s="822"/>
      <c r="MQF39" s="822"/>
      <c r="MQG39" s="822"/>
      <c r="MQH39" s="822"/>
      <c r="MQI39" s="822"/>
      <c r="MQJ39" s="822"/>
      <c r="MQK39" s="822"/>
      <c r="MQL39" s="822"/>
      <c r="MQM39" s="822"/>
      <c r="MQN39" s="822"/>
      <c r="MQO39" s="822"/>
      <c r="MQP39" s="822"/>
      <c r="MQQ39" s="822"/>
      <c r="MQR39" s="822"/>
      <c r="MQS39" s="822"/>
      <c r="MQT39" s="822"/>
      <c r="MQU39" s="822"/>
      <c r="MQV39" s="822"/>
      <c r="MQW39" s="822"/>
      <c r="MQX39" s="822"/>
      <c r="MQY39" s="822"/>
      <c r="MQZ39" s="822"/>
      <c r="MRA39" s="822"/>
      <c r="MRB39" s="822"/>
      <c r="MRC39" s="822"/>
      <c r="MRD39" s="822"/>
      <c r="MRE39" s="822"/>
      <c r="MRF39" s="822"/>
      <c r="MRG39" s="822"/>
      <c r="MRH39" s="822"/>
      <c r="MRI39" s="822"/>
      <c r="MRJ39" s="822"/>
      <c r="MRK39" s="822"/>
      <c r="MRL39" s="822"/>
      <c r="MRM39" s="822"/>
      <c r="MRN39" s="822"/>
      <c r="MRO39" s="822"/>
      <c r="MRP39" s="822"/>
      <c r="MRQ39" s="822"/>
      <c r="MRR39" s="822"/>
      <c r="MRS39" s="822"/>
      <c r="MRT39" s="822"/>
      <c r="MRU39" s="822"/>
      <c r="MRV39" s="822"/>
      <c r="MRW39" s="822"/>
      <c r="MRX39" s="822"/>
      <c r="MRY39" s="822"/>
      <c r="MRZ39" s="822"/>
      <c r="MSA39" s="822"/>
      <c r="MSB39" s="822"/>
      <c r="MSC39" s="822"/>
      <c r="MSD39" s="822"/>
      <c r="MSE39" s="822"/>
      <c r="MSF39" s="822"/>
      <c r="MSG39" s="822"/>
      <c r="MSH39" s="822"/>
      <c r="MSI39" s="822"/>
      <c r="MSJ39" s="822"/>
      <c r="MSK39" s="822"/>
      <c r="MSL39" s="822"/>
      <c r="MSM39" s="822"/>
      <c r="MSN39" s="822"/>
      <c r="MSO39" s="822"/>
      <c r="MSP39" s="822"/>
      <c r="MSQ39" s="822"/>
      <c r="MSR39" s="822"/>
      <c r="MSS39" s="822"/>
      <c r="MST39" s="822"/>
      <c r="MSU39" s="822"/>
      <c r="MSV39" s="822"/>
      <c r="MSW39" s="822"/>
      <c r="MSX39" s="822"/>
      <c r="MSY39" s="822"/>
      <c r="MSZ39" s="822"/>
      <c r="MTA39" s="822"/>
      <c r="MTB39" s="822"/>
      <c r="MTC39" s="822"/>
      <c r="MTD39" s="822"/>
      <c r="MTE39" s="822"/>
      <c r="MTF39" s="822"/>
      <c r="MTG39" s="822"/>
      <c r="MTH39" s="822"/>
      <c r="MTI39" s="822"/>
      <c r="MTJ39" s="822"/>
      <c r="MTK39" s="822"/>
      <c r="MTL39" s="822"/>
      <c r="MTM39" s="822"/>
      <c r="MTN39" s="822"/>
      <c r="MTO39" s="822"/>
      <c r="MTP39" s="822"/>
      <c r="MTQ39" s="822"/>
      <c r="MTR39" s="822"/>
      <c r="MTS39" s="822"/>
      <c r="MTT39" s="822"/>
      <c r="MTU39" s="822"/>
      <c r="MTV39" s="822"/>
      <c r="MTW39" s="822"/>
      <c r="MTX39" s="822"/>
      <c r="MTY39" s="822"/>
      <c r="MTZ39" s="822"/>
      <c r="MUA39" s="822"/>
      <c r="MUB39" s="822"/>
      <c r="MUC39" s="822"/>
      <c r="MUD39" s="822"/>
      <c r="MUE39" s="822"/>
      <c r="MUF39" s="822"/>
      <c r="MUG39" s="822"/>
      <c r="MUH39" s="822"/>
      <c r="MUI39" s="822"/>
      <c r="MUJ39" s="822"/>
      <c r="MUK39" s="822"/>
      <c r="MUL39" s="822"/>
      <c r="MUM39" s="822"/>
      <c r="MUN39" s="822"/>
      <c r="MUO39" s="822"/>
      <c r="MUP39" s="822"/>
      <c r="MUQ39" s="822"/>
      <c r="MUR39" s="822"/>
      <c r="MUS39" s="822"/>
      <c r="MUT39" s="822"/>
      <c r="MUU39" s="822"/>
      <c r="MUV39" s="822"/>
      <c r="MUW39" s="822"/>
      <c r="MUX39" s="822"/>
      <c r="MUY39" s="822"/>
      <c r="MUZ39" s="822"/>
      <c r="MVA39" s="822"/>
      <c r="MVB39" s="822"/>
      <c r="MVC39" s="822"/>
      <c r="MVD39" s="822"/>
      <c r="MVE39" s="822"/>
      <c r="MVF39" s="822"/>
      <c r="MVG39" s="822"/>
      <c r="MVH39" s="822"/>
      <c r="MVI39" s="822"/>
      <c r="MVJ39" s="822"/>
      <c r="MVK39" s="822"/>
      <c r="MVL39" s="822"/>
      <c r="MVM39" s="822"/>
      <c r="MVN39" s="822"/>
      <c r="MVO39" s="822"/>
      <c r="MVP39" s="822"/>
      <c r="MVQ39" s="822"/>
      <c r="MVR39" s="822"/>
      <c r="MVS39" s="822"/>
      <c r="MVT39" s="822"/>
      <c r="MVU39" s="822"/>
      <c r="MVV39" s="822"/>
      <c r="MVW39" s="822"/>
      <c r="MVX39" s="822"/>
      <c r="MVY39" s="822"/>
      <c r="MVZ39" s="822"/>
      <c r="MWA39" s="822"/>
      <c r="MWB39" s="822"/>
      <c r="MWC39" s="822"/>
      <c r="MWD39" s="822"/>
      <c r="MWE39" s="822"/>
      <c r="MWF39" s="822"/>
      <c r="MWG39" s="822"/>
      <c r="MWH39" s="822"/>
      <c r="MWI39" s="822"/>
      <c r="MWJ39" s="822"/>
      <c r="MWK39" s="822"/>
      <c r="MWL39" s="822"/>
      <c r="MWM39" s="822"/>
      <c r="MWN39" s="822"/>
      <c r="MWO39" s="822"/>
      <c r="MWP39" s="822"/>
      <c r="MWQ39" s="822"/>
      <c r="MWR39" s="822"/>
      <c r="MWS39" s="822"/>
      <c r="MWT39" s="822"/>
      <c r="MWU39" s="822"/>
      <c r="MWV39" s="822"/>
      <c r="MWW39" s="822"/>
      <c r="MWX39" s="822"/>
      <c r="MWY39" s="822"/>
      <c r="MWZ39" s="822"/>
      <c r="MXA39" s="822"/>
      <c r="MXB39" s="822"/>
      <c r="MXC39" s="822"/>
      <c r="MXD39" s="822"/>
      <c r="MXE39" s="822"/>
      <c r="MXF39" s="822"/>
      <c r="MXG39" s="822"/>
      <c r="MXH39" s="822"/>
      <c r="MXI39" s="822"/>
      <c r="MXJ39" s="822"/>
      <c r="MXK39" s="822"/>
      <c r="MXL39" s="822"/>
      <c r="MXM39" s="822"/>
      <c r="MXN39" s="822"/>
      <c r="MXO39" s="822"/>
      <c r="MXP39" s="822"/>
      <c r="MXQ39" s="822"/>
      <c r="MXR39" s="822"/>
      <c r="MXS39" s="822"/>
      <c r="MXT39" s="822"/>
      <c r="MXU39" s="822"/>
      <c r="MXV39" s="822"/>
      <c r="MXW39" s="822"/>
      <c r="MXX39" s="822"/>
      <c r="MXY39" s="822"/>
      <c r="MXZ39" s="822"/>
      <c r="MYA39" s="822"/>
      <c r="MYB39" s="822"/>
      <c r="MYC39" s="822"/>
      <c r="MYD39" s="822"/>
      <c r="MYE39" s="822"/>
      <c r="MYF39" s="822"/>
      <c r="MYG39" s="822"/>
      <c r="MYH39" s="822"/>
      <c r="MYI39" s="822"/>
      <c r="MYJ39" s="822"/>
      <c r="MYK39" s="822"/>
      <c r="MYL39" s="822"/>
      <c r="MYM39" s="822"/>
      <c r="MYN39" s="822"/>
      <c r="MYO39" s="822"/>
      <c r="MYP39" s="822"/>
      <c r="MYQ39" s="822"/>
      <c r="MYR39" s="822"/>
      <c r="MYS39" s="822"/>
      <c r="MYT39" s="822"/>
      <c r="MYU39" s="822"/>
      <c r="MYV39" s="822"/>
      <c r="MYW39" s="822"/>
      <c r="MYX39" s="822"/>
      <c r="MYY39" s="822"/>
      <c r="MYZ39" s="822"/>
      <c r="MZA39" s="822"/>
      <c r="MZB39" s="822"/>
      <c r="MZC39" s="822"/>
      <c r="MZD39" s="822"/>
      <c r="MZE39" s="822"/>
      <c r="MZF39" s="822"/>
      <c r="MZG39" s="822"/>
      <c r="MZH39" s="822"/>
      <c r="MZI39" s="822"/>
      <c r="MZJ39" s="822"/>
      <c r="MZK39" s="822"/>
      <c r="MZL39" s="822"/>
      <c r="MZM39" s="822"/>
      <c r="MZN39" s="822"/>
      <c r="MZO39" s="822"/>
      <c r="MZP39" s="822"/>
      <c r="MZQ39" s="822"/>
      <c r="MZR39" s="822"/>
      <c r="MZS39" s="822"/>
      <c r="MZT39" s="822"/>
      <c r="MZU39" s="822"/>
      <c r="MZV39" s="822"/>
      <c r="MZW39" s="822"/>
      <c r="MZX39" s="822"/>
      <c r="MZY39" s="822"/>
      <c r="MZZ39" s="822"/>
      <c r="NAA39" s="822"/>
      <c r="NAB39" s="822"/>
      <c r="NAC39" s="822"/>
      <c r="NAD39" s="822"/>
      <c r="NAE39" s="822"/>
      <c r="NAF39" s="822"/>
      <c r="NAG39" s="822"/>
      <c r="NAH39" s="822"/>
      <c r="NAI39" s="822"/>
      <c r="NAJ39" s="822"/>
      <c r="NAK39" s="822"/>
      <c r="NAL39" s="822"/>
      <c r="NAM39" s="822"/>
      <c r="NAN39" s="822"/>
      <c r="NAO39" s="822"/>
      <c r="NAP39" s="822"/>
      <c r="NAQ39" s="822"/>
      <c r="NAR39" s="822"/>
      <c r="NAS39" s="822"/>
      <c r="NAT39" s="822"/>
      <c r="NAU39" s="822"/>
      <c r="NAV39" s="822"/>
      <c r="NAW39" s="822"/>
      <c r="NAX39" s="822"/>
      <c r="NAY39" s="822"/>
      <c r="NAZ39" s="822"/>
      <c r="NBA39" s="822"/>
      <c r="NBB39" s="822"/>
      <c r="NBC39" s="822"/>
      <c r="NBD39" s="822"/>
      <c r="NBE39" s="822"/>
      <c r="NBF39" s="822"/>
      <c r="NBG39" s="822"/>
      <c r="NBH39" s="822"/>
      <c r="NBI39" s="822"/>
      <c r="NBJ39" s="822"/>
      <c r="NBK39" s="822"/>
      <c r="NBL39" s="822"/>
      <c r="NBM39" s="822"/>
      <c r="NBN39" s="822"/>
      <c r="NBO39" s="822"/>
      <c r="NBP39" s="822"/>
      <c r="NBQ39" s="822"/>
      <c r="NBR39" s="822"/>
      <c r="NBS39" s="822"/>
      <c r="NBT39" s="822"/>
      <c r="NBU39" s="822"/>
      <c r="NBV39" s="822"/>
      <c r="NBW39" s="822"/>
      <c r="NBX39" s="822"/>
      <c r="NBY39" s="822"/>
      <c r="NBZ39" s="822"/>
      <c r="NCA39" s="822"/>
      <c r="NCB39" s="822"/>
      <c r="NCC39" s="822"/>
      <c r="NCD39" s="822"/>
      <c r="NCE39" s="822"/>
      <c r="NCF39" s="822"/>
      <c r="NCG39" s="822"/>
      <c r="NCH39" s="822"/>
      <c r="NCI39" s="822"/>
      <c r="NCJ39" s="822"/>
      <c r="NCK39" s="822"/>
      <c r="NCL39" s="822"/>
      <c r="NCM39" s="822"/>
      <c r="NCN39" s="822"/>
      <c r="NCO39" s="822"/>
      <c r="NCP39" s="822"/>
      <c r="NCQ39" s="822"/>
      <c r="NCR39" s="822"/>
      <c r="NCS39" s="822"/>
      <c r="NCT39" s="822"/>
      <c r="NCU39" s="822"/>
      <c r="NCV39" s="822"/>
      <c r="NCW39" s="822"/>
      <c r="NCX39" s="822"/>
      <c r="NCY39" s="822"/>
      <c r="NCZ39" s="822"/>
      <c r="NDA39" s="822"/>
      <c r="NDB39" s="822"/>
      <c r="NDC39" s="822"/>
      <c r="NDD39" s="822"/>
      <c r="NDE39" s="822"/>
      <c r="NDF39" s="822"/>
      <c r="NDG39" s="822"/>
      <c r="NDH39" s="822"/>
      <c r="NDI39" s="822"/>
      <c r="NDJ39" s="822"/>
      <c r="NDK39" s="822"/>
      <c r="NDL39" s="822"/>
      <c r="NDM39" s="822"/>
      <c r="NDN39" s="822"/>
      <c r="NDO39" s="822"/>
      <c r="NDP39" s="822"/>
      <c r="NDQ39" s="822"/>
      <c r="NDR39" s="822"/>
      <c r="NDS39" s="822"/>
      <c r="NDT39" s="822"/>
      <c r="NDU39" s="822"/>
      <c r="NDV39" s="822"/>
      <c r="NDW39" s="822"/>
      <c r="NDX39" s="822"/>
      <c r="NDY39" s="822"/>
      <c r="NDZ39" s="822"/>
      <c r="NEA39" s="822"/>
      <c r="NEB39" s="822"/>
      <c r="NEC39" s="822"/>
      <c r="NED39" s="822"/>
      <c r="NEE39" s="822"/>
      <c r="NEF39" s="822"/>
      <c r="NEG39" s="822"/>
      <c r="NEH39" s="822"/>
      <c r="NEI39" s="822"/>
      <c r="NEJ39" s="822"/>
      <c r="NEK39" s="822"/>
      <c r="NEL39" s="822"/>
      <c r="NEM39" s="822"/>
      <c r="NEN39" s="822"/>
      <c r="NEO39" s="822"/>
      <c r="NEP39" s="822"/>
      <c r="NEQ39" s="822"/>
      <c r="NER39" s="822"/>
      <c r="NES39" s="822"/>
      <c r="NET39" s="822"/>
      <c r="NEU39" s="822"/>
      <c r="NEV39" s="822"/>
      <c r="NEW39" s="822"/>
      <c r="NEX39" s="822"/>
      <c r="NEY39" s="822"/>
      <c r="NEZ39" s="822"/>
      <c r="NFA39" s="822"/>
      <c r="NFB39" s="822"/>
      <c r="NFC39" s="822"/>
      <c r="NFD39" s="822"/>
      <c r="NFE39" s="822"/>
      <c r="NFF39" s="822"/>
      <c r="NFG39" s="822"/>
      <c r="NFH39" s="822"/>
      <c r="NFI39" s="822"/>
      <c r="NFJ39" s="822"/>
      <c r="NFK39" s="822"/>
      <c r="NFL39" s="822"/>
      <c r="NFM39" s="822"/>
      <c r="NFN39" s="822"/>
      <c r="NFO39" s="822"/>
      <c r="NFP39" s="822"/>
      <c r="NFQ39" s="822"/>
      <c r="NFR39" s="822"/>
      <c r="NFS39" s="822"/>
      <c r="NFT39" s="822"/>
      <c r="NFU39" s="822"/>
      <c r="NFV39" s="822"/>
      <c r="NFW39" s="822"/>
      <c r="NFX39" s="822"/>
      <c r="NFY39" s="822"/>
      <c r="NFZ39" s="822"/>
      <c r="NGA39" s="822"/>
      <c r="NGB39" s="822"/>
      <c r="NGC39" s="822"/>
      <c r="NGD39" s="822"/>
      <c r="NGE39" s="822"/>
      <c r="NGF39" s="822"/>
      <c r="NGG39" s="822"/>
      <c r="NGH39" s="822"/>
      <c r="NGI39" s="822"/>
      <c r="NGJ39" s="822"/>
      <c r="NGK39" s="822"/>
      <c r="NGL39" s="822"/>
      <c r="NGM39" s="822"/>
      <c r="NGN39" s="822"/>
      <c r="NGO39" s="822"/>
      <c r="NGP39" s="822"/>
      <c r="NGQ39" s="822"/>
      <c r="NGR39" s="822"/>
      <c r="NGS39" s="822"/>
      <c r="NGT39" s="822"/>
      <c r="NGU39" s="822"/>
      <c r="NGV39" s="822"/>
      <c r="NGW39" s="822"/>
      <c r="NGX39" s="822"/>
      <c r="NGY39" s="822"/>
      <c r="NGZ39" s="822"/>
      <c r="NHA39" s="822"/>
      <c r="NHB39" s="822"/>
      <c r="NHC39" s="822"/>
      <c r="NHD39" s="822"/>
      <c r="NHE39" s="822"/>
      <c r="NHF39" s="822"/>
      <c r="NHG39" s="822"/>
      <c r="NHH39" s="822"/>
      <c r="NHI39" s="822"/>
      <c r="NHJ39" s="822"/>
      <c r="NHK39" s="822"/>
      <c r="NHL39" s="822"/>
      <c r="NHM39" s="822"/>
      <c r="NHN39" s="822"/>
      <c r="NHO39" s="822"/>
      <c r="NHP39" s="822"/>
      <c r="NHQ39" s="822"/>
      <c r="NHR39" s="822"/>
      <c r="NHS39" s="822"/>
      <c r="NHT39" s="822"/>
      <c r="NHU39" s="822"/>
      <c r="NHV39" s="822"/>
      <c r="NHW39" s="822"/>
      <c r="NHX39" s="822"/>
      <c r="NHY39" s="822"/>
      <c r="NHZ39" s="822"/>
      <c r="NIA39" s="822"/>
      <c r="NIB39" s="822"/>
      <c r="NIC39" s="822"/>
      <c r="NID39" s="822"/>
      <c r="NIE39" s="822"/>
      <c r="NIF39" s="822"/>
      <c r="NIG39" s="822"/>
      <c r="NIH39" s="822"/>
      <c r="NII39" s="822"/>
      <c r="NIJ39" s="822"/>
      <c r="NIK39" s="822"/>
      <c r="NIL39" s="822"/>
      <c r="NIM39" s="822"/>
      <c r="NIN39" s="822"/>
      <c r="NIO39" s="822"/>
      <c r="NIP39" s="822"/>
      <c r="NIQ39" s="822"/>
      <c r="NIR39" s="822"/>
      <c r="NIS39" s="822"/>
      <c r="NIT39" s="822"/>
      <c r="NIU39" s="822"/>
      <c r="NIV39" s="822"/>
      <c r="NIW39" s="822"/>
      <c r="NIX39" s="822"/>
      <c r="NIY39" s="822"/>
      <c r="NIZ39" s="822"/>
      <c r="NJA39" s="822"/>
      <c r="NJB39" s="822"/>
      <c r="NJC39" s="822"/>
      <c r="NJD39" s="822"/>
      <c r="NJE39" s="822"/>
      <c r="NJF39" s="822"/>
      <c r="NJG39" s="822"/>
      <c r="NJH39" s="822"/>
      <c r="NJI39" s="822"/>
      <c r="NJJ39" s="822"/>
      <c r="NJK39" s="822"/>
      <c r="NJL39" s="822"/>
      <c r="NJM39" s="822"/>
      <c r="NJN39" s="822"/>
      <c r="NJO39" s="822"/>
      <c r="NJP39" s="822"/>
      <c r="NJQ39" s="822"/>
      <c r="NJR39" s="822"/>
      <c r="NJS39" s="822"/>
      <c r="NJT39" s="822"/>
      <c r="NJU39" s="822"/>
      <c r="NJV39" s="822"/>
      <c r="NJW39" s="822"/>
      <c r="NJX39" s="822"/>
      <c r="NJY39" s="822"/>
      <c r="NJZ39" s="822"/>
      <c r="NKA39" s="822"/>
      <c r="NKB39" s="822"/>
      <c r="NKC39" s="822"/>
      <c r="NKD39" s="822"/>
      <c r="NKE39" s="822"/>
      <c r="NKF39" s="822"/>
      <c r="NKG39" s="822"/>
      <c r="NKH39" s="822"/>
      <c r="NKI39" s="822"/>
      <c r="NKJ39" s="822"/>
      <c r="NKK39" s="822"/>
      <c r="NKL39" s="822"/>
      <c r="NKM39" s="822"/>
      <c r="NKN39" s="822"/>
      <c r="NKO39" s="822"/>
      <c r="NKP39" s="822"/>
      <c r="NKQ39" s="822"/>
      <c r="NKR39" s="822"/>
      <c r="NKS39" s="822"/>
      <c r="NKT39" s="822"/>
      <c r="NKU39" s="822"/>
      <c r="NKV39" s="822"/>
      <c r="NKW39" s="822"/>
      <c r="NKX39" s="822"/>
      <c r="NKY39" s="822"/>
      <c r="NKZ39" s="822"/>
      <c r="NLA39" s="822"/>
      <c r="NLB39" s="822"/>
      <c r="NLC39" s="822"/>
      <c r="NLD39" s="822"/>
      <c r="NLE39" s="822"/>
      <c r="NLF39" s="822"/>
      <c r="NLG39" s="822"/>
      <c r="NLH39" s="822"/>
      <c r="NLI39" s="822"/>
      <c r="NLJ39" s="822"/>
      <c r="NLK39" s="822"/>
      <c r="NLL39" s="822"/>
      <c r="NLM39" s="822"/>
      <c r="NLN39" s="822"/>
      <c r="NLO39" s="822"/>
      <c r="NLP39" s="822"/>
      <c r="NLQ39" s="822"/>
      <c r="NLR39" s="822"/>
      <c r="NLS39" s="822"/>
      <c r="NLT39" s="822"/>
      <c r="NLU39" s="822"/>
      <c r="NLV39" s="822"/>
      <c r="NLW39" s="822"/>
      <c r="NLX39" s="822"/>
      <c r="NLY39" s="822"/>
      <c r="NLZ39" s="822"/>
      <c r="NMA39" s="822"/>
      <c r="NMB39" s="822"/>
      <c r="NMC39" s="822"/>
      <c r="NMD39" s="822"/>
      <c r="NME39" s="822"/>
      <c r="NMF39" s="822"/>
      <c r="NMG39" s="822"/>
      <c r="NMH39" s="822"/>
      <c r="NMI39" s="822"/>
      <c r="NMJ39" s="822"/>
      <c r="NMK39" s="822"/>
      <c r="NML39" s="822"/>
      <c r="NMM39" s="822"/>
      <c r="NMN39" s="822"/>
      <c r="NMO39" s="822"/>
      <c r="NMP39" s="822"/>
      <c r="NMQ39" s="822"/>
      <c r="NMR39" s="822"/>
      <c r="NMS39" s="822"/>
      <c r="NMT39" s="822"/>
      <c r="NMU39" s="822"/>
      <c r="NMV39" s="822"/>
      <c r="NMW39" s="822"/>
      <c r="NMX39" s="822"/>
      <c r="NMY39" s="822"/>
      <c r="NMZ39" s="822"/>
      <c r="NNA39" s="822"/>
      <c r="NNB39" s="822"/>
      <c r="NNC39" s="822"/>
      <c r="NND39" s="822"/>
      <c r="NNE39" s="822"/>
      <c r="NNF39" s="822"/>
      <c r="NNG39" s="822"/>
      <c r="NNH39" s="822"/>
      <c r="NNI39" s="822"/>
      <c r="NNJ39" s="822"/>
      <c r="NNK39" s="822"/>
      <c r="NNL39" s="822"/>
      <c r="NNM39" s="822"/>
      <c r="NNN39" s="822"/>
      <c r="NNO39" s="822"/>
      <c r="NNP39" s="822"/>
      <c r="NNQ39" s="822"/>
      <c r="NNR39" s="822"/>
      <c r="NNS39" s="822"/>
      <c r="NNT39" s="822"/>
      <c r="NNU39" s="822"/>
      <c r="NNV39" s="822"/>
      <c r="NNW39" s="822"/>
      <c r="NNX39" s="822"/>
      <c r="NNY39" s="822"/>
      <c r="NNZ39" s="822"/>
      <c r="NOA39" s="822"/>
      <c r="NOB39" s="822"/>
      <c r="NOC39" s="822"/>
      <c r="NOD39" s="822"/>
      <c r="NOE39" s="822"/>
      <c r="NOF39" s="822"/>
      <c r="NOG39" s="822"/>
      <c r="NOH39" s="822"/>
      <c r="NOI39" s="822"/>
      <c r="NOJ39" s="822"/>
      <c r="NOK39" s="822"/>
      <c r="NOL39" s="822"/>
      <c r="NOM39" s="822"/>
      <c r="NON39" s="822"/>
      <c r="NOO39" s="822"/>
      <c r="NOP39" s="822"/>
      <c r="NOQ39" s="822"/>
      <c r="NOR39" s="822"/>
      <c r="NOS39" s="822"/>
      <c r="NOT39" s="822"/>
      <c r="NOU39" s="822"/>
      <c r="NOV39" s="822"/>
      <c r="NOW39" s="822"/>
      <c r="NOX39" s="822"/>
      <c r="NOY39" s="822"/>
      <c r="NOZ39" s="822"/>
      <c r="NPA39" s="822"/>
      <c r="NPB39" s="822"/>
      <c r="NPC39" s="822"/>
      <c r="NPD39" s="822"/>
      <c r="NPE39" s="822"/>
      <c r="NPF39" s="822"/>
      <c r="NPG39" s="822"/>
      <c r="NPH39" s="822"/>
      <c r="NPI39" s="822"/>
      <c r="NPJ39" s="822"/>
      <c r="NPK39" s="822"/>
      <c r="NPL39" s="822"/>
      <c r="NPM39" s="822"/>
      <c r="NPN39" s="822"/>
      <c r="NPO39" s="822"/>
      <c r="NPP39" s="822"/>
      <c r="NPQ39" s="822"/>
      <c r="NPR39" s="822"/>
      <c r="NPS39" s="822"/>
      <c r="NPT39" s="822"/>
      <c r="NPU39" s="822"/>
      <c r="NPV39" s="822"/>
      <c r="NPW39" s="822"/>
      <c r="NPX39" s="822"/>
      <c r="NPY39" s="822"/>
      <c r="NPZ39" s="822"/>
      <c r="NQA39" s="822"/>
      <c r="NQB39" s="822"/>
      <c r="NQC39" s="822"/>
      <c r="NQD39" s="822"/>
      <c r="NQE39" s="822"/>
      <c r="NQF39" s="822"/>
      <c r="NQG39" s="822"/>
      <c r="NQH39" s="822"/>
      <c r="NQI39" s="822"/>
      <c r="NQJ39" s="822"/>
      <c r="NQK39" s="822"/>
      <c r="NQL39" s="822"/>
      <c r="NQM39" s="822"/>
      <c r="NQN39" s="822"/>
      <c r="NQO39" s="822"/>
      <c r="NQP39" s="822"/>
      <c r="NQQ39" s="822"/>
      <c r="NQR39" s="822"/>
      <c r="NQS39" s="822"/>
      <c r="NQT39" s="822"/>
      <c r="NQU39" s="822"/>
      <c r="NQV39" s="822"/>
      <c r="NQW39" s="822"/>
      <c r="NQX39" s="822"/>
      <c r="NQY39" s="822"/>
      <c r="NQZ39" s="822"/>
      <c r="NRA39" s="822"/>
      <c r="NRB39" s="822"/>
      <c r="NRC39" s="822"/>
      <c r="NRD39" s="822"/>
      <c r="NRE39" s="822"/>
      <c r="NRF39" s="822"/>
      <c r="NRG39" s="822"/>
      <c r="NRH39" s="822"/>
      <c r="NRI39" s="822"/>
      <c r="NRJ39" s="822"/>
      <c r="NRK39" s="822"/>
      <c r="NRL39" s="822"/>
      <c r="NRM39" s="822"/>
      <c r="NRN39" s="822"/>
      <c r="NRO39" s="822"/>
      <c r="NRP39" s="822"/>
      <c r="NRQ39" s="822"/>
      <c r="NRR39" s="822"/>
      <c r="NRS39" s="822"/>
      <c r="NRT39" s="822"/>
      <c r="NRU39" s="822"/>
      <c r="NRV39" s="822"/>
      <c r="NRW39" s="822"/>
      <c r="NRX39" s="822"/>
      <c r="NRY39" s="822"/>
      <c r="NRZ39" s="822"/>
      <c r="NSA39" s="822"/>
      <c r="NSB39" s="822"/>
      <c r="NSC39" s="822"/>
      <c r="NSD39" s="822"/>
      <c r="NSE39" s="822"/>
      <c r="NSF39" s="822"/>
      <c r="NSG39" s="822"/>
      <c r="NSH39" s="822"/>
      <c r="NSI39" s="822"/>
      <c r="NSJ39" s="822"/>
      <c r="NSK39" s="822"/>
      <c r="NSL39" s="822"/>
      <c r="NSM39" s="822"/>
      <c r="NSN39" s="822"/>
      <c r="NSO39" s="822"/>
      <c r="NSP39" s="822"/>
      <c r="NSQ39" s="822"/>
      <c r="NSR39" s="822"/>
      <c r="NSS39" s="822"/>
      <c r="NST39" s="822"/>
      <c r="NSU39" s="822"/>
      <c r="NSV39" s="822"/>
      <c r="NSW39" s="822"/>
      <c r="NSX39" s="822"/>
      <c r="NSY39" s="822"/>
      <c r="NSZ39" s="822"/>
      <c r="NTA39" s="822"/>
      <c r="NTB39" s="822"/>
      <c r="NTC39" s="822"/>
      <c r="NTD39" s="822"/>
      <c r="NTE39" s="822"/>
      <c r="NTF39" s="822"/>
      <c r="NTG39" s="822"/>
      <c r="NTH39" s="822"/>
      <c r="NTI39" s="822"/>
      <c r="NTJ39" s="822"/>
      <c r="NTK39" s="822"/>
      <c r="NTL39" s="822"/>
      <c r="NTM39" s="822"/>
      <c r="NTN39" s="822"/>
      <c r="NTO39" s="822"/>
      <c r="NTP39" s="822"/>
      <c r="NTQ39" s="822"/>
      <c r="NTR39" s="822"/>
      <c r="NTS39" s="822"/>
      <c r="NTT39" s="822"/>
      <c r="NTU39" s="822"/>
      <c r="NTV39" s="822"/>
      <c r="NTW39" s="822"/>
      <c r="NTX39" s="822"/>
      <c r="NTY39" s="822"/>
      <c r="NTZ39" s="822"/>
      <c r="NUA39" s="822"/>
      <c r="NUB39" s="822"/>
      <c r="NUC39" s="822"/>
      <c r="NUD39" s="822"/>
      <c r="NUE39" s="822"/>
      <c r="NUF39" s="822"/>
      <c r="NUG39" s="822"/>
      <c r="NUH39" s="822"/>
      <c r="NUI39" s="822"/>
      <c r="NUJ39" s="822"/>
      <c r="NUK39" s="822"/>
      <c r="NUL39" s="822"/>
      <c r="NUM39" s="822"/>
      <c r="NUN39" s="822"/>
      <c r="NUO39" s="822"/>
      <c r="NUP39" s="822"/>
      <c r="NUQ39" s="822"/>
      <c r="NUR39" s="822"/>
      <c r="NUS39" s="822"/>
      <c r="NUT39" s="822"/>
      <c r="NUU39" s="822"/>
      <c r="NUV39" s="822"/>
      <c r="NUW39" s="822"/>
      <c r="NUX39" s="822"/>
      <c r="NUY39" s="822"/>
      <c r="NUZ39" s="822"/>
      <c r="NVA39" s="822"/>
      <c r="NVB39" s="822"/>
      <c r="NVC39" s="822"/>
      <c r="NVD39" s="822"/>
      <c r="NVE39" s="822"/>
      <c r="NVF39" s="822"/>
      <c r="NVG39" s="822"/>
      <c r="NVH39" s="822"/>
      <c r="NVI39" s="822"/>
      <c r="NVJ39" s="822"/>
      <c r="NVK39" s="822"/>
      <c r="NVL39" s="822"/>
      <c r="NVM39" s="822"/>
      <c r="NVN39" s="822"/>
      <c r="NVO39" s="822"/>
      <c r="NVP39" s="822"/>
      <c r="NVQ39" s="822"/>
      <c r="NVR39" s="822"/>
      <c r="NVS39" s="822"/>
      <c r="NVT39" s="822"/>
      <c r="NVU39" s="822"/>
      <c r="NVV39" s="822"/>
      <c r="NVW39" s="822"/>
      <c r="NVX39" s="822"/>
      <c r="NVY39" s="822"/>
      <c r="NVZ39" s="822"/>
      <c r="NWA39" s="822"/>
      <c r="NWB39" s="822"/>
      <c r="NWC39" s="822"/>
      <c r="NWD39" s="822"/>
      <c r="NWE39" s="822"/>
      <c r="NWF39" s="822"/>
      <c r="NWG39" s="822"/>
      <c r="NWH39" s="822"/>
      <c r="NWI39" s="822"/>
      <c r="NWJ39" s="822"/>
      <c r="NWK39" s="822"/>
      <c r="NWL39" s="822"/>
      <c r="NWM39" s="822"/>
      <c r="NWN39" s="822"/>
      <c r="NWO39" s="822"/>
      <c r="NWP39" s="822"/>
      <c r="NWQ39" s="822"/>
      <c r="NWR39" s="822"/>
      <c r="NWS39" s="822"/>
      <c r="NWT39" s="822"/>
      <c r="NWU39" s="822"/>
      <c r="NWV39" s="822"/>
      <c r="NWW39" s="822"/>
      <c r="NWX39" s="822"/>
      <c r="NWY39" s="822"/>
      <c r="NWZ39" s="822"/>
      <c r="NXA39" s="822"/>
      <c r="NXB39" s="822"/>
      <c r="NXC39" s="822"/>
      <c r="NXD39" s="822"/>
      <c r="NXE39" s="822"/>
      <c r="NXF39" s="822"/>
      <c r="NXG39" s="822"/>
      <c r="NXH39" s="822"/>
      <c r="NXI39" s="822"/>
      <c r="NXJ39" s="822"/>
      <c r="NXK39" s="822"/>
      <c r="NXL39" s="822"/>
      <c r="NXM39" s="822"/>
      <c r="NXN39" s="822"/>
      <c r="NXO39" s="822"/>
      <c r="NXP39" s="822"/>
      <c r="NXQ39" s="822"/>
      <c r="NXR39" s="822"/>
      <c r="NXS39" s="822"/>
      <c r="NXT39" s="822"/>
      <c r="NXU39" s="822"/>
      <c r="NXV39" s="822"/>
      <c r="NXW39" s="822"/>
      <c r="NXX39" s="822"/>
      <c r="NXY39" s="822"/>
      <c r="NXZ39" s="822"/>
      <c r="NYA39" s="822"/>
      <c r="NYB39" s="822"/>
      <c r="NYC39" s="822"/>
      <c r="NYD39" s="822"/>
      <c r="NYE39" s="822"/>
      <c r="NYF39" s="822"/>
      <c r="NYG39" s="822"/>
      <c r="NYH39" s="822"/>
      <c r="NYI39" s="822"/>
      <c r="NYJ39" s="822"/>
      <c r="NYK39" s="822"/>
      <c r="NYL39" s="822"/>
      <c r="NYM39" s="822"/>
      <c r="NYN39" s="822"/>
      <c r="NYO39" s="822"/>
      <c r="NYP39" s="822"/>
      <c r="NYQ39" s="822"/>
      <c r="NYR39" s="822"/>
      <c r="NYS39" s="822"/>
      <c r="NYT39" s="822"/>
      <c r="NYU39" s="822"/>
      <c r="NYV39" s="822"/>
      <c r="NYW39" s="822"/>
      <c r="NYX39" s="822"/>
      <c r="NYY39" s="822"/>
      <c r="NYZ39" s="822"/>
      <c r="NZA39" s="822"/>
      <c r="NZB39" s="822"/>
      <c r="NZC39" s="822"/>
      <c r="NZD39" s="822"/>
      <c r="NZE39" s="822"/>
      <c r="NZF39" s="822"/>
      <c r="NZG39" s="822"/>
      <c r="NZH39" s="822"/>
      <c r="NZI39" s="822"/>
      <c r="NZJ39" s="822"/>
      <c r="NZK39" s="822"/>
      <c r="NZL39" s="822"/>
      <c r="NZM39" s="822"/>
      <c r="NZN39" s="822"/>
      <c r="NZO39" s="822"/>
      <c r="NZP39" s="822"/>
      <c r="NZQ39" s="822"/>
      <c r="NZR39" s="822"/>
      <c r="NZS39" s="822"/>
      <c r="NZT39" s="822"/>
      <c r="NZU39" s="822"/>
      <c r="NZV39" s="822"/>
      <c r="NZW39" s="822"/>
      <c r="NZX39" s="822"/>
      <c r="NZY39" s="822"/>
      <c r="NZZ39" s="822"/>
      <c r="OAA39" s="822"/>
      <c r="OAB39" s="822"/>
      <c r="OAC39" s="822"/>
      <c r="OAD39" s="822"/>
      <c r="OAE39" s="822"/>
      <c r="OAF39" s="822"/>
      <c r="OAG39" s="822"/>
      <c r="OAH39" s="822"/>
      <c r="OAI39" s="822"/>
      <c r="OAJ39" s="822"/>
      <c r="OAK39" s="822"/>
      <c r="OAL39" s="822"/>
      <c r="OAM39" s="822"/>
      <c r="OAN39" s="822"/>
      <c r="OAO39" s="822"/>
      <c r="OAP39" s="822"/>
      <c r="OAQ39" s="822"/>
      <c r="OAR39" s="822"/>
      <c r="OAS39" s="822"/>
      <c r="OAT39" s="822"/>
      <c r="OAU39" s="822"/>
      <c r="OAV39" s="822"/>
      <c r="OAW39" s="822"/>
      <c r="OAX39" s="822"/>
      <c r="OAY39" s="822"/>
      <c r="OAZ39" s="822"/>
      <c r="OBA39" s="822"/>
      <c r="OBB39" s="822"/>
      <c r="OBC39" s="822"/>
      <c r="OBD39" s="822"/>
      <c r="OBE39" s="822"/>
      <c r="OBF39" s="822"/>
      <c r="OBG39" s="822"/>
      <c r="OBH39" s="822"/>
      <c r="OBI39" s="822"/>
      <c r="OBJ39" s="822"/>
      <c r="OBK39" s="822"/>
      <c r="OBL39" s="822"/>
      <c r="OBM39" s="822"/>
      <c r="OBN39" s="822"/>
      <c r="OBO39" s="822"/>
      <c r="OBP39" s="822"/>
      <c r="OBQ39" s="822"/>
      <c r="OBR39" s="822"/>
      <c r="OBS39" s="822"/>
      <c r="OBT39" s="822"/>
      <c r="OBU39" s="822"/>
      <c r="OBV39" s="822"/>
      <c r="OBW39" s="822"/>
      <c r="OBX39" s="822"/>
      <c r="OBY39" s="822"/>
      <c r="OBZ39" s="822"/>
      <c r="OCA39" s="822"/>
      <c r="OCB39" s="822"/>
      <c r="OCC39" s="822"/>
      <c r="OCD39" s="822"/>
      <c r="OCE39" s="822"/>
      <c r="OCF39" s="822"/>
      <c r="OCG39" s="822"/>
      <c r="OCH39" s="822"/>
      <c r="OCI39" s="822"/>
      <c r="OCJ39" s="822"/>
      <c r="OCK39" s="822"/>
      <c r="OCL39" s="822"/>
      <c r="OCM39" s="822"/>
      <c r="OCN39" s="822"/>
      <c r="OCO39" s="822"/>
      <c r="OCP39" s="822"/>
      <c r="OCQ39" s="822"/>
      <c r="OCR39" s="822"/>
      <c r="OCS39" s="822"/>
      <c r="OCT39" s="822"/>
      <c r="OCU39" s="822"/>
      <c r="OCV39" s="822"/>
      <c r="OCW39" s="822"/>
      <c r="OCX39" s="822"/>
      <c r="OCY39" s="822"/>
      <c r="OCZ39" s="822"/>
      <c r="ODA39" s="822"/>
      <c r="ODB39" s="822"/>
      <c r="ODC39" s="822"/>
      <c r="ODD39" s="822"/>
      <c r="ODE39" s="822"/>
      <c r="ODF39" s="822"/>
      <c r="ODG39" s="822"/>
      <c r="ODH39" s="822"/>
      <c r="ODI39" s="822"/>
      <c r="ODJ39" s="822"/>
      <c r="ODK39" s="822"/>
      <c r="ODL39" s="822"/>
      <c r="ODM39" s="822"/>
      <c r="ODN39" s="822"/>
      <c r="ODO39" s="822"/>
      <c r="ODP39" s="822"/>
      <c r="ODQ39" s="822"/>
      <c r="ODR39" s="822"/>
      <c r="ODS39" s="822"/>
      <c r="ODT39" s="822"/>
      <c r="ODU39" s="822"/>
      <c r="ODV39" s="822"/>
      <c r="ODW39" s="822"/>
      <c r="ODX39" s="822"/>
      <c r="ODY39" s="822"/>
      <c r="ODZ39" s="822"/>
      <c r="OEA39" s="822"/>
      <c r="OEB39" s="822"/>
      <c r="OEC39" s="822"/>
      <c r="OED39" s="822"/>
      <c r="OEE39" s="822"/>
      <c r="OEF39" s="822"/>
      <c r="OEG39" s="822"/>
      <c r="OEH39" s="822"/>
      <c r="OEI39" s="822"/>
      <c r="OEJ39" s="822"/>
      <c r="OEK39" s="822"/>
      <c r="OEL39" s="822"/>
      <c r="OEM39" s="822"/>
      <c r="OEN39" s="822"/>
      <c r="OEO39" s="822"/>
      <c r="OEP39" s="822"/>
      <c r="OEQ39" s="822"/>
      <c r="OER39" s="822"/>
      <c r="OES39" s="822"/>
      <c r="OET39" s="822"/>
      <c r="OEU39" s="822"/>
      <c r="OEV39" s="822"/>
      <c r="OEW39" s="822"/>
      <c r="OEX39" s="822"/>
      <c r="OEY39" s="822"/>
      <c r="OEZ39" s="822"/>
      <c r="OFA39" s="822"/>
      <c r="OFB39" s="822"/>
      <c r="OFC39" s="822"/>
      <c r="OFD39" s="822"/>
      <c r="OFE39" s="822"/>
      <c r="OFF39" s="822"/>
      <c r="OFG39" s="822"/>
      <c r="OFH39" s="822"/>
      <c r="OFI39" s="822"/>
      <c r="OFJ39" s="822"/>
      <c r="OFK39" s="822"/>
      <c r="OFL39" s="822"/>
      <c r="OFM39" s="822"/>
      <c r="OFN39" s="822"/>
      <c r="OFO39" s="822"/>
      <c r="OFP39" s="822"/>
      <c r="OFQ39" s="822"/>
      <c r="OFR39" s="822"/>
      <c r="OFS39" s="822"/>
      <c r="OFT39" s="822"/>
      <c r="OFU39" s="822"/>
      <c r="OFV39" s="822"/>
      <c r="OFW39" s="822"/>
      <c r="OFX39" s="822"/>
      <c r="OFY39" s="822"/>
      <c r="OFZ39" s="822"/>
      <c r="OGA39" s="822"/>
      <c r="OGB39" s="822"/>
      <c r="OGC39" s="822"/>
      <c r="OGD39" s="822"/>
      <c r="OGE39" s="822"/>
      <c r="OGF39" s="822"/>
      <c r="OGG39" s="822"/>
      <c r="OGH39" s="822"/>
      <c r="OGI39" s="822"/>
      <c r="OGJ39" s="822"/>
      <c r="OGK39" s="822"/>
      <c r="OGL39" s="822"/>
      <c r="OGM39" s="822"/>
      <c r="OGN39" s="822"/>
      <c r="OGO39" s="822"/>
      <c r="OGP39" s="822"/>
      <c r="OGQ39" s="822"/>
      <c r="OGR39" s="822"/>
      <c r="OGS39" s="822"/>
      <c r="OGT39" s="822"/>
      <c r="OGU39" s="822"/>
      <c r="OGV39" s="822"/>
      <c r="OGW39" s="822"/>
      <c r="OGX39" s="822"/>
      <c r="OGY39" s="822"/>
      <c r="OGZ39" s="822"/>
      <c r="OHA39" s="822"/>
      <c r="OHB39" s="822"/>
      <c r="OHC39" s="822"/>
      <c r="OHD39" s="822"/>
      <c r="OHE39" s="822"/>
      <c r="OHF39" s="822"/>
      <c r="OHG39" s="822"/>
      <c r="OHH39" s="822"/>
      <c r="OHI39" s="822"/>
      <c r="OHJ39" s="822"/>
      <c r="OHK39" s="822"/>
      <c r="OHL39" s="822"/>
      <c r="OHM39" s="822"/>
      <c r="OHN39" s="822"/>
      <c r="OHO39" s="822"/>
      <c r="OHP39" s="822"/>
      <c r="OHQ39" s="822"/>
      <c r="OHR39" s="822"/>
      <c r="OHS39" s="822"/>
      <c r="OHT39" s="822"/>
      <c r="OHU39" s="822"/>
      <c r="OHV39" s="822"/>
      <c r="OHW39" s="822"/>
      <c r="OHX39" s="822"/>
      <c r="OHY39" s="822"/>
      <c r="OHZ39" s="822"/>
      <c r="OIA39" s="822"/>
      <c r="OIB39" s="822"/>
      <c r="OIC39" s="822"/>
      <c r="OID39" s="822"/>
      <c r="OIE39" s="822"/>
      <c r="OIF39" s="822"/>
      <c r="OIG39" s="822"/>
      <c r="OIH39" s="822"/>
      <c r="OII39" s="822"/>
      <c r="OIJ39" s="822"/>
      <c r="OIK39" s="822"/>
      <c r="OIL39" s="822"/>
      <c r="OIM39" s="822"/>
      <c r="OIN39" s="822"/>
      <c r="OIO39" s="822"/>
      <c r="OIP39" s="822"/>
      <c r="OIQ39" s="822"/>
      <c r="OIR39" s="822"/>
      <c r="OIS39" s="822"/>
      <c r="OIT39" s="822"/>
      <c r="OIU39" s="822"/>
      <c r="OIV39" s="822"/>
      <c r="OIW39" s="822"/>
      <c r="OIX39" s="822"/>
      <c r="OIY39" s="822"/>
      <c r="OIZ39" s="822"/>
      <c r="OJA39" s="822"/>
      <c r="OJB39" s="822"/>
      <c r="OJC39" s="822"/>
      <c r="OJD39" s="822"/>
      <c r="OJE39" s="822"/>
      <c r="OJF39" s="822"/>
      <c r="OJG39" s="822"/>
      <c r="OJH39" s="822"/>
      <c r="OJI39" s="822"/>
      <c r="OJJ39" s="822"/>
      <c r="OJK39" s="822"/>
      <c r="OJL39" s="822"/>
      <c r="OJM39" s="822"/>
      <c r="OJN39" s="822"/>
      <c r="OJO39" s="822"/>
      <c r="OJP39" s="822"/>
      <c r="OJQ39" s="822"/>
      <c r="OJR39" s="822"/>
      <c r="OJS39" s="822"/>
      <c r="OJT39" s="822"/>
      <c r="OJU39" s="822"/>
      <c r="OJV39" s="822"/>
      <c r="OJW39" s="822"/>
      <c r="OJX39" s="822"/>
      <c r="OJY39" s="822"/>
      <c r="OJZ39" s="822"/>
      <c r="OKA39" s="822"/>
      <c r="OKB39" s="822"/>
      <c r="OKC39" s="822"/>
      <c r="OKD39" s="822"/>
      <c r="OKE39" s="822"/>
      <c r="OKF39" s="822"/>
      <c r="OKG39" s="822"/>
      <c r="OKH39" s="822"/>
      <c r="OKI39" s="822"/>
      <c r="OKJ39" s="822"/>
      <c r="OKK39" s="822"/>
      <c r="OKL39" s="822"/>
      <c r="OKM39" s="822"/>
      <c r="OKN39" s="822"/>
      <c r="OKO39" s="822"/>
      <c r="OKP39" s="822"/>
      <c r="OKQ39" s="822"/>
      <c r="OKR39" s="822"/>
      <c r="OKS39" s="822"/>
      <c r="OKT39" s="822"/>
      <c r="OKU39" s="822"/>
      <c r="OKV39" s="822"/>
      <c r="OKW39" s="822"/>
      <c r="OKX39" s="822"/>
      <c r="OKY39" s="822"/>
      <c r="OKZ39" s="822"/>
      <c r="OLA39" s="822"/>
      <c r="OLB39" s="822"/>
      <c r="OLC39" s="822"/>
      <c r="OLD39" s="822"/>
      <c r="OLE39" s="822"/>
      <c r="OLF39" s="822"/>
      <c r="OLG39" s="822"/>
      <c r="OLH39" s="822"/>
      <c r="OLI39" s="822"/>
      <c r="OLJ39" s="822"/>
      <c r="OLK39" s="822"/>
      <c r="OLL39" s="822"/>
      <c r="OLM39" s="822"/>
      <c r="OLN39" s="822"/>
      <c r="OLO39" s="822"/>
      <c r="OLP39" s="822"/>
      <c r="OLQ39" s="822"/>
      <c r="OLR39" s="822"/>
      <c r="OLS39" s="822"/>
      <c r="OLT39" s="822"/>
      <c r="OLU39" s="822"/>
      <c r="OLV39" s="822"/>
      <c r="OLW39" s="822"/>
      <c r="OLX39" s="822"/>
      <c r="OLY39" s="822"/>
      <c r="OLZ39" s="822"/>
      <c r="OMA39" s="822"/>
      <c r="OMB39" s="822"/>
      <c r="OMC39" s="822"/>
      <c r="OMD39" s="822"/>
      <c r="OME39" s="822"/>
      <c r="OMF39" s="822"/>
      <c r="OMG39" s="822"/>
      <c r="OMH39" s="822"/>
      <c r="OMI39" s="822"/>
      <c r="OMJ39" s="822"/>
      <c r="OMK39" s="822"/>
      <c r="OML39" s="822"/>
      <c r="OMM39" s="822"/>
      <c r="OMN39" s="822"/>
      <c r="OMO39" s="822"/>
      <c r="OMP39" s="822"/>
      <c r="OMQ39" s="822"/>
      <c r="OMR39" s="822"/>
      <c r="OMS39" s="822"/>
      <c r="OMT39" s="822"/>
      <c r="OMU39" s="822"/>
      <c r="OMV39" s="822"/>
      <c r="OMW39" s="822"/>
      <c r="OMX39" s="822"/>
      <c r="OMY39" s="822"/>
      <c r="OMZ39" s="822"/>
      <c r="ONA39" s="822"/>
      <c r="ONB39" s="822"/>
      <c r="ONC39" s="822"/>
      <c r="OND39" s="822"/>
      <c r="ONE39" s="822"/>
      <c r="ONF39" s="822"/>
      <c r="ONG39" s="822"/>
      <c r="ONH39" s="822"/>
      <c r="ONI39" s="822"/>
      <c r="ONJ39" s="822"/>
      <c r="ONK39" s="822"/>
      <c r="ONL39" s="822"/>
      <c r="ONM39" s="822"/>
      <c r="ONN39" s="822"/>
      <c r="ONO39" s="822"/>
      <c r="ONP39" s="822"/>
      <c r="ONQ39" s="822"/>
      <c r="ONR39" s="822"/>
      <c r="ONS39" s="822"/>
      <c r="ONT39" s="822"/>
      <c r="ONU39" s="822"/>
      <c r="ONV39" s="822"/>
      <c r="ONW39" s="822"/>
      <c r="ONX39" s="822"/>
      <c r="ONY39" s="822"/>
      <c r="ONZ39" s="822"/>
      <c r="OOA39" s="822"/>
      <c r="OOB39" s="822"/>
      <c r="OOC39" s="822"/>
      <c r="OOD39" s="822"/>
      <c r="OOE39" s="822"/>
      <c r="OOF39" s="822"/>
      <c r="OOG39" s="822"/>
      <c r="OOH39" s="822"/>
      <c r="OOI39" s="822"/>
      <c r="OOJ39" s="822"/>
      <c r="OOK39" s="822"/>
      <c r="OOL39" s="822"/>
      <c r="OOM39" s="822"/>
      <c r="OON39" s="822"/>
      <c r="OOO39" s="822"/>
      <c r="OOP39" s="822"/>
      <c r="OOQ39" s="822"/>
      <c r="OOR39" s="822"/>
      <c r="OOS39" s="822"/>
      <c r="OOT39" s="822"/>
      <c r="OOU39" s="822"/>
      <c r="OOV39" s="822"/>
      <c r="OOW39" s="822"/>
      <c r="OOX39" s="822"/>
      <c r="OOY39" s="822"/>
      <c r="OOZ39" s="822"/>
      <c r="OPA39" s="822"/>
      <c r="OPB39" s="822"/>
      <c r="OPC39" s="822"/>
      <c r="OPD39" s="822"/>
      <c r="OPE39" s="822"/>
      <c r="OPF39" s="822"/>
      <c r="OPG39" s="822"/>
      <c r="OPH39" s="822"/>
      <c r="OPI39" s="822"/>
      <c r="OPJ39" s="822"/>
      <c r="OPK39" s="822"/>
      <c r="OPL39" s="822"/>
      <c r="OPM39" s="822"/>
      <c r="OPN39" s="822"/>
      <c r="OPO39" s="822"/>
      <c r="OPP39" s="822"/>
      <c r="OPQ39" s="822"/>
      <c r="OPR39" s="822"/>
      <c r="OPS39" s="822"/>
      <c r="OPT39" s="822"/>
      <c r="OPU39" s="822"/>
      <c r="OPV39" s="822"/>
      <c r="OPW39" s="822"/>
      <c r="OPX39" s="822"/>
      <c r="OPY39" s="822"/>
      <c r="OPZ39" s="822"/>
      <c r="OQA39" s="822"/>
      <c r="OQB39" s="822"/>
      <c r="OQC39" s="822"/>
      <c r="OQD39" s="822"/>
      <c r="OQE39" s="822"/>
      <c r="OQF39" s="822"/>
      <c r="OQG39" s="822"/>
      <c r="OQH39" s="822"/>
      <c r="OQI39" s="822"/>
      <c r="OQJ39" s="822"/>
      <c r="OQK39" s="822"/>
      <c r="OQL39" s="822"/>
      <c r="OQM39" s="822"/>
      <c r="OQN39" s="822"/>
      <c r="OQO39" s="822"/>
      <c r="OQP39" s="822"/>
      <c r="OQQ39" s="822"/>
      <c r="OQR39" s="822"/>
      <c r="OQS39" s="822"/>
      <c r="OQT39" s="822"/>
      <c r="OQU39" s="822"/>
      <c r="OQV39" s="822"/>
      <c r="OQW39" s="822"/>
      <c r="OQX39" s="822"/>
      <c r="OQY39" s="822"/>
      <c r="OQZ39" s="822"/>
      <c r="ORA39" s="822"/>
      <c r="ORB39" s="822"/>
      <c r="ORC39" s="822"/>
      <c r="ORD39" s="822"/>
      <c r="ORE39" s="822"/>
      <c r="ORF39" s="822"/>
      <c r="ORG39" s="822"/>
      <c r="ORH39" s="822"/>
      <c r="ORI39" s="822"/>
      <c r="ORJ39" s="822"/>
      <c r="ORK39" s="822"/>
      <c r="ORL39" s="822"/>
      <c r="ORM39" s="822"/>
      <c r="ORN39" s="822"/>
      <c r="ORO39" s="822"/>
      <c r="ORP39" s="822"/>
      <c r="ORQ39" s="822"/>
      <c r="ORR39" s="822"/>
      <c r="ORS39" s="822"/>
      <c r="ORT39" s="822"/>
      <c r="ORU39" s="822"/>
      <c r="ORV39" s="822"/>
      <c r="ORW39" s="822"/>
      <c r="ORX39" s="822"/>
      <c r="ORY39" s="822"/>
      <c r="ORZ39" s="822"/>
      <c r="OSA39" s="822"/>
      <c r="OSB39" s="822"/>
      <c r="OSC39" s="822"/>
      <c r="OSD39" s="822"/>
      <c r="OSE39" s="822"/>
      <c r="OSF39" s="822"/>
      <c r="OSG39" s="822"/>
      <c r="OSH39" s="822"/>
      <c r="OSI39" s="822"/>
      <c r="OSJ39" s="822"/>
      <c r="OSK39" s="822"/>
      <c r="OSL39" s="822"/>
      <c r="OSM39" s="822"/>
      <c r="OSN39" s="822"/>
      <c r="OSO39" s="822"/>
      <c r="OSP39" s="822"/>
      <c r="OSQ39" s="822"/>
      <c r="OSR39" s="822"/>
      <c r="OSS39" s="822"/>
      <c r="OST39" s="822"/>
      <c r="OSU39" s="822"/>
      <c r="OSV39" s="822"/>
      <c r="OSW39" s="822"/>
      <c r="OSX39" s="822"/>
      <c r="OSY39" s="822"/>
      <c r="OSZ39" s="822"/>
      <c r="OTA39" s="822"/>
      <c r="OTB39" s="822"/>
      <c r="OTC39" s="822"/>
      <c r="OTD39" s="822"/>
      <c r="OTE39" s="822"/>
      <c r="OTF39" s="822"/>
      <c r="OTG39" s="822"/>
      <c r="OTH39" s="822"/>
      <c r="OTI39" s="822"/>
      <c r="OTJ39" s="822"/>
      <c r="OTK39" s="822"/>
      <c r="OTL39" s="822"/>
      <c r="OTM39" s="822"/>
      <c r="OTN39" s="822"/>
      <c r="OTO39" s="822"/>
      <c r="OTP39" s="822"/>
      <c r="OTQ39" s="822"/>
      <c r="OTR39" s="822"/>
      <c r="OTS39" s="822"/>
      <c r="OTT39" s="822"/>
      <c r="OTU39" s="822"/>
      <c r="OTV39" s="822"/>
      <c r="OTW39" s="822"/>
      <c r="OTX39" s="822"/>
      <c r="OTY39" s="822"/>
      <c r="OTZ39" s="822"/>
      <c r="OUA39" s="822"/>
      <c r="OUB39" s="822"/>
      <c r="OUC39" s="822"/>
      <c r="OUD39" s="822"/>
      <c r="OUE39" s="822"/>
      <c r="OUF39" s="822"/>
      <c r="OUG39" s="822"/>
      <c r="OUH39" s="822"/>
      <c r="OUI39" s="822"/>
      <c r="OUJ39" s="822"/>
      <c r="OUK39" s="822"/>
      <c r="OUL39" s="822"/>
      <c r="OUM39" s="822"/>
      <c r="OUN39" s="822"/>
      <c r="OUO39" s="822"/>
      <c r="OUP39" s="822"/>
      <c r="OUQ39" s="822"/>
      <c r="OUR39" s="822"/>
      <c r="OUS39" s="822"/>
      <c r="OUT39" s="822"/>
      <c r="OUU39" s="822"/>
      <c r="OUV39" s="822"/>
      <c r="OUW39" s="822"/>
      <c r="OUX39" s="822"/>
      <c r="OUY39" s="822"/>
      <c r="OUZ39" s="822"/>
      <c r="OVA39" s="822"/>
      <c r="OVB39" s="822"/>
      <c r="OVC39" s="822"/>
      <c r="OVD39" s="822"/>
      <c r="OVE39" s="822"/>
      <c r="OVF39" s="822"/>
      <c r="OVG39" s="822"/>
      <c r="OVH39" s="822"/>
      <c r="OVI39" s="822"/>
      <c r="OVJ39" s="822"/>
      <c r="OVK39" s="822"/>
      <c r="OVL39" s="822"/>
      <c r="OVM39" s="822"/>
      <c r="OVN39" s="822"/>
      <c r="OVO39" s="822"/>
      <c r="OVP39" s="822"/>
      <c r="OVQ39" s="822"/>
      <c r="OVR39" s="822"/>
      <c r="OVS39" s="822"/>
      <c r="OVT39" s="822"/>
      <c r="OVU39" s="822"/>
      <c r="OVV39" s="822"/>
      <c r="OVW39" s="822"/>
      <c r="OVX39" s="822"/>
      <c r="OVY39" s="822"/>
      <c r="OVZ39" s="822"/>
      <c r="OWA39" s="822"/>
      <c r="OWB39" s="822"/>
      <c r="OWC39" s="822"/>
      <c r="OWD39" s="822"/>
      <c r="OWE39" s="822"/>
      <c r="OWF39" s="822"/>
      <c r="OWG39" s="822"/>
      <c r="OWH39" s="822"/>
      <c r="OWI39" s="822"/>
      <c r="OWJ39" s="822"/>
      <c r="OWK39" s="822"/>
      <c r="OWL39" s="822"/>
      <c r="OWM39" s="822"/>
      <c r="OWN39" s="822"/>
      <c r="OWO39" s="822"/>
      <c r="OWP39" s="822"/>
      <c r="OWQ39" s="822"/>
      <c r="OWR39" s="822"/>
      <c r="OWS39" s="822"/>
      <c r="OWT39" s="822"/>
      <c r="OWU39" s="822"/>
      <c r="OWV39" s="822"/>
      <c r="OWW39" s="822"/>
      <c r="OWX39" s="822"/>
      <c r="OWY39" s="822"/>
      <c r="OWZ39" s="822"/>
      <c r="OXA39" s="822"/>
      <c r="OXB39" s="822"/>
      <c r="OXC39" s="822"/>
      <c r="OXD39" s="822"/>
      <c r="OXE39" s="822"/>
      <c r="OXF39" s="822"/>
      <c r="OXG39" s="822"/>
      <c r="OXH39" s="822"/>
      <c r="OXI39" s="822"/>
      <c r="OXJ39" s="822"/>
      <c r="OXK39" s="822"/>
      <c r="OXL39" s="822"/>
      <c r="OXM39" s="822"/>
      <c r="OXN39" s="822"/>
      <c r="OXO39" s="822"/>
      <c r="OXP39" s="822"/>
      <c r="OXQ39" s="822"/>
      <c r="OXR39" s="822"/>
      <c r="OXS39" s="822"/>
      <c r="OXT39" s="822"/>
      <c r="OXU39" s="822"/>
      <c r="OXV39" s="822"/>
      <c r="OXW39" s="822"/>
      <c r="OXX39" s="822"/>
      <c r="OXY39" s="822"/>
      <c r="OXZ39" s="822"/>
      <c r="OYA39" s="822"/>
      <c r="OYB39" s="822"/>
      <c r="OYC39" s="822"/>
      <c r="OYD39" s="822"/>
      <c r="OYE39" s="822"/>
      <c r="OYF39" s="822"/>
      <c r="OYG39" s="822"/>
      <c r="OYH39" s="822"/>
      <c r="OYI39" s="822"/>
      <c r="OYJ39" s="822"/>
      <c r="OYK39" s="822"/>
      <c r="OYL39" s="822"/>
      <c r="OYM39" s="822"/>
      <c r="OYN39" s="822"/>
      <c r="OYO39" s="822"/>
      <c r="OYP39" s="822"/>
      <c r="OYQ39" s="822"/>
      <c r="OYR39" s="822"/>
      <c r="OYS39" s="822"/>
      <c r="OYT39" s="822"/>
      <c r="OYU39" s="822"/>
      <c r="OYV39" s="822"/>
      <c r="OYW39" s="822"/>
      <c r="OYX39" s="822"/>
      <c r="OYY39" s="822"/>
      <c r="OYZ39" s="822"/>
      <c r="OZA39" s="822"/>
      <c r="OZB39" s="822"/>
      <c r="OZC39" s="822"/>
      <c r="OZD39" s="822"/>
      <c r="OZE39" s="822"/>
      <c r="OZF39" s="822"/>
      <c r="OZG39" s="822"/>
      <c r="OZH39" s="822"/>
      <c r="OZI39" s="822"/>
      <c r="OZJ39" s="822"/>
      <c r="OZK39" s="822"/>
      <c r="OZL39" s="822"/>
      <c r="OZM39" s="822"/>
      <c r="OZN39" s="822"/>
      <c r="OZO39" s="822"/>
      <c r="OZP39" s="822"/>
      <c r="OZQ39" s="822"/>
      <c r="OZR39" s="822"/>
      <c r="OZS39" s="822"/>
      <c r="OZT39" s="822"/>
      <c r="OZU39" s="822"/>
      <c r="OZV39" s="822"/>
      <c r="OZW39" s="822"/>
      <c r="OZX39" s="822"/>
      <c r="OZY39" s="822"/>
      <c r="OZZ39" s="822"/>
      <c r="PAA39" s="822"/>
      <c r="PAB39" s="822"/>
      <c r="PAC39" s="822"/>
      <c r="PAD39" s="822"/>
      <c r="PAE39" s="822"/>
      <c r="PAF39" s="822"/>
      <c r="PAG39" s="822"/>
      <c r="PAH39" s="822"/>
      <c r="PAI39" s="822"/>
      <c r="PAJ39" s="822"/>
      <c r="PAK39" s="822"/>
      <c r="PAL39" s="822"/>
      <c r="PAM39" s="822"/>
      <c r="PAN39" s="822"/>
      <c r="PAO39" s="822"/>
      <c r="PAP39" s="822"/>
      <c r="PAQ39" s="822"/>
      <c r="PAR39" s="822"/>
      <c r="PAS39" s="822"/>
      <c r="PAT39" s="822"/>
      <c r="PAU39" s="822"/>
      <c r="PAV39" s="822"/>
      <c r="PAW39" s="822"/>
      <c r="PAX39" s="822"/>
      <c r="PAY39" s="822"/>
      <c r="PAZ39" s="822"/>
      <c r="PBA39" s="822"/>
      <c r="PBB39" s="822"/>
      <c r="PBC39" s="822"/>
      <c r="PBD39" s="822"/>
      <c r="PBE39" s="822"/>
      <c r="PBF39" s="822"/>
      <c r="PBG39" s="822"/>
      <c r="PBH39" s="822"/>
      <c r="PBI39" s="822"/>
      <c r="PBJ39" s="822"/>
      <c r="PBK39" s="822"/>
      <c r="PBL39" s="822"/>
      <c r="PBM39" s="822"/>
      <c r="PBN39" s="822"/>
      <c r="PBO39" s="822"/>
      <c r="PBP39" s="822"/>
      <c r="PBQ39" s="822"/>
      <c r="PBR39" s="822"/>
      <c r="PBS39" s="822"/>
      <c r="PBT39" s="822"/>
      <c r="PBU39" s="822"/>
      <c r="PBV39" s="822"/>
      <c r="PBW39" s="822"/>
      <c r="PBX39" s="822"/>
      <c r="PBY39" s="822"/>
      <c r="PBZ39" s="822"/>
      <c r="PCA39" s="822"/>
      <c r="PCB39" s="822"/>
      <c r="PCC39" s="822"/>
      <c r="PCD39" s="822"/>
      <c r="PCE39" s="822"/>
      <c r="PCF39" s="822"/>
      <c r="PCG39" s="822"/>
      <c r="PCH39" s="822"/>
      <c r="PCI39" s="822"/>
      <c r="PCJ39" s="822"/>
      <c r="PCK39" s="822"/>
      <c r="PCL39" s="822"/>
      <c r="PCM39" s="822"/>
      <c r="PCN39" s="822"/>
      <c r="PCO39" s="822"/>
      <c r="PCP39" s="822"/>
      <c r="PCQ39" s="822"/>
      <c r="PCR39" s="822"/>
      <c r="PCS39" s="822"/>
      <c r="PCT39" s="822"/>
      <c r="PCU39" s="822"/>
      <c r="PCV39" s="822"/>
      <c r="PCW39" s="822"/>
      <c r="PCX39" s="822"/>
      <c r="PCY39" s="822"/>
      <c r="PCZ39" s="822"/>
      <c r="PDA39" s="822"/>
      <c r="PDB39" s="822"/>
      <c r="PDC39" s="822"/>
      <c r="PDD39" s="822"/>
      <c r="PDE39" s="822"/>
      <c r="PDF39" s="822"/>
      <c r="PDG39" s="822"/>
      <c r="PDH39" s="822"/>
      <c r="PDI39" s="822"/>
      <c r="PDJ39" s="822"/>
      <c r="PDK39" s="822"/>
      <c r="PDL39" s="822"/>
      <c r="PDM39" s="822"/>
      <c r="PDN39" s="822"/>
      <c r="PDO39" s="822"/>
      <c r="PDP39" s="822"/>
      <c r="PDQ39" s="822"/>
      <c r="PDR39" s="822"/>
      <c r="PDS39" s="822"/>
      <c r="PDT39" s="822"/>
      <c r="PDU39" s="822"/>
      <c r="PDV39" s="822"/>
      <c r="PDW39" s="822"/>
      <c r="PDX39" s="822"/>
      <c r="PDY39" s="822"/>
      <c r="PDZ39" s="822"/>
      <c r="PEA39" s="822"/>
      <c r="PEB39" s="822"/>
      <c r="PEC39" s="822"/>
      <c r="PED39" s="822"/>
      <c r="PEE39" s="822"/>
      <c r="PEF39" s="822"/>
      <c r="PEG39" s="822"/>
      <c r="PEH39" s="822"/>
      <c r="PEI39" s="822"/>
      <c r="PEJ39" s="822"/>
      <c r="PEK39" s="822"/>
      <c r="PEL39" s="822"/>
      <c r="PEM39" s="822"/>
      <c r="PEN39" s="822"/>
      <c r="PEO39" s="822"/>
      <c r="PEP39" s="822"/>
      <c r="PEQ39" s="822"/>
      <c r="PER39" s="822"/>
      <c r="PES39" s="822"/>
      <c r="PET39" s="822"/>
      <c r="PEU39" s="822"/>
      <c r="PEV39" s="822"/>
      <c r="PEW39" s="822"/>
      <c r="PEX39" s="822"/>
      <c r="PEY39" s="822"/>
      <c r="PEZ39" s="822"/>
      <c r="PFA39" s="822"/>
      <c r="PFB39" s="822"/>
      <c r="PFC39" s="822"/>
      <c r="PFD39" s="822"/>
      <c r="PFE39" s="822"/>
      <c r="PFF39" s="822"/>
      <c r="PFG39" s="822"/>
      <c r="PFH39" s="822"/>
      <c r="PFI39" s="822"/>
      <c r="PFJ39" s="822"/>
      <c r="PFK39" s="822"/>
      <c r="PFL39" s="822"/>
      <c r="PFM39" s="822"/>
      <c r="PFN39" s="822"/>
      <c r="PFO39" s="822"/>
      <c r="PFP39" s="822"/>
      <c r="PFQ39" s="822"/>
      <c r="PFR39" s="822"/>
      <c r="PFS39" s="822"/>
      <c r="PFT39" s="822"/>
      <c r="PFU39" s="822"/>
      <c r="PFV39" s="822"/>
      <c r="PFW39" s="822"/>
      <c r="PFX39" s="822"/>
      <c r="PFY39" s="822"/>
      <c r="PFZ39" s="822"/>
      <c r="PGA39" s="822"/>
      <c r="PGB39" s="822"/>
      <c r="PGC39" s="822"/>
      <c r="PGD39" s="822"/>
      <c r="PGE39" s="822"/>
      <c r="PGF39" s="822"/>
      <c r="PGG39" s="822"/>
      <c r="PGH39" s="822"/>
      <c r="PGI39" s="822"/>
      <c r="PGJ39" s="822"/>
      <c r="PGK39" s="822"/>
      <c r="PGL39" s="822"/>
      <c r="PGM39" s="822"/>
      <c r="PGN39" s="822"/>
      <c r="PGO39" s="822"/>
      <c r="PGP39" s="822"/>
      <c r="PGQ39" s="822"/>
      <c r="PGR39" s="822"/>
      <c r="PGS39" s="822"/>
      <c r="PGT39" s="822"/>
      <c r="PGU39" s="822"/>
      <c r="PGV39" s="822"/>
      <c r="PGW39" s="822"/>
      <c r="PGX39" s="822"/>
      <c r="PGY39" s="822"/>
      <c r="PGZ39" s="822"/>
      <c r="PHA39" s="822"/>
      <c r="PHB39" s="822"/>
      <c r="PHC39" s="822"/>
      <c r="PHD39" s="822"/>
      <c r="PHE39" s="822"/>
      <c r="PHF39" s="822"/>
      <c r="PHG39" s="822"/>
      <c r="PHH39" s="822"/>
      <c r="PHI39" s="822"/>
      <c r="PHJ39" s="822"/>
      <c r="PHK39" s="822"/>
      <c r="PHL39" s="822"/>
      <c r="PHM39" s="822"/>
      <c r="PHN39" s="822"/>
      <c r="PHO39" s="822"/>
      <c r="PHP39" s="822"/>
      <c r="PHQ39" s="822"/>
      <c r="PHR39" s="822"/>
      <c r="PHS39" s="822"/>
      <c r="PHT39" s="822"/>
      <c r="PHU39" s="822"/>
      <c r="PHV39" s="822"/>
      <c r="PHW39" s="822"/>
      <c r="PHX39" s="822"/>
      <c r="PHY39" s="822"/>
      <c r="PHZ39" s="822"/>
      <c r="PIA39" s="822"/>
      <c r="PIB39" s="822"/>
      <c r="PIC39" s="822"/>
      <c r="PID39" s="822"/>
      <c r="PIE39" s="822"/>
      <c r="PIF39" s="822"/>
      <c r="PIG39" s="822"/>
      <c r="PIH39" s="822"/>
      <c r="PII39" s="822"/>
      <c r="PIJ39" s="822"/>
      <c r="PIK39" s="822"/>
      <c r="PIL39" s="822"/>
      <c r="PIM39" s="822"/>
      <c r="PIN39" s="822"/>
      <c r="PIO39" s="822"/>
      <c r="PIP39" s="822"/>
      <c r="PIQ39" s="822"/>
      <c r="PIR39" s="822"/>
      <c r="PIS39" s="822"/>
      <c r="PIT39" s="822"/>
      <c r="PIU39" s="822"/>
      <c r="PIV39" s="822"/>
      <c r="PIW39" s="822"/>
      <c r="PIX39" s="822"/>
      <c r="PIY39" s="822"/>
      <c r="PIZ39" s="822"/>
      <c r="PJA39" s="822"/>
      <c r="PJB39" s="822"/>
      <c r="PJC39" s="822"/>
      <c r="PJD39" s="822"/>
      <c r="PJE39" s="822"/>
      <c r="PJF39" s="822"/>
      <c r="PJG39" s="822"/>
      <c r="PJH39" s="822"/>
      <c r="PJI39" s="822"/>
      <c r="PJJ39" s="822"/>
      <c r="PJK39" s="822"/>
      <c r="PJL39" s="822"/>
      <c r="PJM39" s="822"/>
      <c r="PJN39" s="822"/>
      <c r="PJO39" s="822"/>
      <c r="PJP39" s="822"/>
      <c r="PJQ39" s="822"/>
      <c r="PJR39" s="822"/>
      <c r="PJS39" s="822"/>
      <c r="PJT39" s="822"/>
      <c r="PJU39" s="822"/>
      <c r="PJV39" s="822"/>
      <c r="PJW39" s="822"/>
      <c r="PJX39" s="822"/>
      <c r="PJY39" s="822"/>
      <c r="PJZ39" s="822"/>
      <c r="PKA39" s="822"/>
      <c r="PKB39" s="822"/>
      <c r="PKC39" s="822"/>
      <c r="PKD39" s="822"/>
      <c r="PKE39" s="822"/>
      <c r="PKF39" s="822"/>
      <c r="PKG39" s="822"/>
      <c r="PKH39" s="822"/>
      <c r="PKI39" s="822"/>
      <c r="PKJ39" s="822"/>
      <c r="PKK39" s="822"/>
      <c r="PKL39" s="822"/>
      <c r="PKM39" s="822"/>
      <c r="PKN39" s="822"/>
      <c r="PKO39" s="822"/>
      <c r="PKP39" s="822"/>
      <c r="PKQ39" s="822"/>
      <c r="PKR39" s="822"/>
      <c r="PKS39" s="822"/>
      <c r="PKT39" s="822"/>
      <c r="PKU39" s="822"/>
      <c r="PKV39" s="822"/>
      <c r="PKW39" s="822"/>
      <c r="PKX39" s="822"/>
      <c r="PKY39" s="822"/>
      <c r="PKZ39" s="822"/>
      <c r="PLA39" s="822"/>
      <c r="PLB39" s="822"/>
      <c r="PLC39" s="822"/>
      <c r="PLD39" s="822"/>
      <c r="PLE39" s="822"/>
      <c r="PLF39" s="822"/>
      <c r="PLG39" s="822"/>
      <c r="PLH39" s="822"/>
      <c r="PLI39" s="822"/>
      <c r="PLJ39" s="822"/>
      <c r="PLK39" s="822"/>
      <c r="PLL39" s="822"/>
      <c r="PLM39" s="822"/>
      <c r="PLN39" s="822"/>
      <c r="PLO39" s="822"/>
      <c r="PLP39" s="822"/>
      <c r="PLQ39" s="822"/>
      <c r="PLR39" s="822"/>
      <c r="PLS39" s="822"/>
      <c r="PLT39" s="822"/>
      <c r="PLU39" s="822"/>
      <c r="PLV39" s="822"/>
      <c r="PLW39" s="822"/>
      <c r="PLX39" s="822"/>
      <c r="PLY39" s="822"/>
      <c r="PLZ39" s="822"/>
      <c r="PMA39" s="822"/>
      <c r="PMB39" s="822"/>
      <c r="PMC39" s="822"/>
      <c r="PMD39" s="822"/>
      <c r="PME39" s="822"/>
      <c r="PMF39" s="822"/>
      <c r="PMG39" s="822"/>
      <c r="PMH39" s="822"/>
      <c r="PMI39" s="822"/>
      <c r="PMJ39" s="822"/>
      <c r="PMK39" s="822"/>
      <c r="PML39" s="822"/>
      <c r="PMM39" s="822"/>
      <c r="PMN39" s="822"/>
      <c r="PMO39" s="822"/>
      <c r="PMP39" s="822"/>
      <c r="PMQ39" s="822"/>
      <c r="PMR39" s="822"/>
      <c r="PMS39" s="822"/>
      <c r="PMT39" s="822"/>
      <c r="PMU39" s="822"/>
      <c r="PMV39" s="822"/>
      <c r="PMW39" s="822"/>
      <c r="PMX39" s="822"/>
      <c r="PMY39" s="822"/>
      <c r="PMZ39" s="822"/>
      <c r="PNA39" s="822"/>
      <c r="PNB39" s="822"/>
      <c r="PNC39" s="822"/>
      <c r="PND39" s="822"/>
      <c r="PNE39" s="822"/>
      <c r="PNF39" s="822"/>
      <c r="PNG39" s="822"/>
      <c r="PNH39" s="822"/>
      <c r="PNI39" s="822"/>
      <c r="PNJ39" s="822"/>
      <c r="PNK39" s="822"/>
      <c r="PNL39" s="822"/>
      <c r="PNM39" s="822"/>
      <c r="PNN39" s="822"/>
      <c r="PNO39" s="822"/>
      <c r="PNP39" s="822"/>
      <c r="PNQ39" s="822"/>
      <c r="PNR39" s="822"/>
      <c r="PNS39" s="822"/>
      <c r="PNT39" s="822"/>
      <c r="PNU39" s="822"/>
      <c r="PNV39" s="822"/>
      <c r="PNW39" s="822"/>
      <c r="PNX39" s="822"/>
      <c r="PNY39" s="822"/>
      <c r="PNZ39" s="822"/>
      <c r="POA39" s="822"/>
      <c r="POB39" s="822"/>
      <c r="POC39" s="822"/>
      <c r="POD39" s="822"/>
      <c r="POE39" s="822"/>
      <c r="POF39" s="822"/>
      <c r="POG39" s="822"/>
      <c r="POH39" s="822"/>
      <c r="POI39" s="822"/>
      <c r="POJ39" s="822"/>
      <c r="POK39" s="822"/>
      <c r="POL39" s="822"/>
      <c r="POM39" s="822"/>
      <c r="PON39" s="822"/>
      <c r="POO39" s="822"/>
      <c r="POP39" s="822"/>
      <c r="POQ39" s="822"/>
      <c r="POR39" s="822"/>
      <c r="POS39" s="822"/>
      <c r="POT39" s="822"/>
      <c r="POU39" s="822"/>
      <c r="POV39" s="822"/>
      <c r="POW39" s="822"/>
      <c r="POX39" s="822"/>
      <c r="POY39" s="822"/>
      <c r="POZ39" s="822"/>
      <c r="PPA39" s="822"/>
      <c r="PPB39" s="822"/>
      <c r="PPC39" s="822"/>
      <c r="PPD39" s="822"/>
      <c r="PPE39" s="822"/>
      <c r="PPF39" s="822"/>
      <c r="PPG39" s="822"/>
      <c r="PPH39" s="822"/>
      <c r="PPI39" s="822"/>
      <c r="PPJ39" s="822"/>
      <c r="PPK39" s="822"/>
      <c r="PPL39" s="822"/>
      <c r="PPM39" s="822"/>
      <c r="PPN39" s="822"/>
      <c r="PPO39" s="822"/>
      <c r="PPP39" s="822"/>
      <c r="PPQ39" s="822"/>
      <c r="PPR39" s="822"/>
      <c r="PPS39" s="822"/>
      <c r="PPT39" s="822"/>
      <c r="PPU39" s="822"/>
      <c r="PPV39" s="822"/>
      <c r="PPW39" s="822"/>
      <c r="PPX39" s="822"/>
      <c r="PPY39" s="822"/>
      <c r="PPZ39" s="822"/>
      <c r="PQA39" s="822"/>
      <c r="PQB39" s="822"/>
      <c r="PQC39" s="822"/>
      <c r="PQD39" s="822"/>
      <c r="PQE39" s="822"/>
      <c r="PQF39" s="822"/>
      <c r="PQG39" s="822"/>
      <c r="PQH39" s="822"/>
      <c r="PQI39" s="822"/>
      <c r="PQJ39" s="822"/>
      <c r="PQK39" s="822"/>
      <c r="PQL39" s="822"/>
      <c r="PQM39" s="822"/>
      <c r="PQN39" s="822"/>
      <c r="PQO39" s="822"/>
      <c r="PQP39" s="822"/>
      <c r="PQQ39" s="822"/>
      <c r="PQR39" s="822"/>
      <c r="PQS39" s="822"/>
      <c r="PQT39" s="822"/>
      <c r="PQU39" s="822"/>
      <c r="PQV39" s="822"/>
      <c r="PQW39" s="822"/>
      <c r="PQX39" s="822"/>
      <c r="PQY39" s="822"/>
      <c r="PQZ39" s="822"/>
      <c r="PRA39" s="822"/>
      <c r="PRB39" s="822"/>
      <c r="PRC39" s="822"/>
      <c r="PRD39" s="822"/>
      <c r="PRE39" s="822"/>
      <c r="PRF39" s="822"/>
      <c r="PRG39" s="822"/>
      <c r="PRH39" s="822"/>
      <c r="PRI39" s="822"/>
      <c r="PRJ39" s="822"/>
      <c r="PRK39" s="822"/>
      <c r="PRL39" s="822"/>
      <c r="PRM39" s="822"/>
      <c r="PRN39" s="822"/>
      <c r="PRO39" s="822"/>
      <c r="PRP39" s="822"/>
      <c r="PRQ39" s="822"/>
      <c r="PRR39" s="822"/>
      <c r="PRS39" s="822"/>
      <c r="PRT39" s="822"/>
      <c r="PRU39" s="822"/>
      <c r="PRV39" s="822"/>
      <c r="PRW39" s="822"/>
      <c r="PRX39" s="822"/>
      <c r="PRY39" s="822"/>
      <c r="PRZ39" s="822"/>
      <c r="PSA39" s="822"/>
      <c r="PSB39" s="822"/>
      <c r="PSC39" s="822"/>
      <c r="PSD39" s="822"/>
      <c r="PSE39" s="822"/>
      <c r="PSF39" s="822"/>
      <c r="PSG39" s="822"/>
      <c r="PSH39" s="822"/>
      <c r="PSI39" s="822"/>
      <c r="PSJ39" s="822"/>
      <c r="PSK39" s="822"/>
      <c r="PSL39" s="822"/>
      <c r="PSM39" s="822"/>
      <c r="PSN39" s="822"/>
      <c r="PSO39" s="822"/>
      <c r="PSP39" s="822"/>
      <c r="PSQ39" s="822"/>
      <c r="PSR39" s="822"/>
      <c r="PSS39" s="822"/>
      <c r="PST39" s="822"/>
      <c r="PSU39" s="822"/>
      <c r="PSV39" s="822"/>
      <c r="PSW39" s="822"/>
      <c r="PSX39" s="822"/>
      <c r="PSY39" s="822"/>
      <c r="PSZ39" s="822"/>
      <c r="PTA39" s="822"/>
      <c r="PTB39" s="822"/>
      <c r="PTC39" s="822"/>
      <c r="PTD39" s="822"/>
      <c r="PTE39" s="822"/>
      <c r="PTF39" s="822"/>
      <c r="PTG39" s="822"/>
      <c r="PTH39" s="822"/>
      <c r="PTI39" s="822"/>
      <c r="PTJ39" s="822"/>
      <c r="PTK39" s="822"/>
      <c r="PTL39" s="822"/>
      <c r="PTM39" s="822"/>
      <c r="PTN39" s="822"/>
      <c r="PTO39" s="822"/>
      <c r="PTP39" s="822"/>
      <c r="PTQ39" s="822"/>
      <c r="PTR39" s="822"/>
      <c r="PTS39" s="822"/>
      <c r="PTT39" s="822"/>
      <c r="PTU39" s="822"/>
      <c r="PTV39" s="822"/>
      <c r="PTW39" s="822"/>
      <c r="PTX39" s="822"/>
      <c r="PTY39" s="822"/>
      <c r="PTZ39" s="822"/>
      <c r="PUA39" s="822"/>
      <c r="PUB39" s="822"/>
      <c r="PUC39" s="822"/>
      <c r="PUD39" s="822"/>
      <c r="PUE39" s="822"/>
      <c r="PUF39" s="822"/>
      <c r="PUG39" s="822"/>
      <c r="PUH39" s="822"/>
      <c r="PUI39" s="822"/>
      <c r="PUJ39" s="822"/>
      <c r="PUK39" s="822"/>
      <c r="PUL39" s="822"/>
      <c r="PUM39" s="822"/>
      <c r="PUN39" s="822"/>
      <c r="PUO39" s="822"/>
      <c r="PUP39" s="822"/>
      <c r="PUQ39" s="822"/>
      <c r="PUR39" s="822"/>
      <c r="PUS39" s="822"/>
      <c r="PUT39" s="822"/>
      <c r="PUU39" s="822"/>
      <c r="PUV39" s="822"/>
      <c r="PUW39" s="822"/>
      <c r="PUX39" s="822"/>
      <c r="PUY39" s="822"/>
      <c r="PUZ39" s="822"/>
      <c r="PVA39" s="822"/>
      <c r="PVB39" s="822"/>
      <c r="PVC39" s="822"/>
      <c r="PVD39" s="822"/>
      <c r="PVE39" s="822"/>
      <c r="PVF39" s="822"/>
      <c r="PVG39" s="822"/>
      <c r="PVH39" s="822"/>
      <c r="PVI39" s="822"/>
      <c r="PVJ39" s="822"/>
      <c r="PVK39" s="822"/>
      <c r="PVL39" s="822"/>
      <c r="PVM39" s="822"/>
      <c r="PVN39" s="822"/>
      <c r="PVO39" s="822"/>
      <c r="PVP39" s="822"/>
      <c r="PVQ39" s="822"/>
      <c r="PVR39" s="822"/>
      <c r="PVS39" s="822"/>
      <c r="PVT39" s="822"/>
      <c r="PVU39" s="822"/>
      <c r="PVV39" s="822"/>
      <c r="PVW39" s="822"/>
      <c r="PVX39" s="822"/>
      <c r="PVY39" s="822"/>
      <c r="PVZ39" s="822"/>
      <c r="PWA39" s="822"/>
      <c r="PWB39" s="822"/>
      <c r="PWC39" s="822"/>
      <c r="PWD39" s="822"/>
      <c r="PWE39" s="822"/>
      <c r="PWF39" s="822"/>
      <c r="PWG39" s="822"/>
      <c r="PWH39" s="822"/>
      <c r="PWI39" s="822"/>
      <c r="PWJ39" s="822"/>
      <c r="PWK39" s="822"/>
      <c r="PWL39" s="822"/>
      <c r="PWM39" s="822"/>
      <c r="PWN39" s="822"/>
      <c r="PWO39" s="822"/>
      <c r="PWP39" s="822"/>
      <c r="PWQ39" s="822"/>
      <c r="PWR39" s="822"/>
      <c r="PWS39" s="822"/>
      <c r="PWT39" s="822"/>
      <c r="PWU39" s="822"/>
      <c r="PWV39" s="822"/>
      <c r="PWW39" s="822"/>
      <c r="PWX39" s="822"/>
      <c r="PWY39" s="822"/>
      <c r="PWZ39" s="822"/>
      <c r="PXA39" s="822"/>
      <c r="PXB39" s="822"/>
      <c r="PXC39" s="822"/>
      <c r="PXD39" s="822"/>
      <c r="PXE39" s="822"/>
      <c r="PXF39" s="822"/>
      <c r="PXG39" s="822"/>
      <c r="PXH39" s="822"/>
      <c r="PXI39" s="822"/>
      <c r="PXJ39" s="822"/>
      <c r="PXK39" s="822"/>
      <c r="PXL39" s="822"/>
      <c r="PXM39" s="822"/>
      <c r="PXN39" s="822"/>
      <c r="PXO39" s="822"/>
      <c r="PXP39" s="822"/>
      <c r="PXQ39" s="822"/>
      <c r="PXR39" s="822"/>
      <c r="PXS39" s="822"/>
      <c r="PXT39" s="822"/>
      <c r="PXU39" s="822"/>
      <c r="PXV39" s="822"/>
      <c r="PXW39" s="822"/>
      <c r="PXX39" s="822"/>
      <c r="PXY39" s="822"/>
      <c r="PXZ39" s="822"/>
      <c r="PYA39" s="822"/>
      <c r="PYB39" s="822"/>
      <c r="PYC39" s="822"/>
      <c r="PYD39" s="822"/>
      <c r="PYE39" s="822"/>
      <c r="PYF39" s="822"/>
      <c r="PYG39" s="822"/>
      <c r="PYH39" s="822"/>
      <c r="PYI39" s="822"/>
      <c r="PYJ39" s="822"/>
      <c r="PYK39" s="822"/>
      <c r="PYL39" s="822"/>
      <c r="PYM39" s="822"/>
      <c r="PYN39" s="822"/>
      <c r="PYO39" s="822"/>
      <c r="PYP39" s="822"/>
      <c r="PYQ39" s="822"/>
      <c r="PYR39" s="822"/>
      <c r="PYS39" s="822"/>
      <c r="PYT39" s="822"/>
      <c r="PYU39" s="822"/>
      <c r="PYV39" s="822"/>
      <c r="PYW39" s="822"/>
      <c r="PYX39" s="822"/>
      <c r="PYY39" s="822"/>
      <c r="PYZ39" s="822"/>
      <c r="PZA39" s="822"/>
      <c r="PZB39" s="822"/>
      <c r="PZC39" s="822"/>
      <c r="PZD39" s="822"/>
      <c r="PZE39" s="822"/>
      <c r="PZF39" s="822"/>
      <c r="PZG39" s="822"/>
      <c r="PZH39" s="822"/>
      <c r="PZI39" s="822"/>
      <c r="PZJ39" s="822"/>
      <c r="PZK39" s="822"/>
      <c r="PZL39" s="822"/>
      <c r="PZM39" s="822"/>
      <c r="PZN39" s="822"/>
      <c r="PZO39" s="822"/>
      <c r="PZP39" s="822"/>
      <c r="PZQ39" s="822"/>
      <c r="PZR39" s="822"/>
      <c r="PZS39" s="822"/>
      <c r="PZT39" s="822"/>
      <c r="PZU39" s="822"/>
      <c r="PZV39" s="822"/>
      <c r="PZW39" s="822"/>
      <c r="PZX39" s="822"/>
      <c r="PZY39" s="822"/>
      <c r="PZZ39" s="822"/>
      <c r="QAA39" s="822"/>
      <c r="QAB39" s="822"/>
      <c r="QAC39" s="822"/>
      <c r="QAD39" s="822"/>
      <c r="QAE39" s="822"/>
      <c r="QAF39" s="822"/>
      <c r="QAG39" s="822"/>
      <c r="QAH39" s="822"/>
      <c r="QAI39" s="822"/>
      <c r="QAJ39" s="822"/>
      <c r="QAK39" s="822"/>
      <c r="QAL39" s="822"/>
      <c r="QAM39" s="822"/>
      <c r="QAN39" s="822"/>
      <c r="QAO39" s="822"/>
      <c r="QAP39" s="822"/>
      <c r="QAQ39" s="822"/>
      <c r="QAR39" s="822"/>
      <c r="QAS39" s="822"/>
      <c r="QAT39" s="822"/>
      <c r="QAU39" s="822"/>
      <c r="QAV39" s="822"/>
      <c r="QAW39" s="822"/>
      <c r="QAX39" s="822"/>
      <c r="QAY39" s="822"/>
      <c r="QAZ39" s="822"/>
      <c r="QBA39" s="822"/>
      <c r="QBB39" s="822"/>
      <c r="QBC39" s="822"/>
      <c r="QBD39" s="822"/>
      <c r="QBE39" s="822"/>
      <c r="QBF39" s="822"/>
      <c r="QBG39" s="822"/>
      <c r="QBH39" s="822"/>
      <c r="QBI39" s="822"/>
      <c r="QBJ39" s="822"/>
      <c r="QBK39" s="822"/>
      <c r="QBL39" s="822"/>
      <c r="QBM39" s="822"/>
      <c r="QBN39" s="822"/>
      <c r="QBO39" s="822"/>
      <c r="QBP39" s="822"/>
      <c r="QBQ39" s="822"/>
      <c r="QBR39" s="822"/>
      <c r="QBS39" s="822"/>
      <c r="QBT39" s="822"/>
      <c r="QBU39" s="822"/>
      <c r="QBV39" s="822"/>
      <c r="QBW39" s="822"/>
      <c r="QBX39" s="822"/>
      <c r="QBY39" s="822"/>
      <c r="QBZ39" s="822"/>
      <c r="QCA39" s="822"/>
      <c r="QCB39" s="822"/>
      <c r="QCC39" s="822"/>
      <c r="QCD39" s="822"/>
      <c r="QCE39" s="822"/>
      <c r="QCF39" s="822"/>
      <c r="QCG39" s="822"/>
      <c r="QCH39" s="822"/>
      <c r="QCI39" s="822"/>
      <c r="QCJ39" s="822"/>
      <c r="QCK39" s="822"/>
      <c r="QCL39" s="822"/>
      <c r="QCM39" s="822"/>
      <c r="QCN39" s="822"/>
      <c r="QCO39" s="822"/>
      <c r="QCP39" s="822"/>
      <c r="QCQ39" s="822"/>
      <c r="QCR39" s="822"/>
      <c r="QCS39" s="822"/>
      <c r="QCT39" s="822"/>
      <c r="QCU39" s="822"/>
      <c r="QCV39" s="822"/>
      <c r="QCW39" s="822"/>
      <c r="QCX39" s="822"/>
      <c r="QCY39" s="822"/>
      <c r="QCZ39" s="822"/>
      <c r="QDA39" s="822"/>
      <c r="QDB39" s="822"/>
      <c r="QDC39" s="822"/>
      <c r="QDD39" s="822"/>
      <c r="QDE39" s="822"/>
      <c r="QDF39" s="822"/>
      <c r="QDG39" s="822"/>
      <c r="QDH39" s="822"/>
      <c r="QDI39" s="822"/>
      <c r="QDJ39" s="822"/>
      <c r="QDK39" s="822"/>
      <c r="QDL39" s="822"/>
      <c r="QDM39" s="822"/>
      <c r="QDN39" s="822"/>
      <c r="QDO39" s="822"/>
      <c r="QDP39" s="822"/>
      <c r="QDQ39" s="822"/>
      <c r="QDR39" s="822"/>
      <c r="QDS39" s="822"/>
      <c r="QDT39" s="822"/>
      <c r="QDU39" s="822"/>
      <c r="QDV39" s="822"/>
      <c r="QDW39" s="822"/>
      <c r="QDX39" s="822"/>
      <c r="QDY39" s="822"/>
      <c r="QDZ39" s="822"/>
      <c r="QEA39" s="822"/>
      <c r="QEB39" s="822"/>
      <c r="QEC39" s="822"/>
      <c r="QED39" s="822"/>
      <c r="QEE39" s="822"/>
      <c r="QEF39" s="822"/>
      <c r="QEG39" s="822"/>
      <c r="QEH39" s="822"/>
      <c r="QEI39" s="822"/>
      <c r="QEJ39" s="822"/>
      <c r="QEK39" s="822"/>
      <c r="QEL39" s="822"/>
      <c r="QEM39" s="822"/>
      <c r="QEN39" s="822"/>
      <c r="QEO39" s="822"/>
      <c r="QEP39" s="822"/>
      <c r="QEQ39" s="822"/>
      <c r="QER39" s="822"/>
      <c r="QES39" s="822"/>
      <c r="QET39" s="822"/>
      <c r="QEU39" s="822"/>
      <c r="QEV39" s="822"/>
      <c r="QEW39" s="822"/>
      <c r="QEX39" s="822"/>
      <c r="QEY39" s="822"/>
      <c r="QEZ39" s="822"/>
      <c r="QFA39" s="822"/>
      <c r="QFB39" s="822"/>
      <c r="QFC39" s="822"/>
      <c r="QFD39" s="822"/>
      <c r="QFE39" s="822"/>
      <c r="QFF39" s="822"/>
      <c r="QFG39" s="822"/>
      <c r="QFH39" s="822"/>
      <c r="QFI39" s="822"/>
      <c r="QFJ39" s="822"/>
      <c r="QFK39" s="822"/>
      <c r="QFL39" s="822"/>
      <c r="QFM39" s="822"/>
      <c r="QFN39" s="822"/>
      <c r="QFO39" s="822"/>
      <c r="QFP39" s="822"/>
      <c r="QFQ39" s="822"/>
      <c r="QFR39" s="822"/>
      <c r="QFS39" s="822"/>
      <c r="QFT39" s="822"/>
      <c r="QFU39" s="822"/>
      <c r="QFV39" s="822"/>
      <c r="QFW39" s="822"/>
      <c r="QFX39" s="822"/>
      <c r="QFY39" s="822"/>
      <c r="QFZ39" s="822"/>
      <c r="QGA39" s="822"/>
      <c r="QGB39" s="822"/>
      <c r="QGC39" s="822"/>
      <c r="QGD39" s="822"/>
      <c r="QGE39" s="822"/>
      <c r="QGF39" s="822"/>
      <c r="QGG39" s="822"/>
      <c r="QGH39" s="822"/>
      <c r="QGI39" s="822"/>
      <c r="QGJ39" s="822"/>
      <c r="QGK39" s="822"/>
      <c r="QGL39" s="822"/>
      <c r="QGM39" s="822"/>
      <c r="QGN39" s="822"/>
      <c r="QGO39" s="822"/>
      <c r="QGP39" s="822"/>
      <c r="QGQ39" s="822"/>
      <c r="QGR39" s="822"/>
      <c r="QGS39" s="822"/>
      <c r="QGT39" s="822"/>
      <c r="QGU39" s="822"/>
      <c r="QGV39" s="822"/>
      <c r="QGW39" s="822"/>
      <c r="QGX39" s="822"/>
      <c r="QGY39" s="822"/>
      <c r="QGZ39" s="822"/>
      <c r="QHA39" s="822"/>
      <c r="QHB39" s="822"/>
      <c r="QHC39" s="822"/>
      <c r="QHD39" s="822"/>
      <c r="QHE39" s="822"/>
      <c r="QHF39" s="822"/>
      <c r="QHG39" s="822"/>
      <c r="QHH39" s="822"/>
      <c r="QHI39" s="822"/>
      <c r="QHJ39" s="822"/>
      <c r="QHK39" s="822"/>
      <c r="QHL39" s="822"/>
      <c r="QHM39" s="822"/>
      <c r="QHN39" s="822"/>
      <c r="QHO39" s="822"/>
      <c r="QHP39" s="822"/>
      <c r="QHQ39" s="822"/>
      <c r="QHR39" s="822"/>
      <c r="QHS39" s="822"/>
      <c r="QHT39" s="822"/>
      <c r="QHU39" s="822"/>
      <c r="QHV39" s="822"/>
      <c r="QHW39" s="822"/>
      <c r="QHX39" s="822"/>
      <c r="QHY39" s="822"/>
      <c r="QHZ39" s="822"/>
      <c r="QIA39" s="822"/>
      <c r="QIB39" s="822"/>
      <c r="QIC39" s="822"/>
      <c r="QID39" s="822"/>
      <c r="QIE39" s="822"/>
      <c r="QIF39" s="822"/>
      <c r="QIG39" s="822"/>
      <c r="QIH39" s="822"/>
      <c r="QII39" s="822"/>
      <c r="QIJ39" s="822"/>
      <c r="QIK39" s="822"/>
      <c r="QIL39" s="822"/>
      <c r="QIM39" s="822"/>
      <c r="QIN39" s="822"/>
      <c r="QIO39" s="822"/>
      <c r="QIP39" s="822"/>
      <c r="QIQ39" s="822"/>
      <c r="QIR39" s="822"/>
      <c r="QIS39" s="822"/>
      <c r="QIT39" s="822"/>
      <c r="QIU39" s="822"/>
      <c r="QIV39" s="822"/>
      <c r="QIW39" s="822"/>
      <c r="QIX39" s="822"/>
      <c r="QIY39" s="822"/>
      <c r="QIZ39" s="822"/>
      <c r="QJA39" s="822"/>
      <c r="QJB39" s="822"/>
      <c r="QJC39" s="822"/>
      <c r="QJD39" s="822"/>
      <c r="QJE39" s="822"/>
      <c r="QJF39" s="822"/>
      <c r="QJG39" s="822"/>
      <c r="QJH39" s="822"/>
      <c r="QJI39" s="822"/>
      <c r="QJJ39" s="822"/>
      <c r="QJK39" s="822"/>
      <c r="QJL39" s="822"/>
      <c r="QJM39" s="822"/>
      <c r="QJN39" s="822"/>
      <c r="QJO39" s="822"/>
      <c r="QJP39" s="822"/>
      <c r="QJQ39" s="822"/>
      <c r="QJR39" s="822"/>
      <c r="QJS39" s="822"/>
      <c r="QJT39" s="822"/>
      <c r="QJU39" s="822"/>
      <c r="QJV39" s="822"/>
      <c r="QJW39" s="822"/>
      <c r="QJX39" s="822"/>
      <c r="QJY39" s="822"/>
      <c r="QJZ39" s="822"/>
      <c r="QKA39" s="822"/>
      <c r="QKB39" s="822"/>
      <c r="QKC39" s="822"/>
      <c r="QKD39" s="822"/>
      <c r="QKE39" s="822"/>
      <c r="QKF39" s="822"/>
      <c r="QKG39" s="822"/>
      <c r="QKH39" s="822"/>
      <c r="QKI39" s="822"/>
      <c r="QKJ39" s="822"/>
      <c r="QKK39" s="822"/>
      <c r="QKL39" s="822"/>
      <c r="QKM39" s="822"/>
      <c r="QKN39" s="822"/>
      <c r="QKO39" s="822"/>
      <c r="QKP39" s="822"/>
      <c r="QKQ39" s="822"/>
      <c r="QKR39" s="822"/>
      <c r="QKS39" s="822"/>
      <c r="QKT39" s="822"/>
      <c r="QKU39" s="822"/>
      <c r="QKV39" s="822"/>
      <c r="QKW39" s="822"/>
      <c r="QKX39" s="822"/>
      <c r="QKY39" s="822"/>
      <c r="QKZ39" s="822"/>
      <c r="QLA39" s="822"/>
      <c r="QLB39" s="822"/>
      <c r="QLC39" s="822"/>
      <c r="QLD39" s="822"/>
      <c r="QLE39" s="822"/>
      <c r="QLF39" s="822"/>
      <c r="QLG39" s="822"/>
      <c r="QLH39" s="822"/>
      <c r="QLI39" s="822"/>
      <c r="QLJ39" s="822"/>
      <c r="QLK39" s="822"/>
      <c r="QLL39" s="822"/>
      <c r="QLM39" s="822"/>
      <c r="QLN39" s="822"/>
      <c r="QLO39" s="822"/>
      <c r="QLP39" s="822"/>
      <c r="QLQ39" s="822"/>
      <c r="QLR39" s="822"/>
      <c r="QLS39" s="822"/>
      <c r="QLT39" s="822"/>
      <c r="QLU39" s="822"/>
      <c r="QLV39" s="822"/>
      <c r="QLW39" s="822"/>
      <c r="QLX39" s="822"/>
      <c r="QLY39" s="822"/>
      <c r="QLZ39" s="822"/>
      <c r="QMA39" s="822"/>
      <c r="QMB39" s="822"/>
      <c r="QMC39" s="822"/>
      <c r="QMD39" s="822"/>
      <c r="QME39" s="822"/>
      <c r="QMF39" s="822"/>
      <c r="QMG39" s="822"/>
      <c r="QMH39" s="822"/>
      <c r="QMI39" s="822"/>
      <c r="QMJ39" s="822"/>
      <c r="QMK39" s="822"/>
      <c r="QML39" s="822"/>
      <c r="QMM39" s="822"/>
      <c r="QMN39" s="822"/>
      <c r="QMO39" s="822"/>
      <c r="QMP39" s="822"/>
      <c r="QMQ39" s="822"/>
      <c r="QMR39" s="822"/>
      <c r="QMS39" s="822"/>
      <c r="QMT39" s="822"/>
      <c r="QMU39" s="822"/>
      <c r="QMV39" s="822"/>
      <c r="QMW39" s="822"/>
      <c r="QMX39" s="822"/>
      <c r="QMY39" s="822"/>
      <c r="QMZ39" s="822"/>
      <c r="QNA39" s="822"/>
      <c r="QNB39" s="822"/>
      <c r="QNC39" s="822"/>
      <c r="QND39" s="822"/>
      <c r="QNE39" s="822"/>
      <c r="QNF39" s="822"/>
      <c r="QNG39" s="822"/>
      <c r="QNH39" s="822"/>
      <c r="QNI39" s="822"/>
      <c r="QNJ39" s="822"/>
      <c r="QNK39" s="822"/>
      <c r="QNL39" s="822"/>
      <c r="QNM39" s="822"/>
      <c r="QNN39" s="822"/>
      <c r="QNO39" s="822"/>
      <c r="QNP39" s="822"/>
      <c r="QNQ39" s="822"/>
      <c r="QNR39" s="822"/>
      <c r="QNS39" s="822"/>
      <c r="QNT39" s="822"/>
      <c r="QNU39" s="822"/>
      <c r="QNV39" s="822"/>
      <c r="QNW39" s="822"/>
      <c r="QNX39" s="822"/>
      <c r="QNY39" s="822"/>
      <c r="QNZ39" s="822"/>
      <c r="QOA39" s="822"/>
      <c r="QOB39" s="822"/>
      <c r="QOC39" s="822"/>
      <c r="QOD39" s="822"/>
      <c r="QOE39" s="822"/>
      <c r="QOF39" s="822"/>
      <c r="QOG39" s="822"/>
      <c r="QOH39" s="822"/>
      <c r="QOI39" s="822"/>
      <c r="QOJ39" s="822"/>
      <c r="QOK39" s="822"/>
      <c r="QOL39" s="822"/>
      <c r="QOM39" s="822"/>
      <c r="QON39" s="822"/>
      <c r="QOO39" s="822"/>
      <c r="QOP39" s="822"/>
      <c r="QOQ39" s="822"/>
      <c r="QOR39" s="822"/>
      <c r="QOS39" s="822"/>
      <c r="QOT39" s="822"/>
      <c r="QOU39" s="822"/>
      <c r="QOV39" s="822"/>
      <c r="QOW39" s="822"/>
      <c r="QOX39" s="822"/>
      <c r="QOY39" s="822"/>
      <c r="QOZ39" s="822"/>
      <c r="QPA39" s="822"/>
      <c r="QPB39" s="822"/>
      <c r="QPC39" s="822"/>
      <c r="QPD39" s="822"/>
      <c r="QPE39" s="822"/>
      <c r="QPF39" s="822"/>
      <c r="QPG39" s="822"/>
      <c r="QPH39" s="822"/>
      <c r="QPI39" s="822"/>
      <c r="QPJ39" s="822"/>
      <c r="QPK39" s="822"/>
      <c r="QPL39" s="822"/>
      <c r="QPM39" s="822"/>
      <c r="QPN39" s="822"/>
      <c r="QPO39" s="822"/>
      <c r="QPP39" s="822"/>
      <c r="QPQ39" s="822"/>
      <c r="QPR39" s="822"/>
      <c r="QPS39" s="822"/>
      <c r="QPT39" s="822"/>
      <c r="QPU39" s="822"/>
      <c r="QPV39" s="822"/>
      <c r="QPW39" s="822"/>
      <c r="QPX39" s="822"/>
      <c r="QPY39" s="822"/>
      <c r="QPZ39" s="822"/>
      <c r="QQA39" s="822"/>
      <c r="QQB39" s="822"/>
      <c r="QQC39" s="822"/>
      <c r="QQD39" s="822"/>
      <c r="QQE39" s="822"/>
      <c r="QQF39" s="822"/>
      <c r="QQG39" s="822"/>
      <c r="QQH39" s="822"/>
      <c r="QQI39" s="822"/>
      <c r="QQJ39" s="822"/>
      <c r="QQK39" s="822"/>
      <c r="QQL39" s="822"/>
      <c r="QQM39" s="822"/>
      <c r="QQN39" s="822"/>
      <c r="QQO39" s="822"/>
      <c r="QQP39" s="822"/>
      <c r="QQQ39" s="822"/>
      <c r="QQR39" s="822"/>
      <c r="QQS39" s="822"/>
      <c r="QQT39" s="822"/>
      <c r="QQU39" s="822"/>
      <c r="QQV39" s="822"/>
      <c r="QQW39" s="822"/>
      <c r="QQX39" s="822"/>
      <c r="QQY39" s="822"/>
      <c r="QQZ39" s="822"/>
      <c r="QRA39" s="822"/>
      <c r="QRB39" s="822"/>
      <c r="QRC39" s="822"/>
      <c r="QRD39" s="822"/>
      <c r="QRE39" s="822"/>
      <c r="QRF39" s="822"/>
      <c r="QRG39" s="822"/>
      <c r="QRH39" s="822"/>
      <c r="QRI39" s="822"/>
      <c r="QRJ39" s="822"/>
      <c r="QRK39" s="822"/>
      <c r="QRL39" s="822"/>
      <c r="QRM39" s="822"/>
      <c r="QRN39" s="822"/>
      <c r="QRO39" s="822"/>
      <c r="QRP39" s="822"/>
      <c r="QRQ39" s="822"/>
      <c r="QRR39" s="822"/>
      <c r="QRS39" s="822"/>
      <c r="QRT39" s="822"/>
      <c r="QRU39" s="822"/>
      <c r="QRV39" s="822"/>
      <c r="QRW39" s="822"/>
      <c r="QRX39" s="822"/>
      <c r="QRY39" s="822"/>
      <c r="QRZ39" s="822"/>
      <c r="QSA39" s="822"/>
      <c r="QSB39" s="822"/>
      <c r="QSC39" s="822"/>
      <c r="QSD39" s="822"/>
      <c r="QSE39" s="822"/>
      <c r="QSF39" s="822"/>
      <c r="QSG39" s="822"/>
      <c r="QSH39" s="822"/>
      <c r="QSI39" s="822"/>
      <c r="QSJ39" s="822"/>
      <c r="QSK39" s="822"/>
      <c r="QSL39" s="822"/>
      <c r="QSM39" s="822"/>
      <c r="QSN39" s="822"/>
      <c r="QSO39" s="822"/>
      <c r="QSP39" s="822"/>
      <c r="QSQ39" s="822"/>
      <c r="QSR39" s="822"/>
      <c r="QSS39" s="822"/>
      <c r="QST39" s="822"/>
      <c r="QSU39" s="822"/>
      <c r="QSV39" s="822"/>
      <c r="QSW39" s="822"/>
      <c r="QSX39" s="822"/>
      <c r="QSY39" s="822"/>
      <c r="QSZ39" s="822"/>
      <c r="QTA39" s="822"/>
      <c r="QTB39" s="822"/>
      <c r="QTC39" s="822"/>
      <c r="QTD39" s="822"/>
      <c r="QTE39" s="822"/>
      <c r="QTF39" s="822"/>
      <c r="QTG39" s="822"/>
      <c r="QTH39" s="822"/>
      <c r="QTI39" s="822"/>
      <c r="QTJ39" s="822"/>
      <c r="QTK39" s="822"/>
      <c r="QTL39" s="822"/>
      <c r="QTM39" s="822"/>
      <c r="QTN39" s="822"/>
      <c r="QTO39" s="822"/>
      <c r="QTP39" s="822"/>
      <c r="QTQ39" s="822"/>
      <c r="QTR39" s="822"/>
      <c r="QTS39" s="822"/>
      <c r="QTT39" s="822"/>
      <c r="QTU39" s="822"/>
      <c r="QTV39" s="822"/>
      <c r="QTW39" s="822"/>
      <c r="QTX39" s="822"/>
      <c r="QTY39" s="822"/>
      <c r="QTZ39" s="822"/>
      <c r="QUA39" s="822"/>
      <c r="QUB39" s="822"/>
      <c r="QUC39" s="822"/>
      <c r="QUD39" s="822"/>
      <c r="QUE39" s="822"/>
      <c r="QUF39" s="822"/>
      <c r="QUG39" s="822"/>
      <c r="QUH39" s="822"/>
      <c r="QUI39" s="822"/>
      <c r="QUJ39" s="822"/>
      <c r="QUK39" s="822"/>
      <c r="QUL39" s="822"/>
      <c r="QUM39" s="822"/>
      <c r="QUN39" s="822"/>
      <c r="QUO39" s="822"/>
      <c r="QUP39" s="822"/>
      <c r="QUQ39" s="822"/>
      <c r="QUR39" s="822"/>
      <c r="QUS39" s="822"/>
      <c r="QUT39" s="822"/>
      <c r="QUU39" s="822"/>
      <c r="QUV39" s="822"/>
      <c r="QUW39" s="822"/>
      <c r="QUX39" s="822"/>
      <c r="QUY39" s="822"/>
      <c r="QUZ39" s="822"/>
      <c r="QVA39" s="822"/>
      <c r="QVB39" s="822"/>
      <c r="QVC39" s="822"/>
      <c r="QVD39" s="822"/>
      <c r="QVE39" s="822"/>
      <c r="QVF39" s="822"/>
      <c r="QVG39" s="822"/>
      <c r="QVH39" s="822"/>
      <c r="QVI39" s="822"/>
      <c r="QVJ39" s="822"/>
      <c r="QVK39" s="822"/>
      <c r="QVL39" s="822"/>
      <c r="QVM39" s="822"/>
      <c r="QVN39" s="822"/>
      <c r="QVO39" s="822"/>
      <c r="QVP39" s="822"/>
      <c r="QVQ39" s="822"/>
      <c r="QVR39" s="822"/>
      <c r="QVS39" s="822"/>
      <c r="QVT39" s="822"/>
      <c r="QVU39" s="822"/>
      <c r="QVV39" s="822"/>
      <c r="QVW39" s="822"/>
      <c r="QVX39" s="822"/>
      <c r="QVY39" s="822"/>
      <c r="QVZ39" s="822"/>
      <c r="QWA39" s="822"/>
      <c r="QWB39" s="822"/>
      <c r="QWC39" s="822"/>
      <c r="QWD39" s="822"/>
      <c r="QWE39" s="822"/>
      <c r="QWF39" s="822"/>
      <c r="QWG39" s="822"/>
      <c r="QWH39" s="822"/>
      <c r="QWI39" s="822"/>
      <c r="QWJ39" s="822"/>
      <c r="QWK39" s="822"/>
      <c r="QWL39" s="822"/>
      <c r="QWM39" s="822"/>
      <c r="QWN39" s="822"/>
      <c r="QWO39" s="822"/>
      <c r="QWP39" s="822"/>
      <c r="QWQ39" s="822"/>
      <c r="QWR39" s="822"/>
      <c r="QWS39" s="822"/>
      <c r="QWT39" s="822"/>
      <c r="QWU39" s="822"/>
      <c r="QWV39" s="822"/>
      <c r="QWW39" s="822"/>
      <c r="QWX39" s="822"/>
      <c r="QWY39" s="822"/>
      <c r="QWZ39" s="822"/>
      <c r="QXA39" s="822"/>
      <c r="QXB39" s="822"/>
      <c r="QXC39" s="822"/>
      <c r="QXD39" s="822"/>
      <c r="QXE39" s="822"/>
      <c r="QXF39" s="822"/>
      <c r="QXG39" s="822"/>
      <c r="QXH39" s="822"/>
      <c r="QXI39" s="822"/>
      <c r="QXJ39" s="822"/>
      <c r="QXK39" s="822"/>
      <c r="QXL39" s="822"/>
      <c r="QXM39" s="822"/>
      <c r="QXN39" s="822"/>
      <c r="QXO39" s="822"/>
      <c r="QXP39" s="822"/>
      <c r="QXQ39" s="822"/>
      <c r="QXR39" s="822"/>
      <c r="QXS39" s="822"/>
      <c r="QXT39" s="822"/>
      <c r="QXU39" s="822"/>
      <c r="QXV39" s="822"/>
      <c r="QXW39" s="822"/>
      <c r="QXX39" s="822"/>
      <c r="QXY39" s="822"/>
      <c r="QXZ39" s="822"/>
      <c r="QYA39" s="822"/>
      <c r="QYB39" s="822"/>
      <c r="QYC39" s="822"/>
      <c r="QYD39" s="822"/>
      <c r="QYE39" s="822"/>
      <c r="QYF39" s="822"/>
      <c r="QYG39" s="822"/>
      <c r="QYH39" s="822"/>
      <c r="QYI39" s="822"/>
      <c r="QYJ39" s="822"/>
      <c r="QYK39" s="822"/>
      <c r="QYL39" s="822"/>
      <c r="QYM39" s="822"/>
      <c r="QYN39" s="822"/>
      <c r="QYO39" s="822"/>
      <c r="QYP39" s="822"/>
      <c r="QYQ39" s="822"/>
      <c r="QYR39" s="822"/>
      <c r="QYS39" s="822"/>
      <c r="QYT39" s="822"/>
      <c r="QYU39" s="822"/>
      <c r="QYV39" s="822"/>
      <c r="QYW39" s="822"/>
      <c r="QYX39" s="822"/>
      <c r="QYY39" s="822"/>
      <c r="QYZ39" s="822"/>
      <c r="QZA39" s="822"/>
      <c r="QZB39" s="822"/>
      <c r="QZC39" s="822"/>
      <c r="QZD39" s="822"/>
      <c r="QZE39" s="822"/>
      <c r="QZF39" s="822"/>
      <c r="QZG39" s="822"/>
      <c r="QZH39" s="822"/>
      <c r="QZI39" s="822"/>
      <c r="QZJ39" s="822"/>
      <c r="QZK39" s="822"/>
      <c r="QZL39" s="822"/>
      <c r="QZM39" s="822"/>
      <c r="QZN39" s="822"/>
      <c r="QZO39" s="822"/>
      <c r="QZP39" s="822"/>
      <c r="QZQ39" s="822"/>
      <c r="QZR39" s="822"/>
      <c r="QZS39" s="822"/>
      <c r="QZT39" s="822"/>
      <c r="QZU39" s="822"/>
      <c r="QZV39" s="822"/>
      <c r="QZW39" s="822"/>
      <c r="QZX39" s="822"/>
      <c r="QZY39" s="822"/>
      <c r="QZZ39" s="822"/>
      <c r="RAA39" s="822"/>
      <c r="RAB39" s="822"/>
      <c r="RAC39" s="822"/>
      <c r="RAD39" s="822"/>
      <c r="RAE39" s="822"/>
      <c r="RAF39" s="822"/>
      <c r="RAG39" s="822"/>
      <c r="RAH39" s="822"/>
      <c r="RAI39" s="822"/>
      <c r="RAJ39" s="822"/>
      <c r="RAK39" s="822"/>
      <c r="RAL39" s="822"/>
      <c r="RAM39" s="822"/>
      <c r="RAN39" s="822"/>
      <c r="RAO39" s="822"/>
      <c r="RAP39" s="822"/>
      <c r="RAQ39" s="822"/>
      <c r="RAR39" s="822"/>
      <c r="RAS39" s="822"/>
      <c r="RAT39" s="822"/>
      <c r="RAU39" s="822"/>
      <c r="RAV39" s="822"/>
      <c r="RAW39" s="822"/>
      <c r="RAX39" s="822"/>
      <c r="RAY39" s="822"/>
      <c r="RAZ39" s="822"/>
      <c r="RBA39" s="822"/>
      <c r="RBB39" s="822"/>
      <c r="RBC39" s="822"/>
      <c r="RBD39" s="822"/>
      <c r="RBE39" s="822"/>
      <c r="RBF39" s="822"/>
      <c r="RBG39" s="822"/>
      <c r="RBH39" s="822"/>
      <c r="RBI39" s="822"/>
      <c r="RBJ39" s="822"/>
      <c r="RBK39" s="822"/>
      <c r="RBL39" s="822"/>
      <c r="RBM39" s="822"/>
      <c r="RBN39" s="822"/>
      <c r="RBO39" s="822"/>
      <c r="RBP39" s="822"/>
      <c r="RBQ39" s="822"/>
      <c r="RBR39" s="822"/>
      <c r="RBS39" s="822"/>
      <c r="RBT39" s="822"/>
      <c r="RBU39" s="822"/>
      <c r="RBV39" s="822"/>
      <c r="RBW39" s="822"/>
      <c r="RBX39" s="822"/>
      <c r="RBY39" s="822"/>
      <c r="RBZ39" s="822"/>
      <c r="RCA39" s="822"/>
      <c r="RCB39" s="822"/>
      <c r="RCC39" s="822"/>
      <c r="RCD39" s="822"/>
      <c r="RCE39" s="822"/>
      <c r="RCF39" s="822"/>
      <c r="RCG39" s="822"/>
      <c r="RCH39" s="822"/>
      <c r="RCI39" s="822"/>
      <c r="RCJ39" s="822"/>
      <c r="RCK39" s="822"/>
      <c r="RCL39" s="822"/>
      <c r="RCM39" s="822"/>
      <c r="RCN39" s="822"/>
      <c r="RCO39" s="822"/>
      <c r="RCP39" s="822"/>
      <c r="RCQ39" s="822"/>
      <c r="RCR39" s="822"/>
      <c r="RCS39" s="822"/>
      <c r="RCT39" s="822"/>
      <c r="RCU39" s="822"/>
      <c r="RCV39" s="822"/>
      <c r="RCW39" s="822"/>
      <c r="RCX39" s="822"/>
      <c r="RCY39" s="822"/>
      <c r="RCZ39" s="822"/>
      <c r="RDA39" s="822"/>
      <c r="RDB39" s="822"/>
      <c r="RDC39" s="822"/>
      <c r="RDD39" s="822"/>
      <c r="RDE39" s="822"/>
      <c r="RDF39" s="822"/>
      <c r="RDG39" s="822"/>
      <c r="RDH39" s="822"/>
      <c r="RDI39" s="822"/>
      <c r="RDJ39" s="822"/>
      <c r="RDK39" s="822"/>
      <c r="RDL39" s="822"/>
      <c r="RDM39" s="822"/>
      <c r="RDN39" s="822"/>
      <c r="RDO39" s="822"/>
      <c r="RDP39" s="822"/>
      <c r="RDQ39" s="822"/>
      <c r="RDR39" s="822"/>
      <c r="RDS39" s="822"/>
      <c r="RDT39" s="822"/>
      <c r="RDU39" s="822"/>
      <c r="RDV39" s="822"/>
      <c r="RDW39" s="822"/>
      <c r="RDX39" s="822"/>
      <c r="RDY39" s="822"/>
      <c r="RDZ39" s="822"/>
      <c r="REA39" s="822"/>
      <c r="REB39" s="822"/>
      <c r="REC39" s="822"/>
      <c r="RED39" s="822"/>
      <c r="REE39" s="822"/>
      <c r="REF39" s="822"/>
      <c r="REG39" s="822"/>
      <c r="REH39" s="822"/>
      <c r="REI39" s="822"/>
      <c r="REJ39" s="822"/>
      <c r="REK39" s="822"/>
      <c r="REL39" s="822"/>
      <c r="REM39" s="822"/>
      <c r="REN39" s="822"/>
      <c r="REO39" s="822"/>
      <c r="REP39" s="822"/>
      <c r="REQ39" s="822"/>
      <c r="RER39" s="822"/>
      <c r="RES39" s="822"/>
      <c r="RET39" s="822"/>
      <c r="REU39" s="822"/>
      <c r="REV39" s="822"/>
      <c r="REW39" s="822"/>
      <c r="REX39" s="822"/>
      <c r="REY39" s="822"/>
      <c r="REZ39" s="822"/>
      <c r="RFA39" s="822"/>
      <c r="RFB39" s="822"/>
      <c r="RFC39" s="822"/>
      <c r="RFD39" s="822"/>
      <c r="RFE39" s="822"/>
      <c r="RFF39" s="822"/>
      <c r="RFG39" s="822"/>
      <c r="RFH39" s="822"/>
      <c r="RFI39" s="822"/>
      <c r="RFJ39" s="822"/>
      <c r="RFK39" s="822"/>
      <c r="RFL39" s="822"/>
      <c r="RFM39" s="822"/>
      <c r="RFN39" s="822"/>
      <c r="RFO39" s="822"/>
      <c r="RFP39" s="822"/>
      <c r="RFQ39" s="822"/>
      <c r="RFR39" s="822"/>
      <c r="RFS39" s="822"/>
      <c r="RFT39" s="822"/>
      <c r="RFU39" s="822"/>
      <c r="RFV39" s="822"/>
      <c r="RFW39" s="822"/>
      <c r="RFX39" s="822"/>
      <c r="RFY39" s="822"/>
      <c r="RFZ39" s="822"/>
      <c r="RGA39" s="822"/>
      <c r="RGB39" s="822"/>
      <c r="RGC39" s="822"/>
      <c r="RGD39" s="822"/>
      <c r="RGE39" s="822"/>
      <c r="RGF39" s="822"/>
      <c r="RGG39" s="822"/>
      <c r="RGH39" s="822"/>
      <c r="RGI39" s="822"/>
      <c r="RGJ39" s="822"/>
      <c r="RGK39" s="822"/>
      <c r="RGL39" s="822"/>
      <c r="RGM39" s="822"/>
      <c r="RGN39" s="822"/>
      <c r="RGO39" s="822"/>
      <c r="RGP39" s="822"/>
      <c r="RGQ39" s="822"/>
      <c r="RGR39" s="822"/>
      <c r="RGS39" s="822"/>
      <c r="RGT39" s="822"/>
      <c r="RGU39" s="822"/>
      <c r="RGV39" s="822"/>
      <c r="RGW39" s="822"/>
      <c r="RGX39" s="822"/>
      <c r="RGY39" s="822"/>
      <c r="RGZ39" s="822"/>
      <c r="RHA39" s="822"/>
      <c r="RHB39" s="822"/>
      <c r="RHC39" s="822"/>
      <c r="RHD39" s="822"/>
      <c r="RHE39" s="822"/>
      <c r="RHF39" s="822"/>
      <c r="RHG39" s="822"/>
      <c r="RHH39" s="822"/>
      <c r="RHI39" s="822"/>
      <c r="RHJ39" s="822"/>
      <c r="RHK39" s="822"/>
      <c r="RHL39" s="822"/>
      <c r="RHM39" s="822"/>
      <c r="RHN39" s="822"/>
      <c r="RHO39" s="822"/>
      <c r="RHP39" s="822"/>
      <c r="RHQ39" s="822"/>
      <c r="RHR39" s="822"/>
      <c r="RHS39" s="822"/>
      <c r="RHT39" s="822"/>
      <c r="RHU39" s="822"/>
      <c r="RHV39" s="822"/>
      <c r="RHW39" s="822"/>
      <c r="RHX39" s="822"/>
      <c r="RHY39" s="822"/>
      <c r="RHZ39" s="822"/>
      <c r="RIA39" s="822"/>
      <c r="RIB39" s="822"/>
      <c r="RIC39" s="822"/>
      <c r="RID39" s="822"/>
      <c r="RIE39" s="822"/>
      <c r="RIF39" s="822"/>
      <c r="RIG39" s="822"/>
      <c r="RIH39" s="822"/>
      <c r="RII39" s="822"/>
      <c r="RIJ39" s="822"/>
      <c r="RIK39" s="822"/>
      <c r="RIL39" s="822"/>
      <c r="RIM39" s="822"/>
      <c r="RIN39" s="822"/>
      <c r="RIO39" s="822"/>
      <c r="RIP39" s="822"/>
      <c r="RIQ39" s="822"/>
      <c r="RIR39" s="822"/>
      <c r="RIS39" s="822"/>
      <c r="RIT39" s="822"/>
      <c r="RIU39" s="822"/>
      <c r="RIV39" s="822"/>
      <c r="RIW39" s="822"/>
      <c r="RIX39" s="822"/>
      <c r="RIY39" s="822"/>
      <c r="RIZ39" s="822"/>
      <c r="RJA39" s="822"/>
      <c r="RJB39" s="822"/>
      <c r="RJC39" s="822"/>
      <c r="RJD39" s="822"/>
      <c r="RJE39" s="822"/>
      <c r="RJF39" s="822"/>
      <c r="RJG39" s="822"/>
      <c r="RJH39" s="822"/>
      <c r="RJI39" s="822"/>
      <c r="RJJ39" s="822"/>
      <c r="RJK39" s="822"/>
      <c r="RJL39" s="822"/>
      <c r="RJM39" s="822"/>
      <c r="RJN39" s="822"/>
      <c r="RJO39" s="822"/>
      <c r="RJP39" s="822"/>
      <c r="RJQ39" s="822"/>
      <c r="RJR39" s="822"/>
      <c r="RJS39" s="822"/>
      <c r="RJT39" s="822"/>
      <c r="RJU39" s="822"/>
      <c r="RJV39" s="822"/>
      <c r="RJW39" s="822"/>
      <c r="RJX39" s="822"/>
      <c r="RJY39" s="822"/>
      <c r="RJZ39" s="822"/>
      <c r="RKA39" s="822"/>
      <c r="RKB39" s="822"/>
      <c r="RKC39" s="822"/>
      <c r="RKD39" s="822"/>
      <c r="RKE39" s="822"/>
      <c r="RKF39" s="822"/>
      <c r="RKG39" s="822"/>
      <c r="RKH39" s="822"/>
      <c r="RKI39" s="822"/>
      <c r="RKJ39" s="822"/>
      <c r="RKK39" s="822"/>
      <c r="RKL39" s="822"/>
      <c r="RKM39" s="822"/>
      <c r="RKN39" s="822"/>
      <c r="RKO39" s="822"/>
      <c r="RKP39" s="822"/>
      <c r="RKQ39" s="822"/>
      <c r="RKR39" s="822"/>
      <c r="RKS39" s="822"/>
      <c r="RKT39" s="822"/>
      <c r="RKU39" s="822"/>
      <c r="RKV39" s="822"/>
      <c r="RKW39" s="822"/>
      <c r="RKX39" s="822"/>
      <c r="RKY39" s="822"/>
      <c r="RKZ39" s="822"/>
      <c r="RLA39" s="822"/>
      <c r="RLB39" s="822"/>
      <c r="RLC39" s="822"/>
      <c r="RLD39" s="822"/>
      <c r="RLE39" s="822"/>
      <c r="RLF39" s="822"/>
      <c r="RLG39" s="822"/>
      <c r="RLH39" s="822"/>
      <c r="RLI39" s="822"/>
      <c r="RLJ39" s="822"/>
      <c r="RLK39" s="822"/>
      <c r="RLL39" s="822"/>
      <c r="RLM39" s="822"/>
      <c r="RLN39" s="822"/>
      <c r="RLO39" s="822"/>
      <c r="RLP39" s="822"/>
      <c r="RLQ39" s="822"/>
      <c r="RLR39" s="822"/>
      <c r="RLS39" s="822"/>
      <c r="RLT39" s="822"/>
      <c r="RLU39" s="822"/>
      <c r="RLV39" s="822"/>
      <c r="RLW39" s="822"/>
      <c r="RLX39" s="822"/>
      <c r="RLY39" s="822"/>
      <c r="RLZ39" s="822"/>
      <c r="RMA39" s="822"/>
      <c r="RMB39" s="822"/>
      <c r="RMC39" s="822"/>
      <c r="RMD39" s="822"/>
      <c r="RME39" s="822"/>
      <c r="RMF39" s="822"/>
      <c r="RMG39" s="822"/>
      <c r="RMH39" s="822"/>
      <c r="RMI39" s="822"/>
      <c r="RMJ39" s="822"/>
      <c r="RMK39" s="822"/>
      <c r="RML39" s="822"/>
      <c r="RMM39" s="822"/>
      <c r="RMN39" s="822"/>
      <c r="RMO39" s="822"/>
      <c r="RMP39" s="822"/>
      <c r="RMQ39" s="822"/>
      <c r="RMR39" s="822"/>
      <c r="RMS39" s="822"/>
      <c r="RMT39" s="822"/>
      <c r="RMU39" s="822"/>
      <c r="RMV39" s="822"/>
      <c r="RMW39" s="822"/>
      <c r="RMX39" s="822"/>
      <c r="RMY39" s="822"/>
      <c r="RMZ39" s="822"/>
      <c r="RNA39" s="822"/>
      <c r="RNB39" s="822"/>
      <c r="RNC39" s="822"/>
      <c r="RND39" s="822"/>
      <c r="RNE39" s="822"/>
      <c r="RNF39" s="822"/>
      <c r="RNG39" s="822"/>
      <c r="RNH39" s="822"/>
      <c r="RNI39" s="822"/>
      <c r="RNJ39" s="822"/>
      <c r="RNK39" s="822"/>
      <c r="RNL39" s="822"/>
      <c r="RNM39" s="822"/>
      <c r="RNN39" s="822"/>
      <c r="RNO39" s="822"/>
      <c r="RNP39" s="822"/>
      <c r="RNQ39" s="822"/>
      <c r="RNR39" s="822"/>
      <c r="RNS39" s="822"/>
      <c r="RNT39" s="822"/>
      <c r="RNU39" s="822"/>
      <c r="RNV39" s="822"/>
      <c r="RNW39" s="822"/>
      <c r="RNX39" s="822"/>
      <c r="RNY39" s="822"/>
      <c r="RNZ39" s="822"/>
      <c r="ROA39" s="822"/>
      <c r="ROB39" s="822"/>
      <c r="ROC39" s="822"/>
      <c r="ROD39" s="822"/>
      <c r="ROE39" s="822"/>
      <c r="ROF39" s="822"/>
      <c r="ROG39" s="822"/>
      <c r="ROH39" s="822"/>
      <c r="ROI39" s="822"/>
      <c r="ROJ39" s="822"/>
      <c r="ROK39" s="822"/>
      <c r="ROL39" s="822"/>
      <c r="ROM39" s="822"/>
      <c r="RON39" s="822"/>
      <c r="ROO39" s="822"/>
      <c r="ROP39" s="822"/>
      <c r="ROQ39" s="822"/>
      <c r="ROR39" s="822"/>
      <c r="ROS39" s="822"/>
      <c r="ROT39" s="822"/>
      <c r="ROU39" s="822"/>
      <c r="ROV39" s="822"/>
      <c r="ROW39" s="822"/>
      <c r="ROX39" s="822"/>
      <c r="ROY39" s="822"/>
      <c r="ROZ39" s="822"/>
      <c r="RPA39" s="822"/>
      <c r="RPB39" s="822"/>
      <c r="RPC39" s="822"/>
      <c r="RPD39" s="822"/>
      <c r="RPE39" s="822"/>
      <c r="RPF39" s="822"/>
      <c r="RPG39" s="822"/>
      <c r="RPH39" s="822"/>
      <c r="RPI39" s="822"/>
      <c r="RPJ39" s="822"/>
      <c r="RPK39" s="822"/>
      <c r="RPL39" s="822"/>
      <c r="RPM39" s="822"/>
      <c r="RPN39" s="822"/>
      <c r="RPO39" s="822"/>
      <c r="RPP39" s="822"/>
      <c r="RPQ39" s="822"/>
      <c r="RPR39" s="822"/>
      <c r="RPS39" s="822"/>
      <c r="RPT39" s="822"/>
      <c r="RPU39" s="822"/>
      <c r="RPV39" s="822"/>
      <c r="RPW39" s="822"/>
      <c r="RPX39" s="822"/>
      <c r="RPY39" s="822"/>
      <c r="RPZ39" s="822"/>
      <c r="RQA39" s="822"/>
      <c r="RQB39" s="822"/>
      <c r="RQC39" s="822"/>
      <c r="RQD39" s="822"/>
      <c r="RQE39" s="822"/>
      <c r="RQF39" s="822"/>
      <c r="RQG39" s="822"/>
      <c r="RQH39" s="822"/>
      <c r="RQI39" s="822"/>
      <c r="RQJ39" s="822"/>
      <c r="RQK39" s="822"/>
      <c r="RQL39" s="822"/>
      <c r="RQM39" s="822"/>
      <c r="RQN39" s="822"/>
      <c r="RQO39" s="822"/>
      <c r="RQP39" s="822"/>
      <c r="RQQ39" s="822"/>
      <c r="RQR39" s="822"/>
      <c r="RQS39" s="822"/>
      <c r="RQT39" s="822"/>
      <c r="RQU39" s="822"/>
      <c r="RQV39" s="822"/>
      <c r="RQW39" s="822"/>
      <c r="RQX39" s="822"/>
      <c r="RQY39" s="822"/>
      <c r="RQZ39" s="822"/>
      <c r="RRA39" s="822"/>
      <c r="RRB39" s="822"/>
      <c r="RRC39" s="822"/>
      <c r="RRD39" s="822"/>
      <c r="RRE39" s="822"/>
      <c r="RRF39" s="822"/>
      <c r="RRG39" s="822"/>
      <c r="RRH39" s="822"/>
      <c r="RRI39" s="822"/>
      <c r="RRJ39" s="822"/>
      <c r="RRK39" s="822"/>
      <c r="RRL39" s="822"/>
      <c r="RRM39" s="822"/>
      <c r="RRN39" s="822"/>
      <c r="RRO39" s="822"/>
      <c r="RRP39" s="822"/>
      <c r="RRQ39" s="822"/>
      <c r="RRR39" s="822"/>
      <c r="RRS39" s="822"/>
      <c r="RRT39" s="822"/>
      <c r="RRU39" s="822"/>
      <c r="RRV39" s="822"/>
      <c r="RRW39" s="822"/>
      <c r="RRX39" s="822"/>
      <c r="RRY39" s="822"/>
      <c r="RRZ39" s="822"/>
      <c r="RSA39" s="822"/>
      <c r="RSB39" s="822"/>
      <c r="RSC39" s="822"/>
      <c r="RSD39" s="822"/>
      <c r="RSE39" s="822"/>
      <c r="RSF39" s="822"/>
      <c r="RSG39" s="822"/>
      <c r="RSH39" s="822"/>
      <c r="RSI39" s="822"/>
      <c r="RSJ39" s="822"/>
      <c r="RSK39" s="822"/>
      <c r="RSL39" s="822"/>
      <c r="RSM39" s="822"/>
      <c r="RSN39" s="822"/>
      <c r="RSO39" s="822"/>
      <c r="RSP39" s="822"/>
      <c r="RSQ39" s="822"/>
      <c r="RSR39" s="822"/>
      <c r="RSS39" s="822"/>
      <c r="RST39" s="822"/>
      <c r="RSU39" s="822"/>
      <c r="RSV39" s="822"/>
      <c r="RSW39" s="822"/>
      <c r="RSX39" s="822"/>
      <c r="RSY39" s="822"/>
      <c r="RSZ39" s="822"/>
      <c r="RTA39" s="822"/>
      <c r="RTB39" s="822"/>
      <c r="RTC39" s="822"/>
      <c r="RTD39" s="822"/>
      <c r="RTE39" s="822"/>
      <c r="RTF39" s="822"/>
      <c r="RTG39" s="822"/>
      <c r="RTH39" s="822"/>
      <c r="RTI39" s="822"/>
      <c r="RTJ39" s="822"/>
      <c r="RTK39" s="822"/>
      <c r="RTL39" s="822"/>
      <c r="RTM39" s="822"/>
      <c r="RTN39" s="822"/>
      <c r="RTO39" s="822"/>
      <c r="RTP39" s="822"/>
      <c r="RTQ39" s="822"/>
      <c r="RTR39" s="822"/>
      <c r="RTS39" s="822"/>
      <c r="RTT39" s="822"/>
      <c r="RTU39" s="822"/>
      <c r="RTV39" s="822"/>
      <c r="RTW39" s="822"/>
      <c r="RTX39" s="822"/>
      <c r="RTY39" s="822"/>
      <c r="RTZ39" s="822"/>
      <c r="RUA39" s="822"/>
      <c r="RUB39" s="822"/>
      <c r="RUC39" s="822"/>
      <c r="RUD39" s="822"/>
      <c r="RUE39" s="822"/>
      <c r="RUF39" s="822"/>
      <c r="RUG39" s="822"/>
      <c r="RUH39" s="822"/>
      <c r="RUI39" s="822"/>
      <c r="RUJ39" s="822"/>
      <c r="RUK39" s="822"/>
      <c r="RUL39" s="822"/>
      <c r="RUM39" s="822"/>
      <c r="RUN39" s="822"/>
      <c r="RUO39" s="822"/>
      <c r="RUP39" s="822"/>
      <c r="RUQ39" s="822"/>
      <c r="RUR39" s="822"/>
      <c r="RUS39" s="822"/>
      <c r="RUT39" s="822"/>
      <c r="RUU39" s="822"/>
      <c r="RUV39" s="822"/>
      <c r="RUW39" s="822"/>
      <c r="RUX39" s="822"/>
      <c r="RUY39" s="822"/>
      <c r="RUZ39" s="822"/>
      <c r="RVA39" s="822"/>
      <c r="RVB39" s="822"/>
      <c r="RVC39" s="822"/>
      <c r="RVD39" s="822"/>
      <c r="RVE39" s="822"/>
      <c r="RVF39" s="822"/>
      <c r="RVG39" s="822"/>
      <c r="RVH39" s="822"/>
      <c r="RVI39" s="822"/>
      <c r="RVJ39" s="822"/>
      <c r="RVK39" s="822"/>
      <c r="RVL39" s="822"/>
      <c r="RVM39" s="822"/>
      <c r="RVN39" s="822"/>
      <c r="RVO39" s="822"/>
      <c r="RVP39" s="822"/>
      <c r="RVQ39" s="822"/>
      <c r="RVR39" s="822"/>
      <c r="RVS39" s="822"/>
      <c r="RVT39" s="822"/>
      <c r="RVU39" s="822"/>
      <c r="RVV39" s="822"/>
      <c r="RVW39" s="822"/>
      <c r="RVX39" s="822"/>
      <c r="RVY39" s="822"/>
      <c r="RVZ39" s="822"/>
      <c r="RWA39" s="822"/>
      <c r="RWB39" s="822"/>
      <c r="RWC39" s="822"/>
      <c r="RWD39" s="822"/>
      <c r="RWE39" s="822"/>
      <c r="RWF39" s="822"/>
      <c r="RWG39" s="822"/>
      <c r="RWH39" s="822"/>
      <c r="RWI39" s="822"/>
      <c r="RWJ39" s="822"/>
      <c r="RWK39" s="822"/>
      <c r="RWL39" s="822"/>
      <c r="RWM39" s="822"/>
      <c r="RWN39" s="822"/>
      <c r="RWO39" s="822"/>
      <c r="RWP39" s="822"/>
      <c r="RWQ39" s="822"/>
      <c r="RWR39" s="822"/>
      <c r="RWS39" s="822"/>
      <c r="RWT39" s="822"/>
      <c r="RWU39" s="822"/>
      <c r="RWV39" s="822"/>
      <c r="RWW39" s="822"/>
      <c r="RWX39" s="822"/>
      <c r="RWY39" s="822"/>
      <c r="RWZ39" s="822"/>
      <c r="RXA39" s="822"/>
      <c r="RXB39" s="822"/>
      <c r="RXC39" s="822"/>
      <c r="RXD39" s="822"/>
      <c r="RXE39" s="822"/>
      <c r="RXF39" s="822"/>
      <c r="RXG39" s="822"/>
      <c r="RXH39" s="822"/>
      <c r="RXI39" s="822"/>
      <c r="RXJ39" s="822"/>
      <c r="RXK39" s="822"/>
      <c r="RXL39" s="822"/>
      <c r="RXM39" s="822"/>
      <c r="RXN39" s="822"/>
      <c r="RXO39" s="822"/>
      <c r="RXP39" s="822"/>
      <c r="RXQ39" s="822"/>
      <c r="RXR39" s="822"/>
      <c r="RXS39" s="822"/>
      <c r="RXT39" s="822"/>
      <c r="RXU39" s="822"/>
      <c r="RXV39" s="822"/>
      <c r="RXW39" s="822"/>
      <c r="RXX39" s="822"/>
      <c r="RXY39" s="822"/>
      <c r="RXZ39" s="822"/>
      <c r="RYA39" s="822"/>
      <c r="RYB39" s="822"/>
      <c r="RYC39" s="822"/>
      <c r="RYD39" s="822"/>
      <c r="RYE39" s="822"/>
      <c r="RYF39" s="822"/>
      <c r="RYG39" s="822"/>
      <c r="RYH39" s="822"/>
      <c r="RYI39" s="822"/>
      <c r="RYJ39" s="822"/>
      <c r="RYK39" s="822"/>
      <c r="RYL39" s="822"/>
      <c r="RYM39" s="822"/>
      <c r="RYN39" s="822"/>
      <c r="RYO39" s="822"/>
      <c r="RYP39" s="822"/>
      <c r="RYQ39" s="822"/>
      <c r="RYR39" s="822"/>
      <c r="RYS39" s="822"/>
      <c r="RYT39" s="822"/>
      <c r="RYU39" s="822"/>
      <c r="RYV39" s="822"/>
      <c r="RYW39" s="822"/>
      <c r="RYX39" s="822"/>
      <c r="RYY39" s="822"/>
      <c r="RYZ39" s="822"/>
      <c r="RZA39" s="822"/>
      <c r="RZB39" s="822"/>
      <c r="RZC39" s="822"/>
      <c r="RZD39" s="822"/>
      <c r="RZE39" s="822"/>
      <c r="RZF39" s="822"/>
      <c r="RZG39" s="822"/>
      <c r="RZH39" s="822"/>
      <c r="RZI39" s="822"/>
      <c r="RZJ39" s="822"/>
      <c r="RZK39" s="822"/>
      <c r="RZL39" s="822"/>
      <c r="RZM39" s="822"/>
      <c r="RZN39" s="822"/>
      <c r="RZO39" s="822"/>
      <c r="RZP39" s="822"/>
      <c r="RZQ39" s="822"/>
      <c r="RZR39" s="822"/>
      <c r="RZS39" s="822"/>
      <c r="RZT39" s="822"/>
      <c r="RZU39" s="822"/>
      <c r="RZV39" s="822"/>
      <c r="RZW39" s="822"/>
      <c r="RZX39" s="822"/>
      <c r="RZY39" s="822"/>
      <c r="RZZ39" s="822"/>
      <c r="SAA39" s="822"/>
      <c r="SAB39" s="822"/>
      <c r="SAC39" s="822"/>
      <c r="SAD39" s="822"/>
      <c r="SAE39" s="822"/>
      <c r="SAF39" s="822"/>
      <c r="SAG39" s="822"/>
      <c r="SAH39" s="822"/>
      <c r="SAI39" s="822"/>
      <c r="SAJ39" s="822"/>
      <c r="SAK39" s="822"/>
      <c r="SAL39" s="822"/>
      <c r="SAM39" s="822"/>
      <c r="SAN39" s="822"/>
      <c r="SAO39" s="822"/>
      <c r="SAP39" s="822"/>
      <c r="SAQ39" s="822"/>
      <c r="SAR39" s="822"/>
      <c r="SAS39" s="822"/>
      <c r="SAT39" s="822"/>
      <c r="SAU39" s="822"/>
      <c r="SAV39" s="822"/>
      <c r="SAW39" s="822"/>
      <c r="SAX39" s="822"/>
      <c r="SAY39" s="822"/>
      <c r="SAZ39" s="822"/>
      <c r="SBA39" s="822"/>
      <c r="SBB39" s="822"/>
      <c r="SBC39" s="822"/>
      <c r="SBD39" s="822"/>
      <c r="SBE39" s="822"/>
      <c r="SBF39" s="822"/>
      <c r="SBG39" s="822"/>
      <c r="SBH39" s="822"/>
      <c r="SBI39" s="822"/>
      <c r="SBJ39" s="822"/>
      <c r="SBK39" s="822"/>
      <c r="SBL39" s="822"/>
      <c r="SBM39" s="822"/>
      <c r="SBN39" s="822"/>
      <c r="SBO39" s="822"/>
      <c r="SBP39" s="822"/>
      <c r="SBQ39" s="822"/>
      <c r="SBR39" s="822"/>
      <c r="SBS39" s="822"/>
      <c r="SBT39" s="822"/>
      <c r="SBU39" s="822"/>
      <c r="SBV39" s="822"/>
      <c r="SBW39" s="822"/>
      <c r="SBX39" s="822"/>
      <c r="SBY39" s="822"/>
      <c r="SBZ39" s="822"/>
      <c r="SCA39" s="822"/>
      <c r="SCB39" s="822"/>
      <c r="SCC39" s="822"/>
      <c r="SCD39" s="822"/>
      <c r="SCE39" s="822"/>
      <c r="SCF39" s="822"/>
      <c r="SCG39" s="822"/>
      <c r="SCH39" s="822"/>
      <c r="SCI39" s="822"/>
      <c r="SCJ39" s="822"/>
      <c r="SCK39" s="822"/>
      <c r="SCL39" s="822"/>
      <c r="SCM39" s="822"/>
      <c r="SCN39" s="822"/>
      <c r="SCO39" s="822"/>
      <c r="SCP39" s="822"/>
      <c r="SCQ39" s="822"/>
      <c r="SCR39" s="822"/>
      <c r="SCS39" s="822"/>
      <c r="SCT39" s="822"/>
      <c r="SCU39" s="822"/>
      <c r="SCV39" s="822"/>
      <c r="SCW39" s="822"/>
      <c r="SCX39" s="822"/>
      <c r="SCY39" s="822"/>
      <c r="SCZ39" s="822"/>
      <c r="SDA39" s="822"/>
      <c r="SDB39" s="822"/>
      <c r="SDC39" s="822"/>
      <c r="SDD39" s="822"/>
      <c r="SDE39" s="822"/>
      <c r="SDF39" s="822"/>
      <c r="SDG39" s="822"/>
      <c r="SDH39" s="822"/>
      <c r="SDI39" s="822"/>
      <c r="SDJ39" s="822"/>
      <c r="SDK39" s="822"/>
      <c r="SDL39" s="822"/>
      <c r="SDM39" s="822"/>
      <c r="SDN39" s="822"/>
      <c r="SDO39" s="822"/>
      <c r="SDP39" s="822"/>
      <c r="SDQ39" s="822"/>
      <c r="SDR39" s="822"/>
      <c r="SDS39" s="822"/>
      <c r="SDT39" s="822"/>
      <c r="SDU39" s="822"/>
      <c r="SDV39" s="822"/>
      <c r="SDW39" s="822"/>
      <c r="SDX39" s="822"/>
      <c r="SDY39" s="822"/>
      <c r="SDZ39" s="822"/>
      <c r="SEA39" s="822"/>
      <c r="SEB39" s="822"/>
      <c r="SEC39" s="822"/>
      <c r="SED39" s="822"/>
      <c r="SEE39" s="822"/>
      <c r="SEF39" s="822"/>
      <c r="SEG39" s="822"/>
      <c r="SEH39" s="822"/>
      <c r="SEI39" s="822"/>
      <c r="SEJ39" s="822"/>
      <c r="SEK39" s="822"/>
      <c r="SEL39" s="822"/>
      <c r="SEM39" s="822"/>
      <c r="SEN39" s="822"/>
      <c r="SEO39" s="822"/>
      <c r="SEP39" s="822"/>
      <c r="SEQ39" s="822"/>
      <c r="SER39" s="822"/>
      <c r="SES39" s="822"/>
      <c r="SET39" s="822"/>
      <c r="SEU39" s="822"/>
      <c r="SEV39" s="822"/>
      <c r="SEW39" s="822"/>
      <c r="SEX39" s="822"/>
      <c r="SEY39" s="822"/>
      <c r="SEZ39" s="822"/>
      <c r="SFA39" s="822"/>
      <c r="SFB39" s="822"/>
      <c r="SFC39" s="822"/>
      <c r="SFD39" s="822"/>
      <c r="SFE39" s="822"/>
      <c r="SFF39" s="822"/>
      <c r="SFG39" s="822"/>
      <c r="SFH39" s="822"/>
      <c r="SFI39" s="822"/>
      <c r="SFJ39" s="822"/>
      <c r="SFK39" s="822"/>
      <c r="SFL39" s="822"/>
      <c r="SFM39" s="822"/>
      <c r="SFN39" s="822"/>
      <c r="SFO39" s="822"/>
      <c r="SFP39" s="822"/>
      <c r="SFQ39" s="822"/>
      <c r="SFR39" s="822"/>
      <c r="SFS39" s="822"/>
      <c r="SFT39" s="822"/>
      <c r="SFU39" s="822"/>
      <c r="SFV39" s="822"/>
      <c r="SFW39" s="822"/>
      <c r="SFX39" s="822"/>
      <c r="SFY39" s="822"/>
      <c r="SFZ39" s="822"/>
      <c r="SGA39" s="822"/>
      <c r="SGB39" s="822"/>
      <c r="SGC39" s="822"/>
      <c r="SGD39" s="822"/>
      <c r="SGE39" s="822"/>
      <c r="SGF39" s="822"/>
      <c r="SGG39" s="822"/>
      <c r="SGH39" s="822"/>
      <c r="SGI39" s="822"/>
      <c r="SGJ39" s="822"/>
      <c r="SGK39" s="822"/>
      <c r="SGL39" s="822"/>
      <c r="SGM39" s="822"/>
      <c r="SGN39" s="822"/>
      <c r="SGO39" s="822"/>
      <c r="SGP39" s="822"/>
      <c r="SGQ39" s="822"/>
      <c r="SGR39" s="822"/>
      <c r="SGS39" s="822"/>
      <c r="SGT39" s="822"/>
      <c r="SGU39" s="822"/>
      <c r="SGV39" s="822"/>
      <c r="SGW39" s="822"/>
      <c r="SGX39" s="822"/>
      <c r="SGY39" s="822"/>
      <c r="SGZ39" s="822"/>
      <c r="SHA39" s="822"/>
      <c r="SHB39" s="822"/>
      <c r="SHC39" s="822"/>
      <c r="SHD39" s="822"/>
      <c r="SHE39" s="822"/>
      <c r="SHF39" s="822"/>
      <c r="SHG39" s="822"/>
      <c r="SHH39" s="822"/>
      <c r="SHI39" s="822"/>
      <c r="SHJ39" s="822"/>
      <c r="SHK39" s="822"/>
      <c r="SHL39" s="822"/>
      <c r="SHM39" s="822"/>
      <c r="SHN39" s="822"/>
      <c r="SHO39" s="822"/>
      <c r="SHP39" s="822"/>
      <c r="SHQ39" s="822"/>
      <c r="SHR39" s="822"/>
      <c r="SHS39" s="822"/>
      <c r="SHT39" s="822"/>
      <c r="SHU39" s="822"/>
      <c r="SHV39" s="822"/>
      <c r="SHW39" s="822"/>
      <c r="SHX39" s="822"/>
      <c r="SHY39" s="822"/>
      <c r="SHZ39" s="822"/>
      <c r="SIA39" s="822"/>
      <c r="SIB39" s="822"/>
      <c r="SIC39" s="822"/>
      <c r="SID39" s="822"/>
      <c r="SIE39" s="822"/>
      <c r="SIF39" s="822"/>
      <c r="SIG39" s="822"/>
      <c r="SIH39" s="822"/>
      <c r="SII39" s="822"/>
      <c r="SIJ39" s="822"/>
      <c r="SIK39" s="822"/>
      <c r="SIL39" s="822"/>
      <c r="SIM39" s="822"/>
      <c r="SIN39" s="822"/>
      <c r="SIO39" s="822"/>
      <c r="SIP39" s="822"/>
      <c r="SIQ39" s="822"/>
      <c r="SIR39" s="822"/>
      <c r="SIS39" s="822"/>
      <c r="SIT39" s="822"/>
      <c r="SIU39" s="822"/>
      <c r="SIV39" s="822"/>
      <c r="SIW39" s="822"/>
      <c r="SIX39" s="822"/>
      <c r="SIY39" s="822"/>
      <c r="SIZ39" s="822"/>
      <c r="SJA39" s="822"/>
      <c r="SJB39" s="822"/>
      <c r="SJC39" s="822"/>
      <c r="SJD39" s="822"/>
      <c r="SJE39" s="822"/>
      <c r="SJF39" s="822"/>
      <c r="SJG39" s="822"/>
      <c r="SJH39" s="822"/>
      <c r="SJI39" s="822"/>
      <c r="SJJ39" s="822"/>
      <c r="SJK39" s="822"/>
      <c r="SJL39" s="822"/>
      <c r="SJM39" s="822"/>
      <c r="SJN39" s="822"/>
      <c r="SJO39" s="822"/>
      <c r="SJP39" s="822"/>
      <c r="SJQ39" s="822"/>
      <c r="SJR39" s="822"/>
      <c r="SJS39" s="822"/>
      <c r="SJT39" s="822"/>
      <c r="SJU39" s="822"/>
      <c r="SJV39" s="822"/>
      <c r="SJW39" s="822"/>
      <c r="SJX39" s="822"/>
      <c r="SJY39" s="822"/>
      <c r="SJZ39" s="822"/>
      <c r="SKA39" s="822"/>
      <c r="SKB39" s="822"/>
      <c r="SKC39" s="822"/>
      <c r="SKD39" s="822"/>
      <c r="SKE39" s="822"/>
      <c r="SKF39" s="822"/>
      <c r="SKG39" s="822"/>
      <c r="SKH39" s="822"/>
      <c r="SKI39" s="822"/>
      <c r="SKJ39" s="822"/>
      <c r="SKK39" s="822"/>
      <c r="SKL39" s="822"/>
      <c r="SKM39" s="822"/>
      <c r="SKN39" s="822"/>
      <c r="SKO39" s="822"/>
      <c r="SKP39" s="822"/>
      <c r="SKQ39" s="822"/>
      <c r="SKR39" s="822"/>
      <c r="SKS39" s="822"/>
      <c r="SKT39" s="822"/>
      <c r="SKU39" s="822"/>
      <c r="SKV39" s="822"/>
      <c r="SKW39" s="822"/>
      <c r="SKX39" s="822"/>
      <c r="SKY39" s="822"/>
      <c r="SKZ39" s="822"/>
      <c r="SLA39" s="822"/>
      <c r="SLB39" s="822"/>
      <c r="SLC39" s="822"/>
      <c r="SLD39" s="822"/>
      <c r="SLE39" s="822"/>
      <c r="SLF39" s="822"/>
      <c r="SLG39" s="822"/>
      <c r="SLH39" s="822"/>
      <c r="SLI39" s="822"/>
      <c r="SLJ39" s="822"/>
      <c r="SLK39" s="822"/>
      <c r="SLL39" s="822"/>
      <c r="SLM39" s="822"/>
      <c r="SLN39" s="822"/>
      <c r="SLO39" s="822"/>
      <c r="SLP39" s="822"/>
      <c r="SLQ39" s="822"/>
      <c r="SLR39" s="822"/>
      <c r="SLS39" s="822"/>
      <c r="SLT39" s="822"/>
      <c r="SLU39" s="822"/>
      <c r="SLV39" s="822"/>
      <c r="SLW39" s="822"/>
      <c r="SLX39" s="822"/>
      <c r="SLY39" s="822"/>
      <c r="SLZ39" s="822"/>
      <c r="SMA39" s="822"/>
      <c r="SMB39" s="822"/>
      <c r="SMC39" s="822"/>
      <c r="SMD39" s="822"/>
      <c r="SME39" s="822"/>
      <c r="SMF39" s="822"/>
      <c r="SMG39" s="822"/>
      <c r="SMH39" s="822"/>
      <c r="SMI39" s="822"/>
      <c r="SMJ39" s="822"/>
      <c r="SMK39" s="822"/>
      <c r="SML39" s="822"/>
      <c r="SMM39" s="822"/>
      <c r="SMN39" s="822"/>
      <c r="SMO39" s="822"/>
      <c r="SMP39" s="822"/>
      <c r="SMQ39" s="822"/>
      <c r="SMR39" s="822"/>
      <c r="SMS39" s="822"/>
      <c r="SMT39" s="822"/>
      <c r="SMU39" s="822"/>
      <c r="SMV39" s="822"/>
      <c r="SMW39" s="822"/>
      <c r="SMX39" s="822"/>
      <c r="SMY39" s="822"/>
      <c r="SMZ39" s="822"/>
      <c r="SNA39" s="822"/>
      <c r="SNB39" s="822"/>
      <c r="SNC39" s="822"/>
      <c r="SND39" s="822"/>
      <c r="SNE39" s="822"/>
      <c r="SNF39" s="822"/>
      <c r="SNG39" s="822"/>
      <c r="SNH39" s="822"/>
      <c r="SNI39" s="822"/>
      <c r="SNJ39" s="822"/>
      <c r="SNK39" s="822"/>
      <c r="SNL39" s="822"/>
      <c r="SNM39" s="822"/>
      <c r="SNN39" s="822"/>
      <c r="SNO39" s="822"/>
      <c r="SNP39" s="822"/>
      <c r="SNQ39" s="822"/>
      <c r="SNR39" s="822"/>
      <c r="SNS39" s="822"/>
      <c r="SNT39" s="822"/>
      <c r="SNU39" s="822"/>
      <c r="SNV39" s="822"/>
      <c r="SNW39" s="822"/>
      <c r="SNX39" s="822"/>
      <c r="SNY39" s="822"/>
      <c r="SNZ39" s="822"/>
      <c r="SOA39" s="822"/>
      <c r="SOB39" s="822"/>
      <c r="SOC39" s="822"/>
      <c r="SOD39" s="822"/>
      <c r="SOE39" s="822"/>
      <c r="SOF39" s="822"/>
      <c r="SOG39" s="822"/>
      <c r="SOH39" s="822"/>
      <c r="SOI39" s="822"/>
      <c r="SOJ39" s="822"/>
      <c r="SOK39" s="822"/>
      <c r="SOL39" s="822"/>
      <c r="SOM39" s="822"/>
      <c r="SON39" s="822"/>
      <c r="SOO39" s="822"/>
      <c r="SOP39" s="822"/>
      <c r="SOQ39" s="822"/>
      <c r="SOR39" s="822"/>
      <c r="SOS39" s="822"/>
      <c r="SOT39" s="822"/>
      <c r="SOU39" s="822"/>
      <c r="SOV39" s="822"/>
      <c r="SOW39" s="822"/>
      <c r="SOX39" s="822"/>
      <c r="SOY39" s="822"/>
      <c r="SOZ39" s="822"/>
      <c r="SPA39" s="822"/>
      <c r="SPB39" s="822"/>
      <c r="SPC39" s="822"/>
      <c r="SPD39" s="822"/>
      <c r="SPE39" s="822"/>
      <c r="SPF39" s="822"/>
      <c r="SPG39" s="822"/>
      <c r="SPH39" s="822"/>
      <c r="SPI39" s="822"/>
      <c r="SPJ39" s="822"/>
      <c r="SPK39" s="822"/>
      <c r="SPL39" s="822"/>
      <c r="SPM39" s="822"/>
      <c r="SPN39" s="822"/>
      <c r="SPO39" s="822"/>
      <c r="SPP39" s="822"/>
      <c r="SPQ39" s="822"/>
      <c r="SPR39" s="822"/>
      <c r="SPS39" s="822"/>
      <c r="SPT39" s="822"/>
      <c r="SPU39" s="822"/>
      <c r="SPV39" s="822"/>
      <c r="SPW39" s="822"/>
      <c r="SPX39" s="822"/>
      <c r="SPY39" s="822"/>
      <c r="SPZ39" s="822"/>
      <c r="SQA39" s="822"/>
      <c r="SQB39" s="822"/>
      <c r="SQC39" s="822"/>
      <c r="SQD39" s="822"/>
      <c r="SQE39" s="822"/>
      <c r="SQF39" s="822"/>
      <c r="SQG39" s="822"/>
      <c r="SQH39" s="822"/>
      <c r="SQI39" s="822"/>
      <c r="SQJ39" s="822"/>
      <c r="SQK39" s="822"/>
      <c r="SQL39" s="822"/>
      <c r="SQM39" s="822"/>
      <c r="SQN39" s="822"/>
      <c r="SQO39" s="822"/>
      <c r="SQP39" s="822"/>
      <c r="SQQ39" s="822"/>
      <c r="SQR39" s="822"/>
      <c r="SQS39" s="822"/>
      <c r="SQT39" s="822"/>
      <c r="SQU39" s="822"/>
      <c r="SQV39" s="822"/>
      <c r="SQW39" s="822"/>
      <c r="SQX39" s="822"/>
      <c r="SQY39" s="822"/>
      <c r="SQZ39" s="822"/>
      <c r="SRA39" s="822"/>
      <c r="SRB39" s="822"/>
      <c r="SRC39" s="822"/>
      <c r="SRD39" s="822"/>
      <c r="SRE39" s="822"/>
      <c r="SRF39" s="822"/>
      <c r="SRG39" s="822"/>
      <c r="SRH39" s="822"/>
      <c r="SRI39" s="822"/>
      <c r="SRJ39" s="822"/>
      <c r="SRK39" s="822"/>
      <c r="SRL39" s="822"/>
      <c r="SRM39" s="822"/>
      <c r="SRN39" s="822"/>
      <c r="SRO39" s="822"/>
      <c r="SRP39" s="822"/>
      <c r="SRQ39" s="822"/>
      <c r="SRR39" s="822"/>
      <c r="SRS39" s="822"/>
      <c r="SRT39" s="822"/>
      <c r="SRU39" s="822"/>
      <c r="SRV39" s="822"/>
      <c r="SRW39" s="822"/>
      <c r="SRX39" s="822"/>
      <c r="SRY39" s="822"/>
      <c r="SRZ39" s="822"/>
      <c r="SSA39" s="822"/>
      <c r="SSB39" s="822"/>
      <c r="SSC39" s="822"/>
      <c r="SSD39" s="822"/>
      <c r="SSE39" s="822"/>
      <c r="SSF39" s="822"/>
      <c r="SSG39" s="822"/>
      <c r="SSH39" s="822"/>
      <c r="SSI39" s="822"/>
      <c r="SSJ39" s="822"/>
      <c r="SSK39" s="822"/>
      <c r="SSL39" s="822"/>
      <c r="SSM39" s="822"/>
      <c r="SSN39" s="822"/>
      <c r="SSO39" s="822"/>
      <c r="SSP39" s="822"/>
      <c r="SSQ39" s="822"/>
      <c r="SSR39" s="822"/>
      <c r="SSS39" s="822"/>
      <c r="SST39" s="822"/>
      <c r="SSU39" s="822"/>
      <c r="SSV39" s="822"/>
      <c r="SSW39" s="822"/>
      <c r="SSX39" s="822"/>
      <c r="SSY39" s="822"/>
      <c r="SSZ39" s="822"/>
      <c r="STA39" s="822"/>
      <c r="STB39" s="822"/>
      <c r="STC39" s="822"/>
      <c r="STD39" s="822"/>
      <c r="STE39" s="822"/>
      <c r="STF39" s="822"/>
      <c r="STG39" s="822"/>
      <c r="STH39" s="822"/>
      <c r="STI39" s="822"/>
      <c r="STJ39" s="822"/>
      <c r="STK39" s="822"/>
      <c r="STL39" s="822"/>
      <c r="STM39" s="822"/>
      <c r="STN39" s="822"/>
      <c r="STO39" s="822"/>
      <c r="STP39" s="822"/>
      <c r="STQ39" s="822"/>
      <c r="STR39" s="822"/>
      <c r="STS39" s="822"/>
      <c r="STT39" s="822"/>
      <c r="STU39" s="822"/>
      <c r="STV39" s="822"/>
      <c r="STW39" s="822"/>
      <c r="STX39" s="822"/>
      <c r="STY39" s="822"/>
      <c r="STZ39" s="822"/>
      <c r="SUA39" s="822"/>
      <c r="SUB39" s="822"/>
      <c r="SUC39" s="822"/>
      <c r="SUD39" s="822"/>
      <c r="SUE39" s="822"/>
      <c r="SUF39" s="822"/>
      <c r="SUG39" s="822"/>
      <c r="SUH39" s="822"/>
      <c r="SUI39" s="822"/>
      <c r="SUJ39" s="822"/>
      <c r="SUK39" s="822"/>
      <c r="SUL39" s="822"/>
      <c r="SUM39" s="822"/>
      <c r="SUN39" s="822"/>
      <c r="SUO39" s="822"/>
      <c r="SUP39" s="822"/>
      <c r="SUQ39" s="822"/>
      <c r="SUR39" s="822"/>
      <c r="SUS39" s="822"/>
      <c r="SUT39" s="822"/>
      <c r="SUU39" s="822"/>
      <c r="SUV39" s="822"/>
      <c r="SUW39" s="822"/>
      <c r="SUX39" s="822"/>
      <c r="SUY39" s="822"/>
      <c r="SUZ39" s="822"/>
      <c r="SVA39" s="822"/>
      <c r="SVB39" s="822"/>
      <c r="SVC39" s="822"/>
      <c r="SVD39" s="822"/>
      <c r="SVE39" s="822"/>
      <c r="SVF39" s="822"/>
      <c r="SVG39" s="822"/>
      <c r="SVH39" s="822"/>
      <c r="SVI39" s="822"/>
      <c r="SVJ39" s="822"/>
      <c r="SVK39" s="822"/>
      <c r="SVL39" s="822"/>
      <c r="SVM39" s="822"/>
      <c r="SVN39" s="822"/>
      <c r="SVO39" s="822"/>
      <c r="SVP39" s="822"/>
      <c r="SVQ39" s="822"/>
      <c r="SVR39" s="822"/>
      <c r="SVS39" s="822"/>
      <c r="SVT39" s="822"/>
      <c r="SVU39" s="822"/>
      <c r="SVV39" s="822"/>
      <c r="SVW39" s="822"/>
      <c r="SVX39" s="822"/>
      <c r="SVY39" s="822"/>
      <c r="SVZ39" s="822"/>
      <c r="SWA39" s="822"/>
      <c r="SWB39" s="822"/>
      <c r="SWC39" s="822"/>
      <c r="SWD39" s="822"/>
      <c r="SWE39" s="822"/>
      <c r="SWF39" s="822"/>
      <c r="SWG39" s="822"/>
      <c r="SWH39" s="822"/>
      <c r="SWI39" s="822"/>
      <c r="SWJ39" s="822"/>
      <c r="SWK39" s="822"/>
      <c r="SWL39" s="822"/>
      <c r="SWM39" s="822"/>
      <c r="SWN39" s="822"/>
      <c r="SWO39" s="822"/>
      <c r="SWP39" s="822"/>
      <c r="SWQ39" s="822"/>
      <c r="SWR39" s="822"/>
      <c r="SWS39" s="822"/>
      <c r="SWT39" s="822"/>
      <c r="SWU39" s="822"/>
      <c r="SWV39" s="822"/>
      <c r="SWW39" s="822"/>
      <c r="SWX39" s="822"/>
      <c r="SWY39" s="822"/>
      <c r="SWZ39" s="822"/>
      <c r="SXA39" s="822"/>
      <c r="SXB39" s="822"/>
      <c r="SXC39" s="822"/>
      <c r="SXD39" s="822"/>
      <c r="SXE39" s="822"/>
      <c r="SXF39" s="822"/>
      <c r="SXG39" s="822"/>
      <c r="SXH39" s="822"/>
      <c r="SXI39" s="822"/>
      <c r="SXJ39" s="822"/>
      <c r="SXK39" s="822"/>
      <c r="SXL39" s="822"/>
      <c r="SXM39" s="822"/>
      <c r="SXN39" s="822"/>
      <c r="SXO39" s="822"/>
      <c r="SXP39" s="822"/>
      <c r="SXQ39" s="822"/>
      <c r="SXR39" s="822"/>
      <c r="SXS39" s="822"/>
      <c r="SXT39" s="822"/>
      <c r="SXU39" s="822"/>
      <c r="SXV39" s="822"/>
      <c r="SXW39" s="822"/>
      <c r="SXX39" s="822"/>
      <c r="SXY39" s="822"/>
      <c r="SXZ39" s="822"/>
      <c r="SYA39" s="822"/>
      <c r="SYB39" s="822"/>
      <c r="SYC39" s="822"/>
      <c r="SYD39" s="822"/>
      <c r="SYE39" s="822"/>
      <c r="SYF39" s="822"/>
      <c r="SYG39" s="822"/>
      <c r="SYH39" s="822"/>
      <c r="SYI39" s="822"/>
      <c r="SYJ39" s="822"/>
      <c r="SYK39" s="822"/>
      <c r="SYL39" s="822"/>
      <c r="SYM39" s="822"/>
      <c r="SYN39" s="822"/>
      <c r="SYO39" s="822"/>
      <c r="SYP39" s="822"/>
      <c r="SYQ39" s="822"/>
      <c r="SYR39" s="822"/>
      <c r="SYS39" s="822"/>
      <c r="SYT39" s="822"/>
      <c r="SYU39" s="822"/>
      <c r="SYV39" s="822"/>
      <c r="SYW39" s="822"/>
      <c r="SYX39" s="822"/>
      <c r="SYY39" s="822"/>
      <c r="SYZ39" s="822"/>
      <c r="SZA39" s="822"/>
      <c r="SZB39" s="822"/>
      <c r="SZC39" s="822"/>
      <c r="SZD39" s="822"/>
      <c r="SZE39" s="822"/>
      <c r="SZF39" s="822"/>
      <c r="SZG39" s="822"/>
      <c r="SZH39" s="822"/>
      <c r="SZI39" s="822"/>
      <c r="SZJ39" s="822"/>
      <c r="SZK39" s="822"/>
      <c r="SZL39" s="822"/>
      <c r="SZM39" s="822"/>
      <c r="SZN39" s="822"/>
      <c r="SZO39" s="822"/>
      <c r="SZP39" s="822"/>
      <c r="SZQ39" s="822"/>
      <c r="SZR39" s="822"/>
      <c r="SZS39" s="822"/>
      <c r="SZT39" s="822"/>
      <c r="SZU39" s="822"/>
      <c r="SZV39" s="822"/>
      <c r="SZW39" s="822"/>
      <c r="SZX39" s="822"/>
      <c r="SZY39" s="822"/>
      <c r="SZZ39" s="822"/>
      <c r="TAA39" s="822"/>
      <c r="TAB39" s="822"/>
      <c r="TAC39" s="822"/>
      <c r="TAD39" s="822"/>
      <c r="TAE39" s="822"/>
      <c r="TAF39" s="822"/>
      <c r="TAG39" s="822"/>
      <c r="TAH39" s="822"/>
      <c r="TAI39" s="822"/>
      <c r="TAJ39" s="822"/>
      <c r="TAK39" s="822"/>
      <c r="TAL39" s="822"/>
      <c r="TAM39" s="822"/>
      <c r="TAN39" s="822"/>
      <c r="TAO39" s="822"/>
      <c r="TAP39" s="822"/>
      <c r="TAQ39" s="822"/>
      <c r="TAR39" s="822"/>
      <c r="TAS39" s="822"/>
      <c r="TAT39" s="822"/>
      <c r="TAU39" s="822"/>
      <c r="TAV39" s="822"/>
      <c r="TAW39" s="822"/>
      <c r="TAX39" s="822"/>
      <c r="TAY39" s="822"/>
      <c r="TAZ39" s="822"/>
      <c r="TBA39" s="822"/>
      <c r="TBB39" s="822"/>
      <c r="TBC39" s="822"/>
      <c r="TBD39" s="822"/>
      <c r="TBE39" s="822"/>
      <c r="TBF39" s="822"/>
      <c r="TBG39" s="822"/>
      <c r="TBH39" s="822"/>
      <c r="TBI39" s="822"/>
      <c r="TBJ39" s="822"/>
      <c r="TBK39" s="822"/>
      <c r="TBL39" s="822"/>
      <c r="TBM39" s="822"/>
      <c r="TBN39" s="822"/>
      <c r="TBO39" s="822"/>
      <c r="TBP39" s="822"/>
      <c r="TBQ39" s="822"/>
      <c r="TBR39" s="822"/>
      <c r="TBS39" s="822"/>
      <c r="TBT39" s="822"/>
      <c r="TBU39" s="822"/>
      <c r="TBV39" s="822"/>
      <c r="TBW39" s="822"/>
      <c r="TBX39" s="822"/>
      <c r="TBY39" s="822"/>
      <c r="TBZ39" s="822"/>
      <c r="TCA39" s="822"/>
      <c r="TCB39" s="822"/>
      <c r="TCC39" s="822"/>
      <c r="TCD39" s="822"/>
      <c r="TCE39" s="822"/>
      <c r="TCF39" s="822"/>
      <c r="TCG39" s="822"/>
      <c r="TCH39" s="822"/>
      <c r="TCI39" s="822"/>
      <c r="TCJ39" s="822"/>
      <c r="TCK39" s="822"/>
      <c r="TCL39" s="822"/>
      <c r="TCM39" s="822"/>
      <c r="TCN39" s="822"/>
      <c r="TCO39" s="822"/>
      <c r="TCP39" s="822"/>
      <c r="TCQ39" s="822"/>
      <c r="TCR39" s="822"/>
      <c r="TCS39" s="822"/>
      <c r="TCT39" s="822"/>
      <c r="TCU39" s="822"/>
      <c r="TCV39" s="822"/>
      <c r="TCW39" s="822"/>
      <c r="TCX39" s="822"/>
      <c r="TCY39" s="822"/>
      <c r="TCZ39" s="822"/>
      <c r="TDA39" s="822"/>
      <c r="TDB39" s="822"/>
      <c r="TDC39" s="822"/>
      <c r="TDD39" s="822"/>
      <c r="TDE39" s="822"/>
      <c r="TDF39" s="822"/>
      <c r="TDG39" s="822"/>
      <c r="TDH39" s="822"/>
      <c r="TDI39" s="822"/>
      <c r="TDJ39" s="822"/>
      <c r="TDK39" s="822"/>
      <c r="TDL39" s="822"/>
      <c r="TDM39" s="822"/>
      <c r="TDN39" s="822"/>
      <c r="TDO39" s="822"/>
      <c r="TDP39" s="822"/>
      <c r="TDQ39" s="822"/>
      <c r="TDR39" s="822"/>
      <c r="TDS39" s="822"/>
      <c r="TDT39" s="822"/>
      <c r="TDU39" s="822"/>
      <c r="TDV39" s="822"/>
      <c r="TDW39" s="822"/>
      <c r="TDX39" s="822"/>
      <c r="TDY39" s="822"/>
      <c r="TDZ39" s="822"/>
      <c r="TEA39" s="822"/>
      <c r="TEB39" s="822"/>
      <c r="TEC39" s="822"/>
      <c r="TED39" s="822"/>
      <c r="TEE39" s="822"/>
      <c r="TEF39" s="822"/>
      <c r="TEG39" s="822"/>
      <c r="TEH39" s="822"/>
      <c r="TEI39" s="822"/>
      <c r="TEJ39" s="822"/>
      <c r="TEK39" s="822"/>
      <c r="TEL39" s="822"/>
      <c r="TEM39" s="822"/>
      <c r="TEN39" s="822"/>
      <c r="TEO39" s="822"/>
      <c r="TEP39" s="822"/>
      <c r="TEQ39" s="822"/>
      <c r="TER39" s="822"/>
      <c r="TES39" s="822"/>
      <c r="TET39" s="822"/>
      <c r="TEU39" s="822"/>
      <c r="TEV39" s="822"/>
      <c r="TEW39" s="822"/>
      <c r="TEX39" s="822"/>
      <c r="TEY39" s="822"/>
      <c r="TEZ39" s="822"/>
      <c r="TFA39" s="822"/>
      <c r="TFB39" s="822"/>
      <c r="TFC39" s="822"/>
      <c r="TFD39" s="822"/>
      <c r="TFE39" s="822"/>
      <c r="TFF39" s="822"/>
      <c r="TFG39" s="822"/>
      <c r="TFH39" s="822"/>
      <c r="TFI39" s="822"/>
      <c r="TFJ39" s="822"/>
      <c r="TFK39" s="822"/>
      <c r="TFL39" s="822"/>
      <c r="TFM39" s="822"/>
      <c r="TFN39" s="822"/>
      <c r="TFO39" s="822"/>
      <c r="TFP39" s="822"/>
      <c r="TFQ39" s="822"/>
      <c r="TFR39" s="822"/>
      <c r="TFS39" s="822"/>
      <c r="TFT39" s="822"/>
      <c r="TFU39" s="822"/>
      <c r="TFV39" s="822"/>
      <c r="TFW39" s="822"/>
      <c r="TFX39" s="822"/>
      <c r="TFY39" s="822"/>
      <c r="TFZ39" s="822"/>
      <c r="TGA39" s="822"/>
      <c r="TGB39" s="822"/>
      <c r="TGC39" s="822"/>
      <c r="TGD39" s="822"/>
      <c r="TGE39" s="822"/>
      <c r="TGF39" s="822"/>
      <c r="TGG39" s="822"/>
      <c r="TGH39" s="822"/>
      <c r="TGI39" s="822"/>
      <c r="TGJ39" s="822"/>
      <c r="TGK39" s="822"/>
      <c r="TGL39" s="822"/>
      <c r="TGM39" s="822"/>
      <c r="TGN39" s="822"/>
      <c r="TGO39" s="822"/>
      <c r="TGP39" s="822"/>
      <c r="TGQ39" s="822"/>
      <c r="TGR39" s="822"/>
      <c r="TGS39" s="822"/>
      <c r="TGT39" s="822"/>
      <c r="TGU39" s="822"/>
      <c r="TGV39" s="822"/>
      <c r="TGW39" s="822"/>
      <c r="TGX39" s="822"/>
      <c r="TGY39" s="822"/>
      <c r="TGZ39" s="822"/>
      <c r="THA39" s="822"/>
      <c r="THB39" s="822"/>
      <c r="THC39" s="822"/>
      <c r="THD39" s="822"/>
      <c r="THE39" s="822"/>
      <c r="THF39" s="822"/>
      <c r="THG39" s="822"/>
      <c r="THH39" s="822"/>
      <c r="THI39" s="822"/>
      <c r="THJ39" s="822"/>
      <c r="THK39" s="822"/>
      <c r="THL39" s="822"/>
      <c r="THM39" s="822"/>
      <c r="THN39" s="822"/>
      <c r="THO39" s="822"/>
      <c r="THP39" s="822"/>
      <c r="THQ39" s="822"/>
      <c r="THR39" s="822"/>
      <c r="THS39" s="822"/>
      <c r="THT39" s="822"/>
      <c r="THU39" s="822"/>
      <c r="THV39" s="822"/>
      <c r="THW39" s="822"/>
      <c r="THX39" s="822"/>
      <c r="THY39" s="822"/>
      <c r="THZ39" s="822"/>
      <c r="TIA39" s="822"/>
      <c r="TIB39" s="822"/>
      <c r="TIC39" s="822"/>
      <c r="TID39" s="822"/>
      <c r="TIE39" s="822"/>
      <c r="TIF39" s="822"/>
      <c r="TIG39" s="822"/>
      <c r="TIH39" s="822"/>
      <c r="TII39" s="822"/>
      <c r="TIJ39" s="822"/>
      <c r="TIK39" s="822"/>
      <c r="TIL39" s="822"/>
      <c r="TIM39" s="822"/>
      <c r="TIN39" s="822"/>
      <c r="TIO39" s="822"/>
      <c r="TIP39" s="822"/>
      <c r="TIQ39" s="822"/>
      <c r="TIR39" s="822"/>
      <c r="TIS39" s="822"/>
      <c r="TIT39" s="822"/>
      <c r="TIU39" s="822"/>
      <c r="TIV39" s="822"/>
      <c r="TIW39" s="822"/>
      <c r="TIX39" s="822"/>
      <c r="TIY39" s="822"/>
      <c r="TIZ39" s="822"/>
      <c r="TJA39" s="822"/>
      <c r="TJB39" s="822"/>
      <c r="TJC39" s="822"/>
      <c r="TJD39" s="822"/>
      <c r="TJE39" s="822"/>
      <c r="TJF39" s="822"/>
      <c r="TJG39" s="822"/>
      <c r="TJH39" s="822"/>
      <c r="TJI39" s="822"/>
      <c r="TJJ39" s="822"/>
      <c r="TJK39" s="822"/>
      <c r="TJL39" s="822"/>
      <c r="TJM39" s="822"/>
      <c r="TJN39" s="822"/>
      <c r="TJO39" s="822"/>
      <c r="TJP39" s="822"/>
      <c r="TJQ39" s="822"/>
      <c r="TJR39" s="822"/>
      <c r="TJS39" s="822"/>
      <c r="TJT39" s="822"/>
      <c r="TJU39" s="822"/>
      <c r="TJV39" s="822"/>
      <c r="TJW39" s="822"/>
      <c r="TJX39" s="822"/>
      <c r="TJY39" s="822"/>
      <c r="TJZ39" s="822"/>
      <c r="TKA39" s="822"/>
      <c r="TKB39" s="822"/>
      <c r="TKC39" s="822"/>
      <c r="TKD39" s="822"/>
      <c r="TKE39" s="822"/>
      <c r="TKF39" s="822"/>
      <c r="TKG39" s="822"/>
      <c r="TKH39" s="822"/>
      <c r="TKI39" s="822"/>
      <c r="TKJ39" s="822"/>
      <c r="TKK39" s="822"/>
      <c r="TKL39" s="822"/>
      <c r="TKM39" s="822"/>
      <c r="TKN39" s="822"/>
      <c r="TKO39" s="822"/>
      <c r="TKP39" s="822"/>
      <c r="TKQ39" s="822"/>
      <c r="TKR39" s="822"/>
      <c r="TKS39" s="822"/>
      <c r="TKT39" s="822"/>
      <c r="TKU39" s="822"/>
      <c r="TKV39" s="822"/>
      <c r="TKW39" s="822"/>
      <c r="TKX39" s="822"/>
      <c r="TKY39" s="822"/>
      <c r="TKZ39" s="822"/>
      <c r="TLA39" s="822"/>
      <c r="TLB39" s="822"/>
      <c r="TLC39" s="822"/>
      <c r="TLD39" s="822"/>
      <c r="TLE39" s="822"/>
      <c r="TLF39" s="822"/>
      <c r="TLG39" s="822"/>
      <c r="TLH39" s="822"/>
      <c r="TLI39" s="822"/>
      <c r="TLJ39" s="822"/>
      <c r="TLK39" s="822"/>
      <c r="TLL39" s="822"/>
      <c r="TLM39" s="822"/>
      <c r="TLN39" s="822"/>
      <c r="TLO39" s="822"/>
      <c r="TLP39" s="822"/>
      <c r="TLQ39" s="822"/>
      <c r="TLR39" s="822"/>
      <c r="TLS39" s="822"/>
      <c r="TLT39" s="822"/>
      <c r="TLU39" s="822"/>
      <c r="TLV39" s="822"/>
      <c r="TLW39" s="822"/>
      <c r="TLX39" s="822"/>
      <c r="TLY39" s="822"/>
      <c r="TLZ39" s="822"/>
      <c r="TMA39" s="822"/>
      <c r="TMB39" s="822"/>
      <c r="TMC39" s="822"/>
      <c r="TMD39" s="822"/>
      <c r="TME39" s="822"/>
      <c r="TMF39" s="822"/>
      <c r="TMG39" s="822"/>
      <c r="TMH39" s="822"/>
      <c r="TMI39" s="822"/>
      <c r="TMJ39" s="822"/>
      <c r="TMK39" s="822"/>
      <c r="TML39" s="822"/>
      <c r="TMM39" s="822"/>
      <c r="TMN39" s="822"/>
      <c r="TMO39" s="822"/>
      <c r="TMP39" s="822"/>
      <c r="TMQ39" s="822"/>
      <c r="TMR39" s="822"/>
      <c r="TMS39" s="822"/>
      <c r="TMT39" s="822"/>
      <c r="TMU39" s="822"/>
      <c r="TMV39" s="822"/>
      <c r="TMW39" s="822"/>
      <c r="TMX39" s="822"/>
      <c r="TMY39" s="822"/>
      <c r="TMZ39" s="822"/>
      <c r="TNA39" s="822"/>
      <c r="TNB39" s="822"/>
      <c r="TNC39" s="822"/>
      <c r="TND39" s="822"/>
      <c r="TNE39" s="822"/>
      <c r="TNF39" s="822"/>
      <c r="TNG39" s="822"/>
      <c r="TNH39" s="822"/>
      <c r="TNI39" s="822"/>
      <c r="TNJ39" s="822"/>
      <c r="TNK39" s="822"/>
      <c r="TNL39" s="822"/>
      <c r="TNM39" s="822"/>
      <c r="TNN39" s="822"/>
      <c r="TNO39" s="822"/>
      <c r="TNP39" s="822"/>
      <c r="TNQ39" s="822"/>
      <c r="TNR39" s="822"/>
      <c r="TNS39" s="822"/>
      <c r="TNT39" s="822"/>
      <c r="TNU39" s="822"/>
      <c r="TNV39" s="822"/>
      <c r="TNW39" s="822"/>
      <c r="TNX39" s="822"/>
      <c r="TNY39" s="822"/>
      <c r="TNZ39" s="822"/>
      <c r="TOA39" s="822"/>
      <c r="TOB39" s="822"/>
      <c r="TOC39" s="822"/>
      <c r="TOD39" s="822"/>
      <c r="TOE39" s="822"/>
      <c r="TOF39" s="822"/>
      <c r="TOG39" s="822"/>
      <c r="TOH39" s="822"/>
      <c r="TOI39" s="822"/>
      <c r="TOJ39" s="822"/>
      <c r="TOK39" s="822"/>
      <c r="TOL39" s="822"/>
      <c r="TOM39" s="822"/>
      <c r="TON39" s="822"/>
      <c r="TOO39" s="822"/>
      <c r="TOP39" s="822"/>
      <c r="TOQ39" s="822"/>
      <c r="TOR39" s="822"/>
      <c r="TOS39" s="822"/>
      <c r="TOT39" s="822"/>
      <c r="TOU39" s="822"/>
      <c r="TOV39" s="822"/>
      <c r="TOW39" s="822"/>
      <c r="TOX39" s="822"/>
      <c r="TOY39" s="822"/>
      <c r="TOZ39" s="822"/>
      <c r="TPA39" s="822"/>
      <c r="TPB39" s="822"/>
      <c r="TPC39" s="822"/>
      <c r="TPD39" s="822"/>
      <c r="TPE39" s="822"/>
      <c r="TPF39" s="822"/>
      <c r="TPG39" s="822"/>
      <c r="TPH39" s="822"/>
      <c r="TPI39" s="822"/>
      <c r="TPJ39" s="822"/>
      <c r="TPK39" s="822"/>
      <c r="TPL39" s="822"/>
      <c r="TPM39" s="822"/>
      <c r="TPN39" s="822"/>
      <c r="TPO39" s="822"/>
      <c r="TPP39" s="822"/>
      <c r="TPQ39" s="822"/>
      <c r="TPR39" s="822"/>
      <c r="TPS39" s="822"/>
      <c r="TPT39" s="822"/>
      <c r="TPU39" s="822"/>
      <c r="TPV39" s="822"/>
      <c r="TPW39" s="822"/>
      <c r="TPX39" s="822"/>
      <c r="TPY39" s="822"/>
      <c r="TPZ39" s="822"/>
      <c r="TQA39" s="822"/>
      <c r="TQB39" s="822"/>
      <c r="TQC39" s="822"/>
      <c r="TQD39" s="822"/>
      <c r="TQE39" s="822"/>
      <c r="TQF39" s="822"/>
      <c r="TQG39" s="822"/>
      <c r="TQH39" s="822"/>
      <c r="TQI39" s="822"/>
      <c r="TQJ39" s="822"/>
      <c r="TQK39" s="822"/>
      <c r="TQL39" s="822"/>
      <c r="TQM39" s="822"/>
      <c r="TQN39" s="822"/>
      <c r="TQO39" s="822"/>
      <c r="TQP39" s="822"/>
      <c r="TQQ39" s="822"/>
      <c r="TQR39" s="822"/>
      <c r="TQS39" s="822"/>
      <c r="TQT39" s="822"/>
      <c r="TQU39" s="822"/>
      <c r="TQV39" s="822"/>
      <c r="TQW39" s="822"/>
      <c r="TQX39" s="822"/>
      <c r="TQY39" s="822"/>
      <c r="TQZ39" s="822"/>
      <c r="TRA39" s="822"/>
      <c r="TRB39" s="822"/>
      <c r="TRC39" s="822"/>
      <c r="TRD39" s="822"/>
      <c r="TRE39" s="822"/>
      <c r="TRF39" s="822"/>
      <c r="TRG39" s="822"/>
      <c r="TRH39" s="822"/>
      <c r="TRI39" s="822"/>
      <c r="TRJ39" s="822"/>
      <c r="TRK39" s="822"/>
      <c r="TRL39" s="822"/>
      <c r="TRM39" s="822"/>
      <c r="TRN39" s="822"/>
      <c r="TRO39" s="822"/>
      <c r="TRP39" s="822"/>
      <c r="TRQ39" s="822"/>
      <c r="TRR39" s="822"/>
      <c r="TRS39" s="822"/>
      <c r="TRT39" s="822"/>
      <c r="TRU39" s="822"/>
      <c r="TRV39" s="822"/>
      <c r="TRW39" s="822"/>
      <c r="TRX39" s="822"/>
      <c r="TRY39" s="822"/>
      <c r="TRZ39" s="822"/>
      <c r="TSA39" s="822"/>
      <c r="TSB39" s="822"/>
      <c r="TSC39" s="822"/>
      <c r="TSD39" s="822"/>
      <c r="TSE39" s="822"/>
      <c r="TSF39" s="822"/>
      <c r="TSG39" s="822"/>
      <c r="TSH39" s="822"/>
      <c r="TSI39" s="822"/>
      <c r="TSJ39" s="822"/>
      <c r="TSK39" s="822"/>
      <c r="TSL39" s="822"/>
      <c r="TSM39" s="822"/>
      <c r="TSN39" s="822"/>
      <c r="TSO39" s="822"/>
      <c r="TSP39" s="822"/>
      <c r="TSQ39" s="822"/>
      <c r="TSR39" s="822"/>
      <c r="TSS39" s="822"/>
      <c r="TST39" s="822"/>
      <c r="TSU39" s="822"/>
      <c r="TSV39" s="822"/>
      <c r="TSW39" s="822"/>
      <c r="TSX39" s="822"/>
      <c r="TSY39" s="822"/>
      <c r="TSZ39" s="822"/>
      <c r="TTA39" s="822"/>
      <c r="TTB39" s="822"/>
      <c r="TTC39" s="822"/>
      <c r="TTD39" s="822"/>
      <c r="TTE39" s="822"/>
      <c r="TTF39" s="822"/>
      <c r="TTG39" s="822"/>
      <c r="TTH39" s="822"/>
      <c r="TTI39" s="822"/>
      <c r="TTJ39" s="822"/>
      <c r="TTK39" s="822"/>
      <c r="TTL39" s="822"/>
      <c r="TTM39" s="822"/>
      <c r="TTN39" s="822"/>
      <c r="TTO39" s="822"/>
      <c r="TTP39" s="822"/>
      <c r="TTQ39" s="822"/>
      <c r="TTR39" s="822"/>
      <c r="TTS39" s="822"/>
      <c r="TTT39" s="822"/>
      <c r="TTU39" s="822"/>
      <c r="TTV39" s="822"/>
      <c r="TTW39" s="822"/>
      <c r="TTX39" s="822"/>
      <c r="TTY39" s="822"/>
      <c r="TTZ39" s="822"/>
      <c r="TUA39" s="822"/>
      <c r="TUB39" s="822"/>
      <c r="TUC39" s="822"/>
      <c r="TUD39" s="822"/>
      <c r="TUE39" s="822"/>
      <c r="TUF39" s="822"/>
      <c r="TUG39" s="822"/>
      <c r="TUH39" s="822"/>
      <c r="TUI39" s="822"/>
      <c r="TUJ39" s="822"/>
      <c r="TUK39" s="822"/>
      <c r="TUL39" s="822"/>
      <c r="TUM39" s="822"/>
      <c r="TUN39" s="822"/>
      <c r="TUO39" s="822"/>
      <c r="TUP39" s="822"/>
      <c r="TUQ39" s="822"/>
      <c r="TUR39" s="822"/>
      <c r="TUS39" s="822"/>
      <c r="TUT39" s="822"/>
      <c r="TUU39" s="822"/>
      <c r="TUV39" s="822"/>
      <c r="TUW39" s="822"/>
      <c r="TUX39" s="822"/>
      <c r="TUY39" s="822"/>
      <c r="TUZ39" s="822"/>
      <c r="TVA39" s="822"/>
      <c r="TVB39" s="822"/>
      <c r="TVC39" s="822"/>
      <c r="TVD39" s="822"/>
      <c r="TVE39" s="822"/>
      <c r="TVF39" s="822"/>
      <c r="TVG39" s="822"/>
      <c r="TVH39" s="822"/>
      <c r="TVI39" s="822"/>
      <c r="TVJ39" s="822"/>
      <c r="TVK39" s="822"/>
      <c r="TVL39" s="822"/>
      <c r="TVM39" s="822"/>
      <c r="TVN39" s="822"/>
      <c r="TVO39" s="822"/>
      <c r="TVP39" s="822"/>
      <c r="TVQ39" s="822"/>
      <c r="TVR39" s="822"/>
      <c r="TVS39" s="822"/>
      <c r="TVT39" s="822"/>
      <c r="TVU39" s="822"/>
      <c r="TVV39" s="822"/>
      <c r="TVW39" s="822"/>
      <c r="TVX39" s="822"/>
      <c r="TVY39" s="822"/>
      <c r="TVZ39" s="822"/>
      <c r="TWA39" s="822"/>
      <c r="TWB39" s="822"/>
      <c r="TWC39" s="822"/>
      <c r="TWD39" s="822"/>
      <c r="TWE39" s="822"/>
      <c r="TWF39" s="822"/>
      <c r="TWG39" s="822"/>
      <c r="TWH39" s="822"/>
      <c r="TWI39" s="822"/>
      <c r="TWJ39" s="822"/>
      <c r="TWK39" s="822"/>
      <c r="TWL39" s="822"/>
      <c r="TWM39" s="822"/>
      <c r="TWN39" s="822"/>
      <c r="TWO39" s="822"/>
      <c r="TWP39" s="822"/>
      <c r="TWQ39" s="822"/>
      <c r="TWR39" s="822"/>
      <c r="TWS39" s="822"/>
      <c r="TWT39" s="822"/>
      <c r="TWU39" s="822"/>
      <c r="TWV39" s="822"/>
      <c r="TWW39" s="822"/>
      <c r="TWX39" s="822"/>
      <c r="TWY39" s="822"/>
      <c r="TWZ39" s="822"/>
      <c r="TXA39" s="822"/>
      <c r="TXB39" s="822"/>
      <c r="TXC39" s="822"/>
      <c r="TXD39" s="822"/>
      <c r="TXE39" s="822"/>
      <c r="TXF39" s="822"/>
      <c r="TXG39" s="822"/>
      <c r="TXH39" s="822"/>
      <c r="TXI39" s="822"/>
      <c r="TXJ39" s="822"/>
      <c r="TXK39" s="822"/>
      <c r="TXL39" s="822"/>
      <c r="TXM39" s="822"/>
      <c r="TXN39" s="822"/>
      <c r="TXO39" s="822"/>
      <c r="TXP39" s="822"/>
      <c r="TXQ39" s="822"/>
      <c r="TXR39" s="822"/>
      <c r="TXS39" s="822"/>
      <c r="TXT39" s="822"/>
      <c r="TXU39" s="822"/>
      <c r="TXV39" s="822"/>
      <c r="TXW39" s="822"/>
      <c r="TXX39" s="822"/>
      <c r="TXY39" s="822"/>
      <c r="TXZ39" s="822"/>
      <c r="TYA39" s="822"/>
      <c r="TYB39" s="822"/>
      <c r="TYC39" s="822"/>
      <c r="TYD39" s="822"/>
      <c r="TYE39" s="822"/>
      <c r="TYF39" s="822"/>
      <c r="TYG39" s="822"/>
      <c r="TYH39" s="822"/>
      <c r="TYI39" s="822"/>
      <c r="TYJ39" s="822"/>
      <c r="TYK39" s="822"/>
      <c r="TYL39" s="822"/>
      <c r="TYM39" s="822"/>
      <c r="TYN39" s="822"/>
      <c r="TYO39" s="822"/>
      <c r="TYP39" s="822"/>
      <c r="TYQ39" s="822"/>
      <c r="TYR39" s="822"/>
      <c r="TYS39" s="822"/>
      <c r="TYT39" s="822"/>
      <c r="TYU39" s="822"/>
      <c r="TYV39" s="822"/>
      <c r="TYW39" s="822"/>
      <c r="TYX39" s="822"/>
      <c r="TYY39" s="822"/>
      <c r="TYZ39" s="822"/>
      <c r="TZA39" s="822"/>
      <c r="TZB39" s="822"/>
      <c r="TZC39" s="822"/>
      <c r="TZD39" s="822"/>
      <c r="TZE39" s="822"/>
      <c r="TZF39" s="822"/>
      <c r="TZG39" s="822"/>
      <c r="TZH39" s="822"/>
      <c r="TZI39" s="822"/>
      <c r="TZJ39" s="822"/>
      <c r="TZK39" s="822"/>
      <c r="TZL39" s="822"/>
      <c r="TZM39" s="822"/>
      <c r="TZN39" s="822"/>
      <c r="TZO39" s="822"/>
      <c r="TZP39" s="822"/>
      <c r="TZQ39" s="822"/>
      <c r="TZR39" s="822"/>
      <c r="TZS39" s="822"/>
      <c r="TZT39" s="822"/>
      <c r="TZU39" s="822"/>
      <c r="TZV39" s="822"/>
      <c r="TZW39" s="822"/>
      <c r="TZX39" s="822"/>
      <c r="TZY39" s="822"/>
      <c r="TZZ39" s="822"/>
      <c r="UAA39" s="822"/>
      <c r="UAB39" s="822"/>
      <c r="UAC39" s="822"/>
      <c r="UAD39" s="822"/>
      <c r="UAE39" s="822"/>
      <c r="UAF39" s="822"/>
      <c r="UAG39" s="822"/>
      <c r="UAH39" s="822"/>
      <c r="UAI39" s="822"/>
      <c r="UAJ39" s="822"/>
      <c r="UAK39" s="822"/>
      <c r="UAL39" s="822"/>
      <c r="UAM39" s="822"/>
      <c r="UAN39" s="822"/>
      <c r="UAO39" s="822"/>
      <c r="UAP39" s="822"/>
      <c r="UAQ39" s="822"/>
      <c r="UAR39" s="822"/>
      <c r="UAS39" s="822"/>
      <c r="UAT39" s="822"/>
      <c r="UAU39" s="822"/>
      <c r="UAV39" s="822"/>
      <c r="UAW39" s="822"/>
      <c r="UAX39" s="822"/>
      <c r="UAY39" s="822"/>
      <c r="UAZ39" s="822"/>
      <c r="UBA39" s="822"/>
      <c r="UBB39" s="822"/>
      <c r="UBC39" s="822"/>
      <c r="UBD39" s="822"/>
      <c r="UBE39" s="822"/>
      <c r="UBF39" s="822"/>
      <c r="UBG39" s="822"/>
      <c r="UBH39" s="822"/>
      <c r="UBI39" s="822"/>
      <c r="UBJ39" s="822"/>
      <c r="UBK39" s="822"/>
      <c r="UBL39" s="822"/>
      <c r="UBM39" s="822"/>
      <c r="UBN39" s="822"/>
      <c r="UBO39" s="822"/>
      <c r="UBP39" s="822"/>
      <c r="UBQ39" s="822"/>
      <c r="UBR39" s="822"/>
      <c r="UBS39" s="822"/>
      <c r="UBT39" s="822"/>
      <c r="UBU39" s="822"/>
      <c r="UBV39" s="822"/>
      <c r="UBW39" s="822"/>
      <c r="UBX39" s="822"/>
      <c r="UBY39" s="822"/>
      <c r="UBZ39" s="822"/>
      <c r="UCA39" s="822"/>
      <c r="UCB39" s="822"/>
      <c r="UCC39" s="822"/>
      <c r="UCD39" s="822"/>
      <c r="UCE39" s="822"/>
      <c r="UCF39" s="822"/>
      <c r="UCG39" s="822"/>
      <c r="UCH39" s="822"/>
      <c r="UCI39" s="822"/>
      <c r="UCJ39" s="822"/>
      <c r="UCK39" s="822"/>
      <c r="UCL39" s="822"/>
      <c r="UCM39" s="822"/>
      <c r="UCN39" s="822"/>
      <c r="UCO39" s="822"/>
      <c r="UCP39" s="822"/>
      <c r="UCQ39" s="822"/>
      <c r="UCR39" s="822"/>
      <c r="UCS39" s="822"/>
      <c r="UCT39" s="822"/>
      <c r="UCU39" s="822"/>
      <c r="UCV39" s="822"/>
      <c r="UCW39" s="822"/>
      <c r="UCX39" s="822"/>
      <c r="UCY39" s="822"/>
      <c r="UCZ39" s="822"/>
      <c r="UDA39" s="822"/>
      <c r="UDB39" s="822"/>
      <c r="UDC39" s="822"/>
      <c r="UDD39" s="822"/>
      <c r="UDE39" s="822"/>
      <c r="UDF39" s="822"/>
      <c r="UDG39" s="822"/>
      <c r="UDH39" s="822"/>
      <c r="UDI39" s="822"/>
      <c r="UDJ39" s="822"/>
      <c r="UDK39" s="822"/>
      <c r="UDL39" s="822"/>
      <c r="UDM39" s="822"/>
      <c r="UDN39" s="822"/>
      <c r="UDO39" s="822"/>
      <c r="UDP39" s="822"/>
      <c r="UDQ39" s="822"/>
      <c r="UDR39" s="822"/>
      <c r="UDS39" s="822"/>
      <c r="UDT39" s="822"/>
      <c r="UDU39" s="822"/>
      <c r="UDV39" s="822"/>
      <c r="UDW39" s="822"/>
      <c r="UDX39" s="822"/>
      <c r="UDY39" s="822"/>
      <c r="UDZ39" s="822"/>
      <c r="UEA39" s="822"/>
      <c r="UEB39" s="822"/>
      <c r="UEC39" s="822"/>
      <c r="UED39" s="822"/>
      <c r="UEE39" s="822"/>
      <c r="UEF39" s="822"/>
      <c r="UEG39" s="822"/>
      <c r="UEH39" s="822"/>
      <c r="UEI39" s="822"/>
      <c r="UEJ39" s="822"/>
      <c r="UEK39" s="822"/>
      <c r="UEL39" s="822"/>
      <c r="UEM39" s="822"/>
      <c r="UEN39" s="822"/>
      <c r="UEO39" s="822"/>
      <c r="UEP39" s="822"/>
      <c r="UEQ39" s="822"/>
      <c r="UER39" s="822"/>
      <c r="UES39" s="822"/>
      <c r="UET39" s="822"/>
      <c r="UEU39" s="822"/>
      <c r="UEV39" s="822"/>
      <c r="UEW39" s="822"/>
      <c r="UEX39" s="822"/>
      <c r="UEY39" s="822"/>
      <c r="UEZ39" s="822"/>
      <c r="UFA39" s="822"/>
      <c r="UFB39" s="822"/>
      <c r="UFC39" s="822"/>
      <c r="UFD39" s="822"/>
      <c r="UFE39" s="822"/>
      <c r="UFF39" s="822"/>
      <c r="UFG39" s="822"/>
      <c r="UFH39" s="822"/>
      <c r="UFI39" s="822"/>
      <c r="UFJ39" s="822"/>
      <c r="UFK39" s="822"/>
      <c r="UFL39" s="822"/>
      <c r="UFM39" s="822"/>
      <c r="UFN39" s="822"/>
      <c r="UFO39" s="822"/>
      <c r="UFP39" s="822"/>
      <c r="UFQ39" s="822"/>
      <c r="UFR39" s="822"/>
      <c r="UFS39" s="822"/>
      <c r="UFT39" s="822"/>
      <c r="UFU39" s="822"/>
      <c r="UFV39" s="822"/>
      <c r="UFW39" s="822"/>
      <c r="UFX39" s="822"/>
      <c r="UFY39" s="822"/>
      <c r="UFZ39" s="822"/>
      <c r="UGA39" s="822"/>
      <c r="UGB39" s="822"/>
      <c r="UGC39" s="822"/>
      <c r="UGD39" s="822"/>
      <c r="UGE39" s="822"/>
      <c r="UGF39" s="822"/>
      <c r="UGG39" s="822"/>
      <c r="UGH39" s="822"/>
      <c r="UGI39" s="822"/>
      <c r="UGJ39" s="822"/>
      <c r="UGK39" s="822"/>
      <c r="UGL39" s="822"/>
      <c r="UGM39" s="822"/>
      <c r="UGN39" s="822"/>
      <c r="UGO39" s="822"/>
      <c r="UGP39" s="822"/>
      <c r="UGQ39" s="822"/>
      <c r="UGR39" s="822"/>
      <c r="UGS39" s="822"/>
      <c r="UGT39" s="822"/>
      <c r="UGU39" s="822"/>
      <c r="UGV39" s="822"/>
      <c r="UGW39" s="822"/>
      <c r="UGX39" s="822"/>
      <c r="UGY39" s="822"/>
      <c r="UGZ39" s="822"/>
      <c r="UHA39" s="822"/>
      <c r="UHB39" s="822"/>
      <c r="UHC39" s="822"/>
      <c r="UHD39" s="822"/>
      <c r="UHE39" s="822"/>
      <c r="UHF39" s="822"/>
      <c r="UHG39" s="822"/>
      <c r="UHH39" s="822"/>
      <c r="UHI39" s="822"/>
      <c r="UHJ39" s="822"/>
      <c r="UHK39" s="822"/>
      <c r="UHL39" s="822"/>
      <c r="UHM39" s="822"/>
      <c r="UHN39" s="822"/>
      <c r="UHO39" s="822"/>
      <c r="UHP39" s="822"/>
      <c r="UHQ39" s="822"/>
      <c r="UHR39" s="822"/>
      <c r="UHS39" s="822"/>
      <c r="UHT39" s="822"/>
      <c r="UHU39" s="822"/>
      <c r="UHV39" s="822"/>
      <c r="UHW39" s="822"/>
      <c r="UHX39" s="822"/>
      <c r="UHY39" s="822"/>
      <c r="UHZ39" s="822"/>
      <c r="UIA39" s="822"/>
      <c r="UIB39" s="822"/>
      <c r="UIC39" s="822"/>
      <c r="UID39" s="822"/>
      <c r="UIE39" s="822"/>
      <c r="UIF39" s="822"/>
      <c r="UIG39" s="822"/>
      <c r="UIH39" s="822"/>
      <c r="UII39" s="822"/>
      <c r="UIJ39" s="822"/>
      <c r="UIK39" s="822"/>
      <c r="UIL39" s="822"/>
      <c r="UIM39" s="822"/>
      <c r="UIN39" s="822"/>
      <c r="UIO39" s="822"/>
      <c r="UIP39" s="822"/>
      <c r="UIQ39" s="822"/>
      <c r="UIR39" s="822"/>
      <c r="UIS39" s="822"/>
      <c r="UIT39" s="822"/>
      <c r="UIU39" s="822"/>
      <c r="UIV39" s="822"/>
      <c r="UIW39" s="822"/>
      <c r="UIX39" s="822"/>
      <c r="UIY39" s="822"/>
      <c r="UIZ39" s="822"/>
      <c r="UJA39" s="822"/>
      <c r="UJB39" s="822"/>
      <c r="UJC39" s="822"/>
      <c r="UJD39" s="822"/>
      <c r="UJE39" s="822"/>
      <c r="UJF39" s="822"/>
      <c r="UJG39" s="822"/>
      <c r="UJH39" s="822"/>
      <c r="UJI39" s="822"/>
      <c r="UJJ39" s="822"/>
      <c r="UJK39" s="822"/>
      <c r="UJL39" s="822"/>
      <c r="UJM39" s="822"/>
      <c r="UJN39" s="822"/>
      <c r="UJO39" s="822"/>
      <c r="UJP39" s="822"/>
      <c r="UJQ39" s="822"/>
      <c r="UJR39" s="822"/>
      <c r="UJS39" s="822"/>
      <c r="UJT39" s="822"/>
      <c r="UJU39" s="822"/>
      <c r="UJV39" s="822"/>
      <c r="UJW39" s="822"/>
      <c r="UJX39" s="822"/>
      <c r="UJY39" s="822"/>
      <c r="UJZ39" s="822"/>
      <c r="UKA39" s="822"/>
      <c r="UKB39" s="822"/>
      <c r="UKC39" s="822"/>
      <c r="UKD39" s="822"/>
      <c r="UKE39" s="822"/>
      <c r="UKF39" s="822"/>
      <c r="UKG39" s="822"/>
      <c r="UKH39" s="822"/>
      <c r="UKI39" s="822"/>
      <c r="UKJ39" s="822"/>
      <c r="UKK39" s="822"/>
      <c r="UKL39" s="822"/>
      <c r="UKM39" s="822"/>
      <c r="UKN39" s="822"/>
      <c r="UKO39" s="822"/>
      <c r="UKP39" s="822"/>
      <c r="UKQ39" s="822"/>
      <c r="UKR39" s="822"/>
      <c r="UKS39" s="822"/>
      <c r="UKT39" s="822"/>
      <c r="UKU39" s="822"/>
      <c r="UKV39" s="822"/>
      <c r="UKW39" s="822"/>
      <c r="UKX39" s="822"/>
      <c r="UKY39" s="822"/>
      <c r="UKZ39" s="822"/>
      <c r="ULA39" s="822"/>
      <c r="ULB39" s="822"/>
      <c r="ULC39" s="822"/>
      <c r="ULD39" s="822"/>
      <c r="ULE39" s="822"/>
      <c r="ULF39" s="822"/>
      <c r="ULG39" s="822"/>
      <c r="ULH39" s="822"/>
      <c r="ULI39" s="822"/>
      <c r="ULJ39" s="822"/>
      <c r="ULK39" s="822"/>
      <c r="ULL39" s="822"/>
      <c r="ULM39" s="822"/>
      <c r="ULN39" s="822"/>
      <c r="ULO39" s="822"/>
      <c r="ULP39" s="822"/>
      <c r="ULQ39" s="822"/>
      <c r="ULR39" s="822"/>
      <c r="ULS39" s="822"/>
      <c r="ULT39" s="822"/>
      <c r="ULU39" s="822"/>
      <c r="ULV39" s="822"/>
      <c r="ULW39" s="822"/>
      <c r="ULX39" s="822"/>
      <c r="ULY39" s="822"/>
      <c r="ULZ39" s="822"/>
      <c r="UMA39" s="822"/>
      <c r="UMB39" s="822"/>
      <c r="UMC39" s="822"/>
      <c r="UMD39" s="822"/>
      <c r="UME39" s="822"/>
      <c r="UMF39" s="822"/>
      <c r="UMG39" s="822"/>
      <c r="UMH39" s="822"/>
      <c r="UMI39" s="822"/>
      <c r="UMJ39" s="822"/>
      <c r="UMK39" s="822"/>
      <c r="UML39" s="822"/>
      <c r="UMM39" s="822"/>
      <c r="UMN39" s="822"/>
      <c r="UMO39" s="822"/>
      <c r="UMP39" s="822"/>
      <c r="UMQ39" s="822"/>
      <c r="UMR39" s="822"/>
      <c r="UMS39" s="822"/>
      <c r="UMT39" s="822"/>
      <c r="UMU39" s="822"/>
      <c r="UMV39" s="822"/>
      <c r="UMW39" s="822"/>
      <c r="UMX39" s="822"/>
      <c r="UMY39" s="822"/>
      <c r="UMZ39" s="822"/>
      <c r="UNA39" s="822"/>
      <c r="UNB39" s="822"/>
      <c r="UNC39" s="822"/>
      <c r="UND39" s="822"/>
      <c r="UNE39" s="822"/>
      <c r="UNF39" s="822"/>
      <c r="UNG39" s="822"/>
      <c r="UNH39" s="822"/>
      <c r="UNI39" s="822"/>
      <c r="UNJ39" s="822"/>
      <c r="UNK39" s="822"/>
      <c r="UNL39" s="822"/>
      <c r="UNM39" s="822"/>
      <c r="UNN39" s="822"/>
      <c r="UNO39" s="822"/>
      <c r="UNP39" s="822"/>
      <c r="UNQ39" s="822"/>
      <c r="UNR39" s="822"/>
      <c r="UNS39" s="822"/>
      <c r="UNT39" s="822"/>
      <c r="UNU39" s="822"/>
      <c r="UNV39" s="822"/>
      <c r="UNW39" s="822"/>
      <c r="UNX39" s="822"/>
      <c r="UNY39" s="822"/>
      <c r="UNZ39" s="822"/>
      <c r="UOA39" s="822"/>
      <c r="UOB39" s="822"/>
      <c r="UOC39" s="822"/>
      <c r="UOD39" s="822"/>
      <c r="UOE39" s="822"/>
      <c r="UOF39" s="822"/>
      <c r="UOG39" s="822"/>
      <c r="UOH39" s="822"/>
      <c r="UOI39" s="822"/>
      <c r="UOJ39" s="822"/>
      <c r="UOK39" s="822"/>
      <c r="UOL39" s="822"/>
      <c r="UOM39" s="822"/>
      <c r="UON39" s="822"/>
      <c r="UOO39" s="822"/>
      <c r="UOP39" s="822"/>
      <c r="UOQ39" s="822"/>
      <c r="UOR39" s="822"/>
      <c r="UOS39" s="822"/>
      <c r="UOT39" s="822"/>
      <c r="UOU39" s="822"/>
      <c r="UOV39" s="822"/>
      <c r="UOW39" s="822"/>
      <c r="UOX39" s="822"/>
      <c r="UOY39" s="822"/>
      <c r="UOZ39" s="822"/>
      <c r="UPA39" s="822"/>
      <c r="UPB39" s="822"/>
      <c r="UPC39" s="822"/>
      <c r="UPD39" s="822"/>
      <c r="UPE39" s="822"/>
      <c r="UPF39" s="822"/>
      <c r="UPG39" s="822"/>
      <c r="UPH39" s="822"/>
      <c r="UPI39" s="822"/>
      <c r="UPJ39" s="822"/>
      <c r="UPK39" s="822"/>
      <c r="UPL39" s="822"/>
      <c r="UPM39" s="822"/>
      <c r="UPN39" s="822"/>
      <c r="UPO39" s="822"/>
      <c r="UPP39" s="822"/>
      <c r="UPQ39" s="822"/>
      <c r="UPR39" s="822"/>
      <c r="UPS39" s="822"/>
      <c r="UPT39" s="822"/>
      <c r="UPU39" s="822"/>
      <c r="UPV39" s="822"/>
      <c r="UPW39" s="822"/>
      <c r="UPX39" s="822"/>
      <c r="UPY39" s="822"/>
      <c r="UPZ39" s="822"/>
      <c r="UQA39" s="822"/>
      <c r="UQB39" s="822"/>
      <c r="UQC39" s="822"/>
      <c r="UQD39" s="822"/>
      <c r="UQE39" s="822"/>
      <c r="UQF39" s="822"/>
      <c r="UQG39" s="822"/>
      <c r="UQH39" s="822"/>
      <c r="UQI39" s="822"/>
      <c r="UQJ39" s="822"/>
      <c r="UQK39" s="822"/>
      <c r="UQL39" s="822"/>
      <c r="UQM39" s="822"/>
      <c r="UQN39" s="822"/>
      <c r="UQO39" s="822"/>
      <c r="UQP39" s="822"/>
      <c r="UQQ39" s="822"/>
      <c r="UQR39" s="822"/>
      <c r="UQS39" s="822"/>
      <c r="UQT39" s="822"/>
      <c r="UQU39" s="822"/>
      <c r="UQV39" s="822"/>
      <c r="UQW39" s="822"/>
      <c r="UQX39" s="822"/>
      <c r="UQY39" s="822"/>
      <c r="UQZ39" s="822"/>
      <c r="URA39" s="822"/>
      <c r="URB39" s="822"/>
      <c r="URC39" s="822"/>
      <c r="URD39" s="822"/>
      <c r="URE39" s="822"/>
      <c r="URF39" s="822"/>
      <c r="URG39" s="822"/>
      <c r="URH39" s="822"/>
      <c r="URI39" s="822"/>
      <c r="URJ39" s="822"/>
      <c r="URK39" s="822"/>
      <c r="URL39" s="822"/>
      <c r="URM39" s="822"/>
      <c r="URN39" s="822"/>
      <c r="URO39" s="822"/>
      <c r="URP39" s="822"/>
      <c r="URQ39" s="822"/>
      <c r="URR39" s="822"/>
      <c r="URS39" s="822"/>
      <c r="URT39" s="822"/>
      <c r="URU39" s="822"/>
      <c r="URV39" s="822"/>
      <c r="URW39" s="822"/>
      <c r="URX39" s="822"/>
      <c r="URY39" s="822"/>
      <c r="URZ39" s="822"/>
      <c r="USA39" s="822"/>
      <c r="USB39" s="822"/>
      <c r="USC39" s="822"/>
      <c r="USD39" s="822"/>
      <c r="USE39" s="822"/>
      <c r="USF39" s="822"/>
      <c r="USG39" s="822"/>
      <c r="USH39" s="822"/>
      <c r="USI39" s="822"/>
      <c r="USJ39" s="822"/>
      <c r="USK39" s="822"/>
      <c r="USL39" s="822"/>
      <c r="USM39" s="822"/>
      <c r="USN39" s="822"/>
      <c r="USO39" s="822"/>
      <c r="USP39" s="822"/>
      <c r="USQ39" s="822"/>
      <c r="USR39" s="822"/>
      <c r="USS39" s="822"/>
      <c r="UST39" s="822"/>
      <c r="USU39" s="822"/>
      <c r="USV39" s="822"/>
      <c r="USW39" s="822"/>
      <c r="USX39" s="822"/>
      <c r="USY39" s="822"/>
      <c r="USZ39" s="822"/>
      <c r="UTA39" s="822"/>
      <c r="UTB39" s="822"/>
      <c r="UTC39" s="822"/>
      <c r="UTD39" s="822"/>
      <c r="UTE39" s="822"/>
      <c r="UTF39" s="822"/>
      <c r="UTG39" s="822"/>
      <c r="UTH39" s="822"/>
      <c r="UTI39" s="822"/>
      <c r="UTJ39" s="822"/>
      <c r="UTK39" s="822"/>
      <c r="UTL39" s="822"/>
      <c r="UTM39" s="822"/>
      <c r="UTN39" s="822"/>
      <c r="UTO39" s="822"/>
      <c r="UTP39" s="822"/>
      <c r="UTQ39" s="822"/>
      <c r="UTR39" s="822"/>
      <c r="UTS39" s="822"/>
      <c r="UTT39" s="822"/>
      <c r="UTU39" s="822"/>
      <c r="UTV39" s="822"/>
      <c r="UTW39" s="822"/>
      <c r="UTX39" s="822"/>
      <c r="UTY39" s="822"/>
      <c r="UTZ39" s="822"/>
      <c r="UUA39" s="822"/>
      <c r="UUB39" s="822"/>
      <c r="UUC39" s="822"/>
      <c r="UUD39" s="822"/>
      <c r="UUE39" s="822"/>
      <c r="UUF39" s="822"/>
      <c r="UUG39" s="822"/>
      <c r="UUH39" s="822"/>
      <c r="UUI39" s="822"/>
      <c r="UUJ39" s="822"/>
      <c r="UUK39" s="822"/>
      <c r="UUL39" s="822"/>
      <c r="UUM39" s="822"/>
      <c r="UUN39" s="822"/>
      <c r="UUO39" s="822"/>
      <c r="UUP39" s="822"/>
      <c r="UUQ39" s="822"/>
      <c r="UUR39" s="822"/>
      <c r="UUS39" s="822"/>
      <c r="UUT39" s="822"/>
      <c r="UUU39" s="822"/>
      <c r="UUV39" s="822"/>
      <c r="UUW39" s="822"/>
      <c r="UUX39" s="822"/>
      <c r="UUY39" s="822"/>
      <c r="UUZ39" s="822"/>
      <c r="UVA39" s="822"/>
      <c r="UVB39" s="822"/>
      <c r="UVC39" s="822"/>
      <c r="UVD39" s="822"/>
      <c r="UVE39" s="822"/>
      <c r="UVF39" s="822"/>
      <c r="UVG39" s="822"/>
      <c r="UVH39" s="822"/>
      <c r="UVI39" s="822"/>
      <c r="UVJ39" s="822"/>
      <c r="UVK39" s="822"/>
      <c r="UVL39" s="822"/>
      <c r="UVM39" s="822"/>
      <c r="UVN39" s="822"/>
      <c r="UVO39" s="822"/>
      <c r="UVP39" s="822"/>
      <c r="UVQ39" s="822"/>
      <c r="UVR39" s="822"/>
      <c r="UVS39" s="822"/>
      <c r="UVT39" s="822"/>
      <c r="UVU39" s="822"/>
      <c r="UVV39" s="822"/>
      <c r="UVW39" s="822"/>
      <c r="UVX39" s="822"/>
      <c r="UVY39" s="822"/>
      <c r="UVZ39" s="822"/>
      <c r="UWA39" s="822"/>
      <c r="UWB39" s="822"/>
      <c r="UWC39" s="822"/>
      <c r="UWD39" s="822"/>
      <c r="UWE39" s="822"/>
      <c r="UWF39" s="822"/>
      <c r="UWG39" s="822"/>
      <c r="UWH39" s="822"/>
      <c r="UWI39" s="822"/>
      <c r="UWJ39" s="822"/>
      <c r="UWK39" s="822"/>
      <c r="UWL39" s="822"/>
      <c r="UWM39" s="822"/>
      <c r="UWN39" s="822"/>
      <c r="UWO39" s="822"/>
      <c r="UWP39" s="822"/>
      <c r="UWQ39" s="822"/>
      <c r="UWR39" s="822"/>
      <c r="UWS39" s="822"/>
      <c r="UWT39" s="822"/>
      <c r="UWU39" s="822"/>
      <c r="UWV39" s="822"/>
      <c r="UWW39" s="822"/>
      <c r="UWX39" s="822"/>
      <c r="UWY39" s="822"/>
      <c r="UWZ39" s="822"/>
      <c r="UXA39" s="822"/>
      <c r="UXB39" s="822"/>
      <c r="UXC39" s="822"/>
      <c r="UXD39" s="822"/>
      <c r="UXE39" s="822"/>
      <c r="UXF39" s="822"/>
      <c r="UXG39" s="822"/>
      <c r="UXH39" s="822"/>
      <c r="UXI39" s="822"/>
      <c r="UXJ39" s="822"/>
      <c r="UXK39" s="822"/>
      <c r="UXL39" s="822"/>
      <c r="UXM39" s="822"/>
      <c r="UXN39" s="822"/>
      <c r="UXO39" s="822"/>
      <c r="UXP39" s="822"/>
      <c r="UXQ39" s="822"/>
      <c r="UXR39" s="822"/>
      <c r="UXS39" s="822"/>
      <c r="UXT39" s="822"/>
      <c r="UXU39" s="822"/>
      <c r="UXV39" s="822"/>
      <c r="UXW39" s="822"/>
      <c r="UXX39" s="822"/>
      <c r="UXY39" s="822"/>
      <c r="UXZ39" s="822"/>
      <c r="UYA39" s="822"/>
      <c r="UYB39" s="822"/>
      <c r="UYC39" s="822"/>
      <c r="UYD39" s="822"/>
      <c r="UYE39" s="822"/>
      <c r="UYF39" s="822"/>
      <c r="UYG39" s="822"/>
      <c r="UYH39" s="822"/>
      <c r="UYI39" s="822"/>
      <c r="UYJ39" s="822"/>
      <c r="UYK39" s="822"/>
      <c r="UYL39" s="822"/>
      <c r="UYM39" s="822"/>
      <c r="UYN39" s="822"/>
      <c r="UYO39" s="822"/>
      <c r="UYP39" s="822"/>
      <c r="UYQ39" s="822"/>
      <c r="UYR39" s="822"/>
      <c r="UYS39" s="822"/>
      <c r="UYT39" s="822"/>
      <c r="UYU39" s="822"/>
      <c r="UYV39" s="822"/>
      <c r="UYW39" s="822"/>
      <c r="UYX39" s="822"/>
      <c r="UYY39" s="822"/>
      <c r="UYZ39" s="822"/>
      <c r="UZA39" s="822"/>
      <c r="UZB39" s="822"/>
      <c r="UZC39" s="822"/>
      <c r="UZD39" s="822"/>
      <c r="UZE39" s="822"/>
      <c r="UZF39" s="822"/>
      <c r="UZG39" s="822"/>
      <c r="UZH39" s="822"/>
      <c r="UZI39" s="822"/>
      <c r="UZJ39" s="822"/>
      <c r="UZK39" s="822"/>
      <c r="UZL39" s="822"/>
      <c r="UZM39" s="822"/>
      <c r="UZN39" s="822"/>
      <c r="UZO39" s="822"/>
      <c r="UZP39" s="822"/>
      <c r="UZQ39" s="822"/>
      <c r="UZR39" s="822"/>
      <c r="UZS39" s="822"/>
      <c r="UZT39" s="822"/>
      <c r="UZU39" s="822"/>
      <c r="UZV39" s="822"/>
      <c r="UZW39" s="822"/>
      <c r="UZX39" s="822"/>
      <c r="UZY39" s="822"/>
      <c r="UZZ39" s="822"/>
      <c r="VAA39" s="822"/>
      <c r="VAB39" s="822"/>
      <c r="VAC39" s="822"/>
      <c r="VAD39" s="822"/>
      <c r="VAE39" s="822"/>
      <c r="VAF39" s="822"/>
      <c r="VAG39" s="822"/>
      <c r="VAH39" s="822"/>
      <c r="VAI39" s="822"/>
      <c r="VAJ39" s="822"/>
      <c r="VAK39" s="822"/>
      <c r="VAL39" s="822"/>
      <c r="VAM39" s="822"/>
      <c r="VAN39" s="822"/>
      <c r="VAO39" s="822"/>
      <c r="VAP39" s="822"/>
      <c r="VAQ39" s="822"/>
      <c r="VAR39" s="822"/>
      <c r="VAS39" s="822"/>
      <c r="VAT39" s="822"/>
      <c r="VAU39" s="822"/>
      <c r="VAV39" s="822"/>
      <c r="VAW39" s="822"/>
      <c r="VAX39" s="822"/>
      <c r="VAY39" s="822"/>
      <c r="VAZ39" s="822"/>
      <c r="VBA39" s="822"/>
      <c r="VBB39" s="822"/>
      <c r="VBC39" s="822"/>
      <c r="VBD39" s="822"/>
      <c r="VBE39" s="822"/>
      <c r="VBF39" s="822"/>
      <c r="VBG39" s="822"/>
      <c r="VBH39" s="822"/>
      <c r="VBI39" s="822"/>
      <c r="VBJ39" s="822"/>
      <c r="VBK39" s="822"/>
      <c r="VBL39" s="822"/>
      <c r="VBM39" s="822"/>
      <c r="VBN39" s="822"/>
      <c r="VBO39" s="822"/>
      <c r="VBP39" s="822"/>
      <c r="VBQ39" s="822"/>
      <c r="VBR39" s="822"/>
      <c r="VBS39" s="822"/>
      <c r="VBT39" s="822"/>
      <c r="VBU39" s="822"/>
      <c r="VBV39" s="822"/>
      <c r="VBW39" s="822"/>
      <c r="VBX39" s="822"/>
      <c r="VBY39" s="822"/>
      <c r="VBZ39" s="822"/>
      <c r="VCA39" s="822"/>
      <c r="VCB39" s="822"/>
      <c r="VCC39" s="822"/>
      <c r="VCD39" s="822"/>
      <c r="VCE39" s="822"/>
      <c r="VCF39" s="822"/>
      <c r="VCG39" s="822"/>
      <c r="VCH39" s="822"/>
      <c r="VCI39" s="822"/>
      <c r="VCJ39" s="822"/>
      <c r="VCK39" s="822"/>
      <c r="VCL39" s="822"/>
      <c r="VCM39" s="822"/>
      <c r="VCN39" s="822"/>
      <c r="VCO39" s="822"/>
      <c r="VCP39" s="822"/>
      <c r="VCQ39" s="822"/>
      <c r="VCR39" s="822"/>
      <c r="VCS39" s="822"/>
      <c r="VCT39" s="822"/>
      <c r="VCU39" s="822"/>
      <c r="VCV39" s="822"/>
      <c r="VCW39" s="822"/>
      <c r="VCX39" s="822"/>
      <c r="VCY39" s="822"/>
      <c r="VCZ39" s="822"/>
      <c r="VDA39" s="822"/>
      <c r="VDB39" s="822"/>
      <c r="VDC39" s="822"/>
      <c r="VDD39" s="822"/>
      <c r="VDE39" s="822"/>
      <c r="VDF39" s="822"/>
      <c r="VDG39" s="822"/>
      <c r="VDH39" s="822"/>
      <c r="VDI39" s="822"/>
      <c r="VDJ39" s="822"/>
      <c r="VDK39" s="822"/>
      <c r="VDL39" s="822"/>
      <c r="VDM39" s="822"/>
      <c r="VDN39" s="822"/>
      <c r="VDO39" s="822"/>
      <c r="VDP39" s="822"/>
      <c r="VDQ39" s="822"/>
      <c r="VDR39" s="822"/>
      <c r="VDS39" s="822"/>
      <c r="VDT39" s="822"/>
      <c r="VDU39" s="822"/>
      <c r="VDV39" s="822"/>
      <c r="VDW39" s="822"/>
      <c r="VDX39" s="822"/>
      <c r="VDY39" s="822"/>
      <c r="VDZ39" s="822"/>
      <c r="VEA39" s="822"/>
      <c r="VEB39" s="822"/>
      <c r="VEC39" s="822"/>
      <c r="VED39" s="822"/>
      <c r="VEE39" s="822"/>
      <c r="VEF39" s="822"/>
      <c r="VEG39" s="822"/>
      <c r="VEH39" s="822"/>
      <c r="VEI39" s="822"/>
      <c r="VEJ39" s="822"/>
      <c r="VEK39" s="822"/>
      <c r="VEL39" s="822"/>
      <c r="VEM39" s="822"/>
      <c r="VEN39" s="822"/>
      <c r="VEO39" s="822"/>
      <c r="VEP39" s="822"/>
      <c r="VEQ39" s="822"/>
      <c r="VER39" s="822"/>
      <c r="VES39" s="822"/>
      <c r="VET39" s="822"/>
      <c r="VEU39" s="822"/>
      <c r="VEV39" s="822"/>
      <c r="VEW39" s="822"/>
      <c r="VEX39" s="822"/>
      <c r="VEY39" s="822"/>
      <c r="VEZ39" s="822"/>
      <c r="VFA39" s="822"/>
      <c r="VFB39" s="822"/>
      <c r="VFC39" s="822"/>
      <c r="VFD39" s="822"/>
      <c r="VFE39" s="822"/>
      <c r="VFF39" s="822"/>
      <c r="VFG39" s="822"/>
      <c r="VFH39" s="822"/>
      <c r="VFI39" s="822"/>
      <c r="VFJ39" s="822"/>
      <c r="VFK39" s="822"/>
      <c r="VFL39" s="822"/>
      <c r="VFM39" s="822"/>
      <c r="VFN39" s="822"/>
      <c r="VFO39" s="822"/>
      <c r="VFP39" s="822"/>
      <c r="VFQ39" s="822"/>
      <c r="VFR39" s="822"/>
      <c r="VFS39" s="822"/>
      <c r="VFT39" s="822"/>
      <c r="VFU39" s="822"/>
      <c r="VFV39" s="822"/>
      <c r="VFW39" s="822"/>
      <c r="VFX39" s="822"/>
      <c r="VFY39" s="822"/>
      <c r="VFZ39" s="822"/>
      <c r="VGA39" s="822"/>
      <c r="VGB39" s="822"/>
      <c r="VGC39" s="822"/>
      <c r="VGD39" s="822"/>
      <c r="VGE39" s="822"/>
      <c r="VGF39" s="822"/>
      <c r="VGG39" s="822"/>
      <c r="VGH39" s="822"/>
      <c r="VGI39" s="822"/>
      <c r="VGJ39" s="822"/>
      <c r="VGK39" s="822"/>
      <c r="VGL39" s="822"/>
      <c r="VGM39" s="822"/>
      <c r="VGN39" s="822"/>
      <c r="VGO39" s="822"/>
      <c r="VGP39" s="822"/>
      <c r="VGQ39" s="822"/>
      <c r="VGR39" s="822"/>
      <c r="VGS39" s="822"/>
      <c r="VGT39" s="822"/>
      <c r="VGU39" s="822"/>
      <c r="VGV39" s="822"/>
      <c r="VGW39" s="822"/>
      <c r="VGX39" s="822"/>
      <c r="VGY39" s="822"/>
      <c r="VGZ39" s="822"/>
      <c r="VHA39" s="822"/>
      <c r="VHB39" s="822"/>
      <c r="VHC39" s="822"/>
      <c r="VHD39" s="822"/>
      <c r="VHE39" s="822"/>
      <c r="VHF39" s="822"/>
      <c r="VHG39" s="822"/>
      <c r="VHH39" s="822"/>
      <c r="VHI39" s="822"/>
      <c r="VHJ39" s="822"/>
      <c r="VHK39" s="822"/>
      <c r="VHL39" s="822"/>
      <c r="VHM39" s="822"/>
      <c r="VHN39" s="822"/>
      <c r="VHO39" s="822"/>
      <c r="VHP39" s="822"/>
      <c r="VHQ39" s="822"/>
      <c r="VHR39" s="822"/>
      <c r="VHS39" s="822"/>
      <c r="VHT39" s="822"/>
      <c r="VHU39" s="822"/>
      <c r="VHV39" s="822"/>
      <c r="VHW39" s="822"/>
      <c r="VHX39" s="822"/>
      <c r="VHY39" s="822"/>
      <c r="VHZ39" s="822"/>
      <c r="VIA39" s="822"/>
      <c r="VIB39" s="822"/>
      <c r="VIC39" s="822"/>
      <c r="VID39" s="822"/>
      <c r="VIE39" s="822"/>
      <c r="VIF39" s="822"/>
      <c r="VIG39" s="822"/>
      <c r="VIH39" s="822"/>
      <c r="VII39" s="822"/>
      <c r="VIJ39" s="822"/>
      <c r="VIK39" s="822"/>
      <c r="VIL39" s="822"/>
      <c r="VIM39" s="822"/>
      <c r="VIN39" s="822"/>
      <c r="VIO39" s="822"/>
      <c r="VIP39" s="822"/>
      <c r="VIQ39" s="822"/>
      <c r="VIR39" s="822"/>
      <c r="VIS39" s="822"/>
      <c r="VIT39" s="822"/>
      <c r="VIU39" s="822"/>
      <c r="VIV39" s="822"/>
      <c r="VIW39" s="822"/>
      <c r="VIX39" s="822"/>
      <c r="VIY39" s="822"/>
      <c r="VIZ39" s="822"/>
      <c r="VJA39" s="822"/>
      <c r="VJB39" s="822"/>
      <c r="VJC39" s="822"/>
      <c r="VJD39" s="822"/>
      <c r="VJE39" s="822"/>
      <c r="VJF39" s="822"/>
      <c r="VJG39" s="822"/>
      <c r="VJH39" s="822"/>
      <c r="VJI39" s="822"/>
      <c r="VJJ39" s="822"/>
      <c r="VJK39" s="822"/>
      <c r="VJL39" s="822"/>
      <c r="VJM39" s="822"/>
      <c r="VJN39" s="822"/>
      <c r="VJO39" s="822"/>
      <c r="VJP39" s="822"/>
      <c r="VJQ39" s="822"/>
      <c r="VJR39" s="822"/>
      <c r="VJS39" s="822"/>
      <c r="VJT39" s="822"/>
      <c r="VJU39" s="822"/>
      <c r="VJV39" s="822"/>
      <c r="VJW39" s="822"/>
      <c r="VJX39" s="822"/>
      <c r="VJY39" s="822"/>
      <c r="VJZ39" s="822"/>
      <c r="VKA39" s="822"/>
      <c r="VKB39" s="822"/>
      <c r="VKC39" s="822"/>
      <c r="VKD39" s="822"/>
      <c r="VKE39" s="822"/>
      <c r="VKF39" s="822"/>
      <c r="VKG39" s="822"/>
      <c r="VKH39" s="822"/>
      <c r="VKI39" s="822"/>
      <c r="VKJ39" s="822"/>
      <c r="VKK39" s="822"/>
      <c r="VKL39" s="822"/>
      <c r="VKM39" s="822"/>
      <c r="VKN39" s="822"/>
      <c r="VKO39" s="822"/>
      <c r="VKP39" s="822"/>
      <c r="VKQ39" s="822"/>
      <c r="VKR39" s="822"/>
      <c r="VKS39" s="822"/>
      <c r="VKT39" s="822"/>
      <c r="VKU39" s="822"/>
      <c r="VKV39" s="822"/>
      <c r="VKW39" s="822"/>
      <c r="VKX39" s="822"/>
      <c r="VKY39" s="822"/>
      <c r="VKZ39" s="822"/>
      <c r="VLA39" s="822"/>
      <c r="VLB39" s="822"/>
      <c r="VLC39" s="822"/>
      <c r="VLD39" s="822"/>
      <c r="VLE39" s="822"/>
      <c r="VLF39" s="822"/>
      <c r="VLG39" s="822"/>
      <c r="VLH39" s="822"/>
      <c r="VLI39" s="822"/>
      <c r="VLJ39" s="822"/>
      <c r="VLK39" s="822"/>
      <c r="VLL39" s="822"/>
      <c r="VLM39" s="822"/>
      <c r="VLN39" s="822"/>
      <c r="VLO39" s="822"/>
      <c r="VLP39" s="822"/>
      <c r="VLQ39" s="822"/>
      <c r="VLR39" s="822"/>
      <c r="VLS39" s="822"/>
      <c r="VLT39" s="822"/>
      <c r="VLU39" s="822"/>
      <c r="VLV39" s="822"/>
      <c r="VLW39" s="822"/>
      <c r="VLX39" s="822"/>
      <c r="VLY39" s="822"/>
      <c r="VLZ39" s="822"/>
      <c r="VMA39" s="822"/>
      <c r="VMB39" s="822"/>
      <c r="VMC39" s="822"/>
      <c r="VMD39" s="822"/>
      <c r="VME39" s="822"/>
      <c r="VMF39" s="822"/>
      <c r="VMG39" s="822"/>
      <c r="VMH39" s="822"/>
      <c r="VMI39" s="822"/>
      <c r="VMJ39" s="822"/>
      <c r="VMK39" s="822"/>
      <c r="VML39" s="822"/>
      <c r="VMM39" s="822"/>
      <c r="VMN39" s="822"/>
      <c r="VMO39" s="822"/>
      <c r="VMP39" s="822"/>
      <c r="VMQ39" s="822"/>
      <c r="VMR39" s="822"/>
      <c r="VMS39" s="822"/>
      <c r="VMT39" s="822"/>
      <c r="VMU39" s="822"/>
      <c r="VMV39" s="822"/>
      <c r="VMW39" s="822"/>
      <c r="VMX39" s="822"/>
      <c r="VMY39" s="822"/>
      <c r="VMZ39" s="822"/>
      <c r="VNA39" s="822"/>
      <c r="VNB39" s="822"/>
      <c r="VNC39" s="822"/>
      <c r="VND39" s="822"/>
      <c r="VNE39" s="822"/>
      <c r="VNF39" s="822"/>
      <c r="VNG39" s="822"/>
      <c r="VNH39" s="822"/>
      <c r="VNI39" s="822"/>
      <c r="VNJ39" s="822"/>
      <c r="VNK39" s="822"/>
      <c r="VNL39" s="822"/>
      <c r="VNM39" s="822"/>
      <c r="VNN39" s="822"/>
      <c r="VNO39" s="822"/>
      <c r="VNP39" s="822"/>
      <c r="VNQ39" s="822"/>
      <c r="VNR39" s="822"/>
      <c r="VNS39" s="822"/>
      <c r="VNT39" s="822"/>
      <c r="VNU39" s="822"/>
      <c r="VNV39" s="822"/>
      <c r="VNW39" s="822"/>
      <c r="VNX39" s="822"/>
      <c r="VNY39" s="822"/>
      <c r="VNZ39" s="822"/>
      <c r="VOA39" s="822"/>
      <c r="VOB39" s="822"/>
      <c r="VOC39" s="822"/>
      <c r="VOD39" s="822"/>
      <c r="VOE39" s="822"/>
      <c r="VOF39" s="822"/>
      <c r="VOG39" s="822"/>
      <c r="VOH39" s="822"/>
      <c r="VOI39" s="822"/>
      <c r="VOJ39" s="822"/>
      <c r="VOK39" s="822"/>
      <c r="VOL39" s="822"/>
      <c r="VOM39" s="822"/>
      <c r="VON39" s="822"/>
      <c r="VOO39" s="822"/>
      <c r="VOP39" s="822"/>
      <c r="VOQ39" s="822"/>
      <c r="VOR39" s="822"/>
      <c r="VOS39" s="822"/>
      <c r="VOT39" s="822"/>
      <c r="VOU39" s="822"/>
      <c r="VOV39" s="822"/>
      <c r="VOW39" s="822"/>
      <c r="VOX39" s="822"/>
      <c r="VOY39" s="822"/>
      <c r="VOZ39" s="822"/>
      <c r="VPA39" s="822"/>
      <c r="VPB39" s="822"/>
      <c r="VPC39" s="822"/>
      <c r="VPD39" s="822"/>
      <c r="VPE39" s="822"/>
      <c r="VPF39" s="822"/>
      <c r="VPG39" s="822"/>
      <c r="VPH39" s="822"/>
      <c r="VPI39" s="822"/>
      <c r="VPJ39" s="822"/>
      <c r="VPK39" s="822"/>
      <c r="VPL39" s="822"/>
      <c r="VPM39" s="822"/>
      <c r="VPN39" s="822"/>
      <c r="VPO39" s="822"/>
      <c r="VPP39" s="822"/>
      <c r="VPQ39" s="822"/>
      <c r="VPR39" s="822"/>
      <c r="VPS39" s="822"/>
      <c r="VPT39" s="822"/>
      <c r="VPU39" s="822"/>
      <c r="VPV39" s="822"/>
      <c r="VPW39" s="822"/>
      <c r="VPX39" s="822"/>
      <c r="VPY39" s="822"/>
      <c r="VPZ39" s="822"/>
      <c r="VQA39" s="822"/>
      <c r="VQB39" s="822"/>
      <c r="VQC39" s="822"/>
      <c r="VQD39" s="822"/>
      <c r="VQE39" s="822"/>
      <c r="VQF39" s="822"/>
      <c r="VQG39" s="822"/>
      <c r="VQH39" s="822"/>
      <c r="VQI39" s="822"/>
      <c r="VQJ39" s="822"/>
      <c r="VQK39" s="822"/>
      <c r="VQL39" s="822"/>
      <c r="VQM39" s="822"/>
      <c r="VQN39" s="822"/>
      <c r="VQO39" s="822"/>
      <c r="VQP39" s="822"/>
      <c r="VQQ39" s="822"/>
      <c r="VQR39" s="822"/>
      <c r="VQS39" s="822"/>
      <c r="VQT39" s="822"/>
      <c r="VQU39" s="822"/>
      <c r="VQV39" s="822"/>
      <c r="VQW39" s="822"/>
      <c r="VQX39" s="822"/>
      <c r="VQY39" s="822"/>
      <c r="VQZ39" s="822"/>
      <c r="VRA39" s="822"/>
      <c r="VRB39" s="822"/>
      <c r="VRC39" s="822"/>
      <c r="VRD39" s="822"/>
      <c r="VRE39" s="822"/>
      <c r="VRF39" s="822"/>
      <c r="VRG39" s="822"/>
      <c r="VRH39" s="822"/>
      <c r="VRI39" s="822"/>
      <c r="VRJ39" s="822"/>
      <c r="VRK39" s="822"/>
      <c r="VRL39" s="822"/>
      <c r="VRM39" s="822"/>
      <c r="VRN39" s="822"/>
      <c r="VRO39" s="822"/>
      <c r="VRP39" s="822"/>
      <c r="VRQ39" s="822"/>
      <c r="VRR39" s="822"/>
      <c r="VRS39" s="822"/>
      <c r="VRT39" s="822"/>
      <c r="VRU39" s="822"/>
      <c r="VRV39" s="822"/>
      <c r="VRW39" s="822"/>
      <c r="VRX39" s="822"/>
      <c r="VRY39" s="822"/>
      <c r="VRZ39" s="822"/>
      <c r="VSA39" s="822"/>
      <c r="VSB39" s="822"/>
      <c r="VSC39" s="822"/>
      <c r="VSD39" s="822"/>
      <c r="VSE39" s="822"/>
      <c r="VSF39" s="822"/>
      <c r="VSG39" s="822"/>
      <c r="VSH39" s="822"/>
      <c r="VSI39" s="822"/>
      <c r="VSJ39" s="822"/>
      <c r="VSK39" s="822"/>
      <c r="VSL39" s="822"/>
      <c r="VSM39" s="822"/>
      <c r="VSN39" s="822"/>
      <c r="VSO39" s="822"/>
      <c r="VSP39" s="822"/>
      <c r="VSQ39" s="822"/>
      <c r="VSR39" s="822"/>
      <c r="VSS39" s="822"/>
      <c r="VST39" s="822"/>
      <c r="VSU39" s="822"/>
      <c r="VSV39" s="822"/>
      <c r="VSW39" s="822"/>
      <c r="VSX39" s="822"/>
      <c r="VSY39" s="822"/>
      <c r="VSZ39" s="822"/>
      <c r="VTA39" s="822"/>
      <c r="VTB39" s="822"/>
      <c r="VTC39" s="822"/>
      <c r="VTD39" s="822"/>
      <c r="VTE39" s="822"/>
      <c r="VTF39" s="822"/>
      <c r="VTG39" s="822"/>
      <c r="VTH39" s="822"/>
      <c r="VTI39" s="822"/>
      <c r="VTJ39" s="822"/>
      <c r="VTK39" s="822"/>
      <c r="VTL39" s="822"/>
      <c r="VTM39" s="822"/>
      <c r="VTN39" s="822"/>
      <c r="VTO39" s="822"/>
      <c r="VTP39" s="822"/>
      <c r="VTQ39" s="822"/>
      <c r="VTR39" s="822"/>
      <c r="VTS39" s="822"/>
      <c r="VTT39" s="822"/>
      <c r="VTU39" s="822"/>
      <c r="VTV39" s="822"/>
      <c r="VTW39" s="822"/>
      <c r="VTX39" s="822"/>
      <c r="VTY39" s="822"/>
      <c r="VTZ39" s="822"/>
      <c r="VUA39" s="822"/>
      <c r="VUB39" s="822"/>
      <c r="VUC39" s="822"/>
      <c r="VUD39" s="822"/>
      <c r="VUE39" s="822"/>
      <c r="VUF39" s="822"/>
      <c r="VUG39" s="822"/>
      <c r="VUH39" s="822"/>
      <c r="VUI39" s="822"/>
      <c r="VUJ39" s="822"/>
      <c r="VUK39" s="822"/>
      <c r="VUL39" s="822"/>
      <c r="VUM39" s="822"/>
      <c r="VUN39" s="822"/>
      <c r="VUO39" s="822"/>
      <c r="VUP39" s="822"/>
      <c r="VUQ39" s="822"/>
      <c r="VUR39" s="822"/>
      <c r="VUS39" s="822"/>
      <c r="VUT39" s="822"/>
      <c r="VUU39" s="822"/>
      <c r="VUV39" s="822"/>
      <c r="VUW39" s="822"/>
      <c r="VUX39" s="822"/>
      <c r="VUY39" s="822"/>
      <c r="VUZ39" s="822"/>
      <c r="VVA39" s="822"/>
      <c r="VVB39" s="822"/>
      <c r="VVC39" s="822"/>
      <c r="VVD39" s="822"/>
      <c r="VVE39" s="822"/>
      <c r="VVF39" s="822"/>
      <c r="VVG39" s="822"/>
      <c r="VVH39" s="822"/>
      <c r="VVI39" s="822"/>
      <c r="VVJ39" s="822"/>
      <c r="VVK39" s="822"/>
      <c r="VVL39" s="822"/>
      <c r="VVM39" s="822"/>
      <c r="VVN39" s="822"/>
      <c r="VVO39" s="822"/>
      <c r="VVP39" s="822"/>
      <c r="VVQ39" s="822"/>
      <c r="VVR39" s="822"/>
      <c r="VVS39" s="822"/>
      <c r="VVT39" s="822"/>
      <c r="VVU39" s="822"/>
      <c r="VVV39" s="822"/>
      <c r="VVW39" s="822"/>
      <c r="VVX39" s="822"/>
      <c r="VVY39" s="822"/>
      <c r="VVZ39" s="822"/>
      <c r="VWA39" s="822"/>
      <c r="VWB39" s="822"/>
      <c r="VWC39" s="822"/>
      <c r="VWD39" s="822"/>
      <c r="VWE39" s="822"/>
      <c r="VWF39" s="822"/>
      <c r="VWG39" s="822"/>
      <c r="VWH39" s="822"/>
      <c r="VWI39" s="822"/>
      <c r="VWJ39" s="822"/>
      <c r="VWK39" s="822"/>
      <c r="VWL39" s="822"/>
      <c r="VWM39" s="822"/>
      <c r="VWN39" s="822"/>
      <c r="VWO39" s="822"/>
      <c r="VWP39" s="822"/>
      <c r="VWQ39" s="822"/>
      <c r="VWR39" s="822"/>
      <c r="VWS39" s="822"/>
      <c r="VWT39" s="822"/>
      <c r="VWU39" s="822"/>
      <c r="VWV39" s="822"/>
      <c r="VWW39" s="822"/>
      <c r="VWX39" s="822"/>
      <c r="VWY39" s="822"/>
      <c r="VWZ39" s="822"/>
      <c r="VXA39" s="822"/>
      <c r="VXB39" s="822"/>
      <c r="VXC39" s="822"/>
      <c r="VXD39" s="822"/>
      <c r="VXE39" s="822"/>
      <c r="VXF39" s="822"/>
      <c r="VXG39" s="822"/>
      <c r="VXH39" s="822"/>
      <c r="VXI39" s="822"/>
      <c r="VXJ39" s="822"/>
      <c r="VXK39" s="822"/>
      <c r="VXL39" s="822"/>
      <c r="VXM39" s="822"/>
      <c r="VXN39" s="822"/>
      <c r="VXO39" s="822"/>
      <c r="VXP39" s="822"/>
      <c r="VXQ39" s="822"/>
      <c r="VXR39" s="822"/>
      <c r="VXS39" s="822"/>
      <c r="VXT39" s="822"/>
      <c r="VXU39" s="822"/>
      <c r="VXV39" s="822"/>
      <c r="VXW39" s="822"/>
      <c r="VXX39" s="822"/>
      <c r="VXY39" s="822"/>
      <c r="VXZ39" s="822"/>
      <c r="VYA39" s="822"/>
      <c r="VYB39" s="822"/>
      <c r="VYC39" s="822"/>
      <c r="VYD39" s="822"/>
      <c r="VYE39" s="822"/>
      <c r="VYF39" s="822"/>
      <c r="VYG39" s="822"/>
      <c r="VYH39" s="822"/>
      <c r="VYI39" s="822"/>
      <c r="VYJ39" s="822"/>
      <c r="VYK39" s="822"/>
      <c r="VYL39" s="822"/>
      <c r="VYM39" s="822"/>
      <c r="VYN39" s="822"/>
      <c r="VYO39" s="822"/>
      <c r="VYP39" s="822"/>
      <c r="VYQ39" s="822"/>
      <c r="VYR39" s="822"/>
      <c r="VYS39" s="822"/>
      <c r="VYT39" s="822"/>
      <c r="VYU39" s="822"/>
      <c r="VYV39" s="822"/>
      <c r="VYW39" s="822"/>
      <c r="VYX39" s="822"/>
      <c r="VYY39" s="822"/>
      <c r="VYZ39" s="822"/>
      <c r="VZA39" s="822"/>
      <c r="VZB39" s="822"/>
      <c r="VZC39" s="822"/>
      <c r="VZD39" s="822"/>
      <c r="VZE39" s="822"/>
      <c r="VZF39" s="822"/>
      <c r="VZG39" s="822"/>
      <c r="VZH39" s="822"/>
      <c r="VZI39" s="822"/>
      <c r="VZJ39" s="822"/>
      <c r="VZK39" s="822"/>
      <c r="VZL39" s="822"/>
      <c r="VZM39" s="822"/>
      <c r="VZN39" s="822"/>
      <c r="VZO39" s="822"/>
      <c r="VZP39" s="822"/>
      <c r="VZQ39" s="822"/>
      <c r="VZR39" s="822"/>
      <c r="VZS39" s="822"/>
      <c r="VZT39" s="822"/>
      <c r="VZU39" s="822"/>
      <c r="VZV39" s="822"/>
      <c r="VZW39" s="822"/>
      <c r="VZX39" s="822"/>
      <c r="VZY39" s="822"/>
      <c r="VZZ39" s="822"/>
      <c r="WAA39" s="822"/>
      <c r="WAB39" s="822"/>
      <c r="WAC39" s="822"/>
      <c r="WAD39" s="822"/>
      <c r="WAE39" s="822"/>
      <c r="WAF39" s="822"/>
      <c r="WAG39" s="822"/>
      <c r="WAH39" s="822"/>
      <c r="WAI39" s="822"/>
      <c r="WAJ39" s="822"/>
      <c r="WAK39" s="822"/>
      <c r="WAL39" s="822"/>
      <c r="WAM39" s="822"/>
      <c r="WAN39" s="822"/>
      <c r="WAO39" s="822"/>
      <c r="WAP39" s="822"/>
      <c r="WAQ39" s="822"/>
      <c r="WAR39" s="822"/>
      <c r="WAS39" s="822"/>
      <c r="WAT39" s="822"/>
      <c r="WAU39" s="822"/>
      <c r="WAV39" s="822"/>
      <c r="WAW39" s="822"/>
      <c r="WAX39" s="822"/>
      <c r="WAY39" s="822"/>
      <c r="WAZ39" s="822"/>
      <c r="WBA39" s="822"/>
      <c r="WBB39" s="822"/>
      <c r="WBC39" s="822"/>
      <c r="WBD39" s="822"/>
      <c r="WBE39" s="822"/>
      <c r="WBF39" s="822"/>
      <c r="WBG39" s="822"/>
      <c r="WBH39" s="822"/>
      <c r="WBI39" s="822"/>
      <c r="WBJ39" s="822"/>
      <c r="WBK39" s="822"/>
      <c r="WBL39" s="822"/>
      <c r="WBM39" s="822"/>
      <c r="WBN39" s="822"/>
      <c r="WBO39" s="822"/>
      <c r="WBP39" s="822"/>
      <c r="WBQ39" s="822"/>
      <c r="WBR39" s="822"/>
      <c r="WBS39" s="822"/>
      <c r="WBT39" s="822"/>
      <c r="WBU39" s="822"/>
      <c r="WBV39" s="822"/>
      <c r="WBW39" s="822"/>
      <c r="WBX39" s="822"/>
      <c r="WBY39" s="822"/>
      <c r="WBZ39" s="822"/>
      <c r="WCA39" s="822"/>
      <c r="WCB39" s="822"/>
      <c r="WCC39" s="822"/>
      <c r="WCD39" s="822"/>
      <c r="WCE39" s="822"/>
      <c r="WCF39" s="822"/>
      <c r="WCG39" s="822"/>
      <c r="WCH39" s="822"/>
      <c r="WCI39" s="822"/>
      <c r="WCJ39" s="822"/>
      <c r="WCK39" s="822"/>
      <c r="WCL39" s="822"/>
      <c r="WCM39" s="822"/>
      <c r="WCN39" s="822"/>
      <c r="WCO39" s="822"/>
      <c r="WCP39" s="822"/>
      <c r="WCQ39" s="822"/>
      <c r="WCR39" s="822"/>
      <c r="WCS39" s="822"/>
      <c r="WCT39" s="822"/>
      <c r="WCU39" s="822"/>
      <c r="WCV39" s="822"/>
      <c r="WCW39" s="822"/>
      <c r="WCX39" s="822"/>
      <c r="WCY39" s="822"/>
      <c r="WCZ39" s="822"/>
      <c r="WDA39" s="822"/>
      <c r="WDB39" s="822"/>
      <c r="WDC39" s="822"/>
      <c r="WDD39" s="822"/>
      <c r="WDE39" s="822"/>
      <c r="WDF39" s="822"/>
      <c r="WDG39" s="822"/>
      <c r="WDH39" s="822"/>
      <c r="WDI39" s="822"/>
      <c r="WDJ39" s="822"/>
      <c r="WDK39" s="822"/>
      <c r="WDL39" s="822"/>
      <c r="WDM39" s="822"/>
      <c r="WDN39" s="822"/>
      <c r="WDO39" s="822"/>
      <c r="WDP39" s="822"/>
      <c r="WDQ39" s="822"/>
      <c r="WDR39" s="822"/>
      <c r="WDS39" s="822"/>
      <c r="WDT39" s="822"/>
      <c r="WDU39" s="822"/>
      <c r="WDV39" s="822"/>
      <c r="WDW39" s="822"/>
      <c r="WDX39" s="822"/>
      <c r="WDY39" s="822"/>
      <c r="WDZ39" s="822"/>
      <c r="WEA39" s="822"/>
      <c r="WEB39" s="822"/>
      <c r="WEC39" s="822"/>
      <c r="WED39" s="822"/>
      <c r="WEE39" s="822"/>
      <c r="WEF39" s="822"/>
      <c r="WEG39" s="822"/>
      <c r="WEH39" s="822"/>
      <c r="WEI39" s="822"/>
      <c r="WEJ39" s="822"/>
      <c r="WEK39" s="822"/>
      <c r="WEL39" s="822"/>
      <c r="WEM39" s="822"/>
      <c r="WEN39" s="822"/>
      <c r="WEO39" s="822"/>
      <c r="WEP39" s="822"/>
      <c r="WEQ39" s="822"/>
      <c r="WER39" s="822"/>
      <c r="WES39" s="822"/>
      <c r="WET39" s="822"/>
      <c r="WEU39" s="822"/>
      <c r="WEV39" s="822"/>
      <c r="WEW39" s="822"/>
      <c r="WEX39" s="822"/>
      <c r="WEY39" s="822"/>
      <c r="WEZ39" s="822"/>
      <c r="WFA39" s="822"/>
      <c r="WFB39" s="822"/>
      <c r="WFC39" s="822"/>
      <c r="WFD39" s="822"/>
      <c r="WFE39" s="822"/>
      <c r="WFF39" s="822"/>
      <c r="WFG39" s="822"/>
      <c r="WFH39" s="822"/>
      <c r="WFI39" s="822"/>
      <c r="WFJ39" s="822"/>
      <c r="WFK39" s="822"/>
      <c r="WFL39" s="822"/>
      <c r="WFM39" s="822"/>
      <c r="WFN39" s="822"/>
      <c r="WFO39" s="822"/>
      <c r="WFP39" s="822"/>
      <c r="WFQ39" s="822"/>
      <c r="WFR39" s="822"/>
      <c r="WFS39" s="822"/>
      <c r="WFT39" s="822"/>
      <c r="WFU39" s="822"/>
      <c r="WFV39" s="822"/>
      <c r="WFW39" s="822"/>
      <c r="WFX39" s="822"/>
      <c r="WFY39" s="822"/>
      <c r="WFZ39" s="822"/>
      <c r="WGA39" s="822"/>
      <c r="WGB39" s="822"/>
      <c r="WGC39" s="822"/>
      <c r="WGD39" s="822"/>
      <c r="WGE39" s="822"/>
      <c r="WGF39" s="822"/>
      <c r="WGG39" s="822"/>
      <c r="WGH39" s="822"/>
      <c r="WGI39" s="822"/>
      <c r="WGJ39" s="822"/>
      <c r="WGK39" s="822"/>
      <c r="WGL39" s="822"/>
      <c r="WGM39" s="822"/>
      <c r="WGN39" s="822"/>
      <c r="WGO39" s="822"/>
      <c r="WGP39" s="822"/>
      <c r="WGQ39" s="822"/>
      <c r="WGR39" s="822"/>
      <c r="WGS39" s="822"/>
      <c r="WGT39" s="822"/>
      <c r="WGU39" s="822"/>
      <c r="WGV39" s="822"/>
      <c r="WGW39" s="822"/>
      <c r="WGX39" s="822"/>
      <c r="WGY39" s="822"/>
      <c r="WGZ39" s="822"/>
      <c r="WHA39" s="822"/>
      <c r="WHB39" s="822"/>
      <c r="WHC39" s="822"/>
      <c r="WHD39" s="822"/>
      <c r="WHE39" s="822"/>
      <c r="WHF39" s="822"/>
      <c r="WHG39" s="822"/>
      <c r="WHH39" s="822"/>
      <c r="WHI39" s="822"/>
      <c r="WHJ39" s="822"/>
      <c r="WHK39" s="822"/>
      <c r="WHL39" s="822"/>
      <c r="WHM39" s="822"/>
      <c r="WHN39" s="822"/>
      <c r="WHO39" s="822"/>
      <c r="WHP39" s="822"/>
      <c r="WHQ39" s="822"/>
      <c r="WHR39" s="822"/>
      <c r="WHS39" s="822"/>
      <c r="WHT39" s="822"/>
      <c r="WHU39" s="822"/>
      <c r="WHV39" s="822"/>
      <c r="WHW39" s="822"/>
      <c r="WHX39" s="822"/>
      <c r="WHY39" s="822"/>
      <c r="WHZ39" s="822"/>
      <c r="WIA39" s="822"/>
      <c r="WIB39" s="822"/>
      <c r="WIC39" s="822"/>
      <c r="WID39" s="822"/>
      <c r="WIE39" s="822"/>
      <c r="WIF39" s="822"/>
      <c r="WIG39" s="822"/>
      <c r="WIH39" s="822"/>
      <c r="WII39" s="822"/>
      <c r="WIJ39" s="822"/>
      <c r="WIK39" s="822"/>
      <c r="WIL39" s="822"/>
      <c r="WIM39" s="822"/>
      <c r="WIN39" s="822"/>
      <c r="WIO39" s="822"/>
      <c r="WIP39" s="822"/>
      <c r="WIQ39" s="822"/>
      <c r="WIR39" s="822"/>
      <c r="WIS39" s="822"/>
      <c r="WIT39" s="822"/>
      <c r="WIU39" s="822"/>
      <c r="WIV39" s="822"/>
      <c r="WIW39" s="822"/>
      <c r="WIX39" s="822"/>
      <c r="WIY39" s="822"/>
      <c r="WIZ39" s="822"/>
      <c r="WJA39" s="822"/>
      <c r="WJB39" s="822"/>
      <c r="WJC39" s="822"/>
      <c r="WJD39" s="822"/>
      <c r="WJE39" s="822"/>
      <c r="WJF39" s="822"/>
      <c r="WJG39" s="822"/>
      <c r="WJH39" s="822"/>
      <c r="WJI39" s="822"/>
      <c r="WJJ39" s="822"/>
      <c r="WJK39" s="822"/>
      <c r="WJL39" s="822"/>
      <c r="WJM39" s="822"/>
      <c r="WJN39" s="822"/>
      <c r="WJO39" s="822"/>
      <c r="WJP39" s="822"/>
      <c r="WJQ39" s="822"/>
      <c r="WJR39" s="822"/>
      <c r="WJS39" s="822"/>
      <c r="WJT39" s="822"/>
      <c r="WJU39" s="822"/>
      <c r="WJV39" s="822"/>
      <c r="WJW39" s="822"/>
      <c r="WJX39" s="822"/>
      <c r="WJY39" s="822"/>
      <c r="WJZ39" s="822"/>
      <c r="WKA39" s="822"/>
      <c r="WKB39" s="822"/>
      <c r="WKC39" s="822"/>
      <c r="WKD39" s="822"/>
      <c r="WKE39" s="822"/>
      <c r="WKF39" s="822"/>
      <c r="WKG39" s="822"/>
      <c r="WKH39" s="822"/>
      <c r="WKI39" s="822"/>
      <c r="WKJ39" s="822"/>
      <c r="WKK39" s="822"/>
      <c r="WKL39" s="822"/>
      <c r="WKM39" s="822"/>
      <c r="WKN39" s="822"/>
      <c r="WKO39" s="822"/>
      <c r="WKP39" s="822"/>
      <c r="WKQ39" s="822"/>
      <c r="WKR39" s="822"/>
      <c r="WKS39" s="822"/>
      <c r="WKT39" s="822"/>
      <c r="WKU39" s="822"/>
      <c r="WKV39" s="822"/>
      <c r="WKW39" s="822"/>
      <c r="WKX39" s="822"/>
      <c r="WKY39" s="822"/>
      <c r="WKZ39" s="822"/>
      <c r="WLA39" s="822"/>
      <c r="WLB39" s="822"/>
      <c r="WLC39" s="822"/>
      <c r="WLD39" s="822"/>
      <c r="WLE39" s="822"/>
      <c r="WLF39" s="822"/>
      <c r="WLG39" s="822"/>
      <c r="WLH39" s="822"/>
      <c r="WLI39" s="822"/>
      <c r="WLJ39" s="822"/>
      <c r="WLK39" s="822"/>
      <c r="WLL39" s="822"/>
      <c r="WLM39" s="822"/>
      <c r="WLN39" s="822"/>
      <c r="WLO39" s="822"/>
      <c r="WLP39" s="822"/>
      <c r="WLQ39" s="822"/>
      <c r="WLR39" s="822"/>
      <c r="WLS39" s="822"/>
      <c r="WLT39" s="822"/>
      <c r="WLU39" s="822"/>
      <c r="WLV39" s="822"/>
      <c r="WLW39" s="822"/>
      <c r="WLX39" s="822"/>
      <c r="WLY39" s="822"/>
      <c r="WLZ39" s="822"/>
      <c r="WMA39" s="822"/>
      <c r="WMB39" s="822"/>
      <c r="WMC39" s="822"/>
      <c r="WMD39" s="822"/>
      <c r="WME39" s="822"/>
      <c r="WMF39" s="822"/>
      <c r="WMG39" s="822"/>
      <c r="WMH39" s="822"/>
      <c r="WMI39" s="822"/>
      <c r="WMJ39" s="822"/>
      <c r="WMK39" s="822"/>
      <c r="WML39" s="822"/>
      <c r="WMM39" s="822"/>
      <c r="WMN39" s="822"/>
      <c r="WMO39" s="822"/>
      <c r="WMP39" s="822"/>
      <c r="WMQ39" s="822"/>
      <c r="WMR39" s="822"/>
      <c r="WMS39" s="822"/>
      <c r="WMT39" s="822"/>
      <c r="WMU39" s="822"/>
      <c r="WMV39" s="822"/>
      <c r="WMW39" s="822"/>
      <c r="WMX39" s="822"/>
      <c r="WMY39" s="822"/>
      <c r="WMZ39" s="822"/>
      <c r="WNA39" s="822"/>
      <c r="WNB39" s="822"/>
      <c r="WNC39" s="822"/>
      <c r="WND39" s="822"/>
      <c r="WNE39" s="822"/>
      <c r="WNF39" s="822"/>
      <c r="WNG39" s="822"/>
      <c r="WNH39" s="822"/>
      <c r="WNI39" s="822"/>
      <c r="WNJ39" s="822"/>
      <c r="WNK39" s="822"/>
      <c r="WNL39" s="822"/>
      <c r="WNM39" s="822"/>
      <c r="WNN39" s="822"/>
      <c r="WNO39" s="822"/>
      <c r="WNP39" s="822"/>
      <c r="WNQ39" s="822"/>
      <c r="WNR39" s="822"/>
      <c r="WNS39" s="822"/>
      <c r="WNT39" s="822"/>
      <c r="WNU39" s="822"/>
      <c r="WNV39" s="822"/>
      <c r="WNW39" s="822"/>
      <c r="WNX39" s="822"/>
      <c r="WNY39" s="822"/>
      <c r="WNZ39" s="822"/>
      <c r="WOA39" s="822"/>
      <c r="WOB39" s="822"/>
      <c r="WOC39" s="822"/>
      <c r="WOD39" s="822"/>
      <c r="WOE39" s="822"/>
      <c r="WOF39" s="822"/>
      <c r="WOG39" s="822"/>
      <c r="WOH39" s="822"/>
      <c r="WOI39" s="822"/>
      <c r="WOJ39" s="822"/>
      <c r="WOK39" s="822"/>
      <c r="WOL39" s="822"/>
      <c r="WOM39" s="822"/>
      <c r="WON39" s="822"/>
      <c r="WOO39" s="822"/>
      <c r="WOP39" s="822"/>
      <c r="WOQ39" s="822"/>
      <c r="WOR39" s="822"/>
      <c r="WOS39" s="822"/>
      <c r="WOT39" s="822"/>
      <c r="WOU39" s="822"/>
      <c r="WOV39" s="822"/>
      <c r="WOW39" s="822"/>
      <c r="WOX39" s="822"/>
      <c r="WOY39" s="822"/>
      <c r="WOZ39" s="822"/>
      <c r="WPA39" s="822"/>
      <c r="WPB39" s="822"/>
      <c r="WPC39" s="822"/>
      <c r="WPD39" s="822"/>
      <c r="WPE39" s="822"/>
      <c r="WPF39" s="822"/>
      <c r="WPG39" s="822"/>
      <c r="WPH39" s="822"/>
      <c r="WPI39" s="822"/>
      <c r="WPJ39" s="822"/>
      <c r="WPK39" s="822"/>
      <c r="WPL39" s="822"/>
      <c r="WPM39" s="822"/>
      <c r="WPN39" s="822"/>
      <c r="WPO39" s="822"/>
      <c r="WPP39" s="822"/>
      <c r="WPQ39" s="822"/>
      <c r="WPR39" s="822"/>
      <c r="WPS39" s="822"/>
      <c r="WPT39" s="822"/>
      <c r="WPU39" s="822"/>
      <c r="WPV39" s="822"/>
      <c r="WPW39" s="822"/>
      <c r="WPX39" s="822"/>
      <c r="WPY39" s="822"/>
      <c r="WPZ39" s="822"/>
      <c r="WQA39" s="822"/>
      <c r="WQB39" s="822"/>
      <c r="WQC39" s="822"/>
      <c r="WQD39" s="822"/>
      <c r="WQE39" s="822"/>
      <c r="WQF39" s="822"/>
      <c r="WQG39" s="822"/>
      <c r="WQH39" s="822"/>
      <c r="WQI39" s="822"/>
      <c r="WQJ39" s="822"/>
      <c r="WQK39" s="822"/>
      <c r="WQL39" s="822"/>
      <c r="WQM39" s="822"/>
      <c r="WQN39" s="822"/>
      <c r="WQO39" s="822"/>
      <c r="WQP39" s="822"/>
      <c r="WQQ39" s="822"/>
      <c r="WQR39" s="822"/>
      <c r="WQS39" s="822"/>
      <c r="WQT39" s="822"/>
      <c r="WQU39" s="822"/>
      <c r="WQV39" s="822"/>
      <c r="WQW39" s="822"/>
      <c r="WQX39" s="822"/>
      <c r="WQY39" s="822"/>
      <c r="WQZ39" s="822"/>
      <c r="WRA39" s="822"/>
      <c r="WRB39" s="822"/>
      <c r="WRC39" s="822"/>
      <c r="WRD39" s="822"/>
      <c r="WRE39" s="822"/>
      <c r="WRF39" s="822"/>
      <c r="WRG39" s="822"/>
      <c r="WRH39" s="822"/>
      <c r="WRI39" s="822"/>
      <c r="WRJ39" s="822"/>
      <c r="WRK39" s="822"/>
      <c r="WRL39" s="822"/>
      <c r="WRM39" s="822"/>
      <c r="WRN39" s="822"/>
      <c r="WRO39" s="822"/>
      <c r="WRP39" s="822"/>
      <c r="WRQ39" s="822"/>
      <c r="WRR39" s="822"/>
      <c r="WRS39" s="822"/>
      <c r="WRT39" s="822"/>
      <c r="WRU39" s="822"/>
      <c r="WRV39" s="822"/>
      <c r="WRW39" s="822"/>
      <c r="WRX39" s="822"/>
      <c r="WRY39" s="822"/>
      <c r="WRZ39" s="822"/>
      <c r="WSA39" s="822"/>
      <c r="WSB39" s="822"/>
      <c r="WSC39" s="822"/>
      <c r="WSD39" s="822"/>
      <c r="WSE39" s="822"/>
      <c r="WSF39" s="822"/>
      <c r="WSG39" s="822"/>
      <c r="WSH39" s="822"/>
      <c r="WSI39" s="822"/>
      <c r="WSJ39" s="822"/>
      <c r="WSK39" s="822"/>
      <c r="WSL39" s="822"/>
      <c r="WSM39" s="822"/>
      <c r="WSN39" s="822"/>
      <c r="WSO39" s="822"/>
      <c r="WSP39" s="822"/>
      <c r="WSQ39" s="822"/>
      <c r="WSR39" s="822"/>
      <c r="WSS39" s="822"/>
      <c r="WST39" s="822"/>
      <c r="WSU39" s="822"/>
      <c r="WSV39" s="822"/>
      <c r="WSW39" s="822"/>
      <c r="WSX39" s="822"/>
      <c r="WSY39" s="822"/>
      <c r="WSZ39" s="822"/>
      <c r="WTA39" s="822"/>
      <c r="WTB39" s="822"/>
      <c r="WTC39" s="822"/>
      <c r="WTD39" s="822"/>
      <c r="WTE39" s="822"/>
      <c r="WTF39" s="822"/>
      <c r="WTG39" s="822"/>
      <c r="WTH39" s="822"/>
      <c r="WTI39" s="822"/>
      <c r="WTJ39" s="822"/>
      <c r="WTK39" s="822"/>
      <c r="WTL39" s="822"/>
      <c r="WTM39" s="822"/>
      <c r="WTN39" s="822"/>
      <c r="WTO39" s="822"/>
      <c r="WTP39" s="822"/>
      <c r="WTQ39" s="822"/>
      <c r="WTR39" s="822"/>
      <c r="WTS39" s="822"/>
      <c r="WTT39" s="822"/>
      <c r="WTU39" s="822"/>
      <c r="WTV39" s="822"/>
      <c r="WTW39" s="822"/>
      <c r="WTX39" s="822"/>
      <c r="WTY39" s="822"/>
      <c r="WTZ39" s="822"/>
      <c r="WUA39" s="822"/>
      <c r="WUB39" s="822"/>
      <c r="WUC39" s="822"/>
      <c r="WUD39" s="822"/>
      <c r="WUE39" s="822"/>
      <c r="WUF39" s="822"/>
      <c r="WUG39" s="822"/>
      <c r="WUH39" s="822"/>
      <c r="WUI39" s="822"/>
      <c r="WUJ39" s="822"/>
      <c r="WUK39" s="822"/>
      <c r="WUL39" s="822"/>
      <c r="WUM39" s="822"/>
      <c r="WUN39" s="822"/>
      <c r="WUO39" s="822"/>
      <c r="WUP39" s="822"/>
      <c r="WUQ39" s="822"/>
      <c r="WUR39" s="822"/>
      <c r="WUS39" s="822"/>
      <c r="WUT39" s="822"/>
      <c r="WUU39" s="822"/>
      <c r="WUV39" s="822"/>
      <c r="WUW39" s="822"/>
      <c r="WUX39" s="822"/>
      <c r="WUY39" s="822"/>
      <c r="WUZ39" s="822"/>
      <c r="WVA39" s="822"/>
      <c r="WVB39" s="822"/>
      <c r="WVC39" s="822"/>
      <c r="WVD39" s="822"/>
      <c r="WVE39" s="822"/>
      <c r="WVF39" s="822"/>
      <c r="WVG39" s="822"/>
      <c r="WVH39" s="822"/>
      <c r="WVI39" s="822"/>
      <c r="WVJ39" s="822"/>
      <c r="WVK39" s="822"/>
      <c r="WVL39" s="822"/>
      <c r="WVM39" s="822"/>
      <c r="WVN39" s="822"/>
      <c r="WVO39" s="822"/>
      <c r="WVP39" s="822"/>
      <c r="WVQ39" s="822"/>
      <c r="WVR39" s="822"/>
      <c r="WVS39" s="822"/>
      <c r="WVT39" s="822"/>
      <c r="WVU39" s="822"/>
      <c r="WVV39" s="822"/>
      <c r="WVW39" s="822"/>
      <c r="WVX39" s="822"/>
      <c r="WVY39" s="822"/>
      <c r="WVZ39" s="822"/>
      <c r="WWA39" s="822"/>
      <c r="WWB39" s="822"/>
      <c r="WWC39" s="822"/>
      <c r="WWD39" s="822"/>
      <c r="WWE39" s="822"/>
      <c r="WWF39" s="822"/>
      <c r="WWG39" s="822"/>
      <c r="WWH39" s="822"/>
      <c r="WWI39" s="822"/>
      <c r="WWJ39" s="822"/>
      <c r="WWK39" s="822"/>
      <c r="WWL39" s="822"/>
      <c r="WWM39" s="822"/>
      <c r="WWN39" s="822"/>
      <c r="WWO39" s="822"/>
      <c r="WWP39" s="822"/>
      <c r="WWQ39" s="822"/>
      <c r="WWR39" s="822"/>
      <c r="WWS39" s="822"/>
      <c r="WWT39" s="822"/>
      <c r="WWU39" s="822"/>
      <c r="WWV39" s="822"/>
      <c r="WWW39" s="822"/>
      <c r="WWX39" s="822"/>
      <c r="WWY39" s="822"/>
      <c r="WWZ39" s="822"/>
      <c r="WXA39" s="822"/>
      <c r="WXB39" s="822"/>
      <c r="WXC39" s="822"/>
      <c r="WXD39" s="822"/>
      <c r="WXE39" s="822"/>
      <c r="WXF39" s="822"/>
      <c r="WXG39" s="822"/>
      <c r="WXH39" s="822"/>
      <c r="WXI39" s="822"/>
      <c r="WXJ39" s="822"/>
      <c r="WXK39" s="822"/>
      <c r="WXL39" s="822"/>
      <c r="WXM39" s="822"/>
      <c r="WXN39" s="822"/>
      <c r="WXO39" s="822"/>
      <c r="WXP39" s="822"/>
      <c r="WXQ39" s="822"/>
      <c r="WXR39" s="822"/>
      <c r="WXS39" s="822"/>
      <c r="WXT39" s="822"/>
      <c r="WXU39" s="822"/>
      <c r="WXV39" s="822"/>
      <c r="WXW39" s="822"/>
      <c r="WXX39" s="822"/>
      <c r="WXY39" s="822"/>
      <c r="WXZ39" s="822"/>
      <c r="WYA39" s="822"/>
      <c r="WYB39" s="822"/>
      <c r="WYC39" s="822"/>
      <c r="WYD39" s="822"/>
      <c r="WYE39" s="822"/>
      <c r="WYF39" s="822"/>
      <c r="WYG39" s="822"/>
      <c r="WYH39" s="822"/>
      <c r="WYI39" s="822"/>
      <c r="WYJ39" s="822"/>
      <c r="WYK39" s="822"/>
      <c r="WYL39" s="822"/>
      <c r="WYM39" s="822"/>
      <c r="WYN39" s="822"/>
      <c r="WYO39" s="822"/>
      <c r="WYP39" s="822"/>
      <c r="WYQ39" s="822"/>
      <c r="WYR39" s="822"/>
      <c r="WYS39" s="822"/>
      <c r="WYT39" s="822"/>
      <c r="WYU39" s="822"/>
      <c r="WYV39" s="822"/>
      <c r="WYW39" s="822"/>
      <c r="WYX39" s="822"/>
      <c r="WYY39" s="822"/>
      <c r="WYZ39" s="822"/>
      <c r="WZA39" s="822"/>
      <c r="WZB39" s="822"/>
      <c r="WZC39" s="822"/>
      <c r="WZD39" s="822"/>
      <c r="WZE39" s="822"/>
      <c r="WZF39" s="822"/>
      <c r="WZG39" s="822"/>
      <c r="WZH39" s="822"/>
      <c r="WZI39" s="822"/>
      <c r="WZJ39" s="822"/>
      <c r="WZK39" s="822"/>
      <c r="WZL39" s="822"/>
      <c r="WZM39" s="822"/>
      <c r="WZN39" s="822"/>
      <c r="WZO39" s="822"/>
      <c r="WZP39" s="822"/>
      <c r="WZQ39" s="822"/>
      <c r="WZR39" s="822"/>
      <c r="WZS39" s="822"/>
      <c r="WZT39" s="822"/>
      <c r="WZU39" s="822"/>
      <c r="WZV39" s="822"/>
      <c r="WZW39" s="822"/>
      <c r="WZX39" s="822"/>
      <c r="WZY39" s="822"/>
      <c r="WZZ39" s="822"/>
      <c r="XAA39" s="822"/>
      <c r="XAB39" s="822"/>
      <c r="XAC39" s="822"/>
      <c r="XAD39" s="822"/>
      <c r="XAE39" s="822"/>
      <c r="XAF39" s="822"/>
      <c r="XAG39" s="822"/>
      <c r="XAH39" s="822"/>
      <c r="XAI39" s="822"/>
      <c r="XAJ39" s="822"/>
      <c r="XAK39" s="822"/>
      <c r="XAL39" s="822"/>
      <c r="XAM39" s="822"/>
      <c r="XAN39" s="822"/>
      <c r="XAO39" s="822"/>
      <c r="XAP39" s="822"/>
      <c r="XAQ39" s="822"/>
      <c r="XAR39" s="822"/>
      <c r="XAS39" s="822"/>
      <c r="XAT39" s="822"/>
      <c r="XAU39" s="822"/>
      <c r="XAV39" s="822"/>
      <c r="XAW39" s="822"/>
      <c r="XAX39" s="822"/>
      <c r="XAY39" s="822"/>
      <c r="XAZ39" s="822"/>
      <c r="XBA39" s="822"/>
      <c r="XBB39" s="822"/>
      <c r="XBC39" s="822"/>
      <c r="XBD39" s="822"/>
      <c r="XBE39" s="822"/>
      <c r="XBF39" s="822"/>
      <c r="XBG39" s="822"/>
      <c r="XBH39" s="822"/>
      <c r="XBI39" s="822"/>
      <c r="XBJ39" s="822"/>
      <c r="XBK39" s="822"/>
      <c r="XBL39" s="822"/>
      <c r="XBM39" s="822"/>
      <c r="XBN39" s="822"/>
      <c r="XBO39" s="822"/>
      <c r="XBP39" s="822"/>
      <c r="XBQ39" s="822"/>
      <c r="XBR39" s="822"/>
      <c r="XBS39" s="822"/>
      <c r="XBT39" s="822"/>
      <c r="XBU39" s="822"/>
      <c r="XBV39" s="822"/>
      <c r="XBW39" s="822"/>
      <c r="XBX39" s="822"/>
      <c r="XBY39" s="822"/>
      <c r="XBZ39" s="822"/>
      <c r="XCA39" s="822"/>
      <c r="XCB39" s="822"/>
      <c r="XCC39" s="822"/>
      <c r="XCD39" s="822"/>
      <c r="XCE39" s="822"/>
      <c r="XCF39" s="822"/>
      <c r="XCG39" s="822"/>
      <c r="XCH39" s="822"/>
      <c r="XCI39" s="822"/>
      <c r="XCJ39" s="822"/>
      <c r="XCK39" s="822"/>
      <c r="XCL39" s="822"/>
      <c r="XCM39" s="822"/>
      <c r="XCN39" s="822"/>
      <c r="XCO39" s="822"/>
      <c r="XCP39" s="822"/>
      <c r="XCQ39" s="822"/>
      <c r="XCR39" s="822"/>
      <c r="XCS39" s="822"/>
      <c r="XCT39" s="822"/>
      <c r="XCU39" s="822"/>
      <c r="XCV39" s="822"/>
      <c r="XCW39" s="822"/>
      <c r="XCX39" s="822"/>
      <c r="XCY39" s="822"/>
      <c r="XCZ39" s="822"/>
      <c r="XDA39" s="822"/>
      <c r="XDB39" s="822"/>
      <c r="XDC39" s="822"/>
      <c r="XDD39" s="822"/>
      <c r="XDE39" s="822"/>
      <c r="XDF39" s="822"/>
      <c r="XDG39" s="822"/>
      <c r="XDH39" s="822"/>
      <c r="XDI39" s="822"/>
      <c r="XDJ39" s="822"/>
      <c r="XDK39" s="822"/>
      <c r="XDL39" s="822"/>
      <c r="XDM39" s="822"/>
      <c r="XDN39" s="822"/>
      <c r="XDO39" s="822"/>
      <c r="XDP39" s="822"/>
      <c r="XDQ39" s="822"/>
      <c r="XDR39" s="822"/>
      <c r="XDS39" s="822"/>
      <c r="XDT39" s="822"/>
      <c r="XDU39" s="822"/>
      <c r="XDV39" s="822"/>
      <c r="XDW39" s="822"/>
      <c r="XDX39" s="822"/>
      <c r="XDY39" s="822"/>
      <c r="XDZ39" s="822"/>
      <c r="XEA39" s="822"/>
      <c r="XEB39" s="822"/>
      <c r="XEC39" s="822"/>
      <c r="XED39" s="822"/>
      <c r="XEE39" s="822"/>
      <c r="XEF39" s="822"/>
      <c r="XEG39" s="822"/>
      <c r="XEH39" s="822"/>
      <c r="XEI39" s="822"/>
      <c r="XEJ39" s="822"/>
      <c r="XEK39" s="822"/>
    </row>
    <row r="40" spans="1:16365" ht="68.25" customHeight="1">
      <c r="A40" s="120" t="s">
        <v>95</v>
      </c>
      <c r="B40" s="125" t="s">
        <v>96</v>
      </c>
      <c r="C40" s="121"/>
      <c r="D40" s="121"/>
      <c r="E40" s="121"/>
      <c r="F40" s="121"/>
      <c r="G40" s="121"/>
      <c r="H40" s="121"/>
      <c r="I40" s="121"/>
      <c r="J40" s="121"/>
      <c r="K40" s="121"/>
      <c r="L40" s="121"/>
      <c r="M40" s="121"/>
      <c r="N40" s="121"/>
      <c r="O40" s="120"/>
      <c r="P40" s="120"/>
      <c r="Q40" s="120"/>
      <c r="R40" s="120"/>
      <c r="S40" s="822"/>
      <c r="T40" s="822"/>
      <c r="U40" s="822"/>
      <c r="V40" s="822"/>
      <c r="W40" s="822"/>
      <c r="X40" s="822"/>
      <c r="Y40" s="822"/>
      <c r="Z40" s="822"/>
      <c r="AA40" s="822"/>
      <c r="AB40" s="822"/>
      <c r="AC40" s="822"/>
      <c r="AD40" s="822"/>
      <c r="AE40" s="822"/>
      <c r="AF40" s="822"/>
      <c r="AG40" s="822"/>
      <c r="AH40" s="7"/>
      <c r="AI40" s="35"/>
      <c r="AJ40" s="7"/>
      <c r="AK40" s="101"/>
      <c r="AL40" s="5"/>
      <c r="AM40" s="194"/>
      <c r="AN40" s="194"/>
      <c r="AO40" s="194"/>
      <c r="AP40" s="194"/>
      <c r="AQ40" s="194"/>
      <c r="AR40" s="194"/>
      <c r="AS40" s="194"/>
      <c r="AT40" s="194"/>
      <c r="AU40" s="194"/>
      <c r="AV40" s="194"/>
      <c r="AW40" s="194"/>
      <c r="AX40" s="822"/>
      <c r="AY40" s="822"/>
      <c r="AZ40" s="822"/>
      <c r="BA40" s="822"/>
      <c r="BB40" s="822"/>
      <c r="BC40" s="822"/>
      <c r="BD40" s="822"/>
      <c r="BE40" s="822"/>
      <c r="BF40" s="822"/>
      <c r="BG40" s="822"/>
      <c r="BH40" s="822"/>
      <c r="BI40" s="822"/>
      <c r="BJ40" s="822"/>
      <c r="BK40" s="822"/>
      <c r="BL40" s="822"/>
      <c r="BM40" s="822"/>
      <c r="BN40" s="822"/>
      <c r="BO40" s="822"/>
      <c r="BP40" s="822"/>
      <c r="BQ40" s="822"/>
      <c r="BR40" s="822"/>
      <c r="BS40" s="822"/>
      <c r="BT40" s="822"/>
      <c r="BU40" s="822"/>
      <c r="BV40" s="822"/>
      <c r="BW40" s="822"/>
      <c r="BX40" s="822"/>
      <c r="BY40" s="822"/>
      <c r="BZ40" s="822"/>
      <c r="CA40" s="822"/>
      <c r="CB40" s="822"/>
      <c r="CC40" s="822"/>
      <c r="CD40" s="822"/>
      <c r="CE40" s="822"/>
      <c r="CF40" s="822"/>
      <c r="CG40" s="822"/>
      <c r="CH40" s="822"/>
      <c r="CI40" s="822"/>
      <c r="CJ40" s="822"/>
      <c r="CK40" s="822"/>
      <c r="CL40" s="822"/>
      <c r="CM40" s="822"/>
      <c r="CN40" s="822"/>
      <c r="CO40" s="822"/>
      <c r="CP40" s="822"/>
      <c r="CQ40" s="822"/>
      <c r="CR40" s="822"/>
      <c r="CS40" s="822"/>
      <c r="CT40" s="822"/>
      <c r="CU40" s="822"/>
      <c r="CV40" s="822"/>
      <c r="CW40" s="822"/>
      <c r="CX40" s="822"/>
      <c r="CY40" s="822"/>
      <c r="CZ40" s="822"/>
      <c r="DA40" s="822"/>
      <c r="DB40" s="822"/>
      <c r="DC40" s="822"/>
      <c r="DD40" s="822"/>
      <c r="DE40" s="822"/>
      <c r="DF40" s="822"/>
      <c r="DG40" s="822"/>
      <c r="DH40" s="822"/>
      <c r="DI40" s="822"/>
      <c r="DJ40" s="822"/>
      <c r="DK40" s="822"/>
      <c r="DL40" s="822"/>
      <c r="DM40" s="822"/>
      <c r="DN40" s="822"/>
      <c r="DO40" s="822"/>
      <c r="DP40" s="822"/>
      <c r="DQ40" s="822"/>
      <c r="DR40" s="822"/>
      <c r="DS40" s="822"/>
      <c r="DT40" s="822"/>
      <c r="DU40" s="822"/>
      <c r="DV40" s="822"/>
      <c r="DW40" s="822"/>
      <c r="DX40" s="822"/>
      <c r="DY40" s="822"/>
      <c r="DZ40" s="822"/>
      <c r="EA40" s="822"/>
      <c r="EB40" s="822"/>
      <c r="EC40" s="822"/>
      <c r="ED40" s="822"/>
      <c r="EE40" s="822"/>
      <c r="EF40" s="822"/>
      <c r="EG40" s="822"/>
      <c r="EH40" s="822"/>
      <c r="EI40" s="822"/>
      <c r="EJ40" s="822"/>
      <c r="EK40" s="822"/>
      <c r="EL40" s="822"/>
      <c r="EM40" s="822"/>
      <c r="EN40" s="822"/>
      <c r="EO40" s="822"/>
      <c r="EP40" s="822"/>
      <c r="EQ40" s="822"/>
      <c r="ER40" s="822"/>
      <c r="ES40" s="822"/>
      <c r="ET40" s="822"/>
      <c r="EU40" s="822"/>
      <c r="EV40" s="822"/>
      <c r="EW40" s="822"/>
      <c r="EX40" s="822"/>
      <c r="EY40" s="822"/>
      <c r="EZ40" s="822"/>
      <c r="FA40" s="822"/>
      <c r="FB40" s="822"/>
      <c r="FC40" s="822"/>
      <c r="FD40" s="822"/>
      <c r="FE40" s="822"/>
      <c r="FF40" s="822"/>
      <c r="FG40" s="822"/>
      <c r="FH40" s="822"/>
      <c r="FI40" s="822"/>
      <c r="FJ40" s="822"/>
      <c r="FK40" s="822"/>
      <c r="FL40" s="822"/>
      <c r="FM40" s="822"/>
      <c r="FN40" s="822"/>
      <c r="FO40" s="822"/>
      <c r="FP40" s="822"/>
      <c r="FQ40" s="822"/>
      <c r="FR40" s="822"/>
      <c r="FS40" s="822"/>
      <c r="FT40" s="822"/>
      <c r="FU40" s="822"/>
      <c r="FV40" s="822"/>
      <c r="FW40" s="822"/>
      <c r="FX40" s="822"/>
      <c r="FY40" s="822"/>
      <c r="FZ40" s="822"/>
      <c r="GA40" s="822"/>
      <c r="GB40" s="822"/>
      <c r="GC40" s="822"/>
      <c r="GD40" s="822"/>
      <c r="GE40" s="822"/>
      <c r="GF40" s="822"/>
      <c r="GG40" s="822"/>
      <c r="GH40" s="822"/>
      <c r="GI40" s="822"/>
      <c r="GJ40" s="822"/>
      <c r="GK40" s="822"/>
      <c r="GL40" s="822"/>
      <c r="GM40" s="822"/>
      <c r="GN40" s="822"/>
      <c r="GO40" s="822"/>
      <c r="GP40" s="822"/>
      <c r="GQ40" s="822"/>
      <c r="GR40" s="822"/>
      <c r="GS40" s="822"/>
      <c r="GT40" s="822"/>
      <c r="GU40" s="822"/>
      <c r="GV40" s="822"/>
      <c r="GW40" s="822"/>
      <c r="GX40" s="822"/>
      <c r="GY40" s="822"/>
      <c r="GZ40" s="822"/>
      <c r="HA40" s="822"/>
      <c r="HB40" s="822"/>
      <c r="HC40" s="822"/>
      <c r="HD40" s="822"/>
      <c r="HE40" s="822"/>
      <c r="HF40" s="822"/>
      <c r="HG40" s="822"/>
      <c r="HH40" s="822"/>
      <c r="HI40" s="822"/>
      <c r="HJ40" s="822"/>
      <c r="HK40" s="822"/>
      <c r="HL40" s="822"/>
      <c r="HM40" s="822"/>
      <c r="HN40" s="822"/>
      <c r="HO40" s="822"/>
      <c r="HP40" s="822"/>
      <c r="HQ40" s="822"/>
      <c r="HR40" s="822"/>
      <c r="HS40" s="822"/>
      <c r="HT40" s="822"/>
      <c r="HU40" s="822"/>
      <c r="HV40" s="822"/>
      <c r="HW40" s="822"/>
      <c r="HX40" s="822"/>
      <c r="HY40" s="822"/>
      <c r="HZ40" s="822"/>
      <c r="IA40" s="822"/>
      <c r="IB40" s="822"/>
      <c r="IC40" s="822"/>
      <c r="ID40" s="822"/>
      <c r="IE40" s="822"/>
      <c r="IF40" s="822"/>
      <c r="IG40" s="822"/>
      <c r="IH40" s="822"/>
      <c r="II40" s="822"/>
      <c r="IJ40" s="822"/>
      <c r="IK40" s="822"/>
      <c r="IL40" s="822"/>
      <c r="IM40" s="822"/>
      <c r="IN40" s="822"/>
      <c r="IO40" s="822"/>
      <c r="IP40" s="822"/>
      <c r="IQ40" s="822"/>
      <c r="IR40" s="822"/>
      <c r="IS40" s="822"/>
      <c r="IT40" s="822"/>
      <c r="IU40" s="822"/>
      <c r="IV40" s="822"/>
      <c r="IW40" s="822"/>
      <c r="IX40" s="822"/>
      <c r="IY40" s="822"/>
      <c r="IZ40" s="822"/>
      <c r="JA40" s="822"/>
      <c r="JB40" s="822"/>
      <c r="JC40" s="822"/>
      <c r="JD40" s="822"/>
      <c r="JE40" s="822"/>
      <c r="JF40" s="822"/>
      <c r="JG40" s="822"/>
      <c r="JH40" s="822"/>
      <c r="JI40" s="822"/>
      <c r="JJ40" s="822"/>
      <c r="JK40" s="822"/>
      <c r="JL40" s="822"/>
      <c r="JM40" s="822"/>
      <c r="JN40" s="822"/>
      <c r="JO40" s="822"/>
      <c r="JP40" s="822"/>
      <c r="JQ40" s="822"/>
      <c r="JR40" s="822"/>
      <c r="JS40" s="822"/>
      <c r="JT40" s="822"/>
      <c r="JU40" s="822"/>
      <c r="JV40" s="822"/>
      <c r="JW40" s="822"/>
      <c r="JX40" s="822"/>
      <c r="JY40" s="822"/>
      <c r="JZ40" s="822"/>
      <c r="KA40" s="822"/>
      <c r="KB40" s="822"/>
      <c r="KC40" s="822"/>
      <c r="KD40" s="822"/>
      <c r="KE40" s="822"/>
      <c r="KF40" s="822"/>
      <c r="KG40" s="822"/>
      <c r="KH40" s="822"/>
      <c r="KI40" s="822"/>
      <c r="KJ40" s="822"/>
      <c r="KK40" s="822"/>
      <c r="KL40" s="822"/>
      <c r="KM40" s="822"/>
      <c r="KN40" s="822"/>
      <c r="KO40" s="822"/>
      <c r="KP40" s="822"/>
      <c r="KQ40" s="822"/>
      <c r="KR40" s="822"/>
      <c r="KS40" s="822"/>
      <c r="KT40" s="822"/>
      <c r="KU40" s="822"/>
      <c r="KV40" s="822"/>
      <c r="KW40" s="822"/>
      <c r="KX40" s="822"/>
      <c r="KY40" s="822"/>
      <c r="KZ40" s="822"/>
      <c r="LA40" s="822"/>
      <c r="LB40" s="822"/>
      <c r="LC40" s="822"/>
      <c r="LD40" s="822"/>
      <c r="LE40" s="822"/>
      <c r="LF40" s="822"/>
      <c r="LG40" s="822"/>
      <c r="LH40" s="822"/>
      <c r="LI40" s="822"/>
      <c r="LJ40" s="822"/>
      <c r="LK40" s="822"/>
      <c r="LL40" s="822"/>
      <c r="LM40" s="822"/>
      <c r="LN40" s="822"/>
      <c r="LO40" s="822"/>
      <c r="LP40" s="822"/>
      <c r="LQ40" s="822"/>
      <c r="LR40" s="822"/>
      <c r="LS40" s="822"/>
      <c r="LT40" s="822"/>
      <c r="LU40" s="822"/>
      <c r="LV40" s="822"/>
      <c r="LW40" s="822"/>
      <c r="LX40" s="822"/>
      <c r="LY40" s="822"/>
      <c r="LZ40" s="822"/>
      <c r="MA40" s="822"/>
      <c r="MB40" s="822"/>
      <c r="MC40" s="822"/>
      <c r="MD40" s="822"/>
      <c r="ME40" s="822"/>
      <c r="MF40" s="822"/>
      <c r="MG40" s="822"/>
      <c r="MH40" s="822"/>
      <c r="MI40" s="822"/>
      <c r="MJ40" s="822"/>
      <c r="MK40" s="822"/>
      <c r="ML40" s="822"/>
      <c r="MM40" s="822"/>
      <c r="MN40" s="822"/>
      <c r="MO40" s="822"/>
      <c r="MP40" s="822"/>
      <c r="MQ40" s="822"/>
      <c r="MR40" s="822"/>
      <c r="MS40" s="822"/>
      <c r="MT40" s="822"/>
      <c r="MU40" s="822"/>
      <c r="MV40" s="822"/>
      <c r="MW40" s="822"/>
      <c r="MX40" s="822"/>
      <c r="MY40" s="822"/>
      <c r="MZ40" s="822"/>
      <c r="NA40" s="822"/>
      <c r="NB40" s="822"/>
      <c r="NC40" s="822"/>
      <c r="ND40" s="822"/>
      <c r="NE40" s="822"/>
      <c r="NF40" s="822"/>
      <c r="NG40" s="822"/>
      <c r="NH40" s="822"/>
      <c r="NI40" s="822"/>
      <c r="NJ40" s="822"/>
      <c r="NK40" s="822"/>
      <c r="NL40" s="822"/>
      <c r="NM40" s="822"/>
      <c r="NN40" s="822"/>
      <c r="NO40" s="822"/>
      <c r="NP40" s="822"/>
      <c r="NQ40" s="822"/>
      <c r="NR40" s="822"/>
      <c r="NS40" s="822"/>
      <c r="NT40" s="822"/>
      <c r="NU40" s="822"/>
      <c r="NV40" s="822"/>
      <c r="NW40" s="822"/>
      <c r="NX40" s="822"/>
      <c r="NY40" s="822"/>
      <c r="NZ40" s="822"/>
      <c r="OA40" s="822"/>
      <c r="OB40" s="822"/>
      <c r="OC40" s="822"/>
      <c r="OD40" s="822"/>
      <c r="OE40" s="822"/>
      <c r="OF40" s="822"/>
      <c r="OG40" s="822"/>
      <c r="OH40" s="822"/>
      <c r="OI40" s="822"/>
      <c r="OJ40" s="822"/>
      <c r="OK40" s="822"/>
      <c r="OL40" s="822"/>
      <c r="OM40" s="822"/>
      <c r="ON40" s="822"/>
      <c r="OO40" s="822"/>
      <c r="OP40" s="822"/>
      <c r="OQ40" s="822"/>
      <c r="OR40" s="822"/>
      <c r="OS40" s="822"/>
      <c r="OT40" s="822"/>
      <c r="OU40" s="822"/>
      <c r="OV40" s="822"/>
      <c r="OW40" s="822"/>
      <c r="OX40" s="822"/>
      <c r="OY40" s="822"/>
      <c r="OZ40" s="822"/>
      <c r="PA40" s="822"/>
      <c r="PB40" s="822"/>
      <c r="PC40" s="822"/>
      <c r="PD40" s="822"/>
      <c r="PE40" s="822"/>
      <c r="PF40" s="822"/>
      <c r="PG40" s="822"/>
      <c r="PH40" s="822"/>
      <c r="PI40" s="822"/>
      <c r="PJ40" s="822"/>
      <c r="PK40" s="822"/>
      <c r="PL40" s="822"/>
      <c r="PM40" s="822"/>
      <c r="PN40" s="822"/>
      <c r="PO40" s="822"/>
      <c r="PP40" s="822"/>
      <c r="PQ40" s="822"/>
      <c r="PR40" s="822"/>
      <c r="PS40" s="822"/>
      <c r="PT40" s="822"/>
      <c r="PU40" s="822"/>
      <c r="PV40" s="822"/>
      <c r="PW40" s="822"/>
      <c r="PX40" s="822"/>
      <c r="PY40" s="822"/>
      <c r="PZ40" s="822"/>
      <c r="QA40" s="822"/>
      <c r="QB40" s="822"/>
      <c r="QC40" s="822"/>
      <c r="QD40" s="822"/>
      <c r="QE40" s="822"/>
      <c r="QF40" s="822"/>
      <c r="QG40" s="822"/>
      <c r="QH40" s="822"/>
      <c r="QI40" s="822"/>
      <c r="QJ40" s="822"/>
      <c r="QK40" s="822"/>
      <c r="QL40" s="822"/>
      <c r="QM40" s="822"/>
      <c r="QN40" s="822"/>
      <c r="QO40" s="822"/>
      <c r="QP40" s="822"/>
      <c r="QQ40" s="822"/>
      <c r="QR40" s="822"/>
      <c r="QS40" s="822"/>
      <c r="QT40" s="822"/>
      <c r="QU40" s="822"/>
      <c r="QV40" s="822"/>
      <c r="QW40" s="822"/>
      <c r="QX40" s="822"/>
      <c r="QY40" s="822"/>
      <c r="QZ40" s="822"/>
      <c r="RA40" s="822"/>
      <c r="RB40" s="822"/>
      <c r="RC40" s="822"/>
      <c r="RD40" s="822"/>
      <c r="RE40" s="822"/>
      <c r="RF40" s="822"/>
      <c r="RG40" s="822"/>
      <c r="RH40" s="822"/>
      <c r="RI40" s="822"/>
      <c r="RJ40" s="822"/>
      <c r="RK40" s="822"/>
      <c r="RL40" s="822"/>
      <c r="RM40" s="822"/>
      <c r="RN40" s="822"/>
      <c r="RO40" s="822"/>
      <c r="RP40" s="822"/>
      <c r="RQ40" s="822"/>
      <c r="RR40" s="822"/>
      <c r="RS40" s="822"/>
      <c r="RT40" s="822"/>
      <c r="RU40" s="822"/>
      <c r="RV40" s="822"/>
      <c r="RW40" s="822"/>
      <c r="RX40" s="822"/>
      <c r="RY40" s="822"/>
      <c r="RZ40" s="822"/>
      <c r="SA40" s="822"/>
      <c r="SB40" s="822"/>
      <c r="SC40" s="822"/>
      <c r="SD40" s="822"/>
      <c r="SE40" s="822"/>
      <c r="SF40" s="822"/>
      <c r="SG40" s="822"/>
      <c r="SH40" s="822"/>
      <c r="SI40" s="822"/>
      <c r="SJ40" s="822"/>
      <c r="SK40" s="822"/>
      <c r="SL40" s="822"/>
      <c r="SM40" s="822"/>
      <c r="SN40" s="822"/>
      <c r="SO40" s="822"/>
      <c r="SP40" s="822"/>
      <c r="SQ40" s="822"/>
      <c r="SR40" s="822"/>
      <c r="SS40" s="822"/>
      <c r="ST40" s="822"/>
      <c r="SU40" s="822"/>
      <c r="SV40" s="822"/>
      <c r="SW40" s="822"/>
      <c r="SX40" s="822"/>
      <c r="SY40" s="822"/>
      <c r="SZ40" s="822"/>
      <c r="TA40" s="822"/>
      <c r="TB40" s="822"/>
      <c r="TC40" s="822"/>
      <c r="TD40" s="822"/>
      <c r="TE40" s="822"/>
      <c r="TF40" s="822"/>
      <c r="TG40" s="822"/>
      <c r="TH40" s="822"/>
      <c r="TI40" s="822"/>
      <c r="TJ40" s="822"/>
      <c r="TK40" s="822"/>
      <c r="TL40" s="822"/>
      <c r="TM40" s="822"/>
      <c r="TN40" s="822"/>
      <c r="TO40" s="822"/>
      <c r="TP40" s="822"/>
      <c r="TQ40" s="822"/>
      <c r="TR40" s="822"/>
      <c r="TS40" s="822"/>
      <c r="TT40" s="822"/>
      <c r="TU40" s="822"/>
      <c r="TV40" s="822"/>
      <c r="TW40" s="822"/>
      <c r="TX40" s="822"/>
      <c r="TY40" s="822"/>
      <c r="TZ40" s="822"/>
      <c r="UA40" s="822"/>
      <c r="UB40" s="822"/>
      <c r="UC40" s="822"/>
      <c r="UD40" s="822"/>
      <c r="UE40" s="822"/>
      <c r="UF40" s="822"/>
      <c r="UG40" s="822"/>
      <c r="UH40" s="822"/>
      <c r="UI40" s="822"/>
      <c r="UJ40" s="822"/>
      <c r="UK40" s="822"/>
      <c r="UL40" s="822"/>
      <c r="UM40" s="822"/>
      <c r="UN40" s="822"/>
      <c r="UO40" s="822"/>
      <c r="UP40" s="822"/>
      <c r="UQ40" s="822"/>
      <c r="UR40" s="822"/>
      <c r="US40" s="822"/>
      <c r="UT40" s="822"/>
      <c r="UU40" s="822"/>
      <c r="UV40" s="822"/>
      <c r="UW40" s="822"/>
      <c r="UX40" s="822"/>
      <c r="UY40" s="822"/>
      <c r="UZ40" s="822"/>
      <c r="VA40" s="822"/>
      <c r="VB40" s="822"/>
      <c r="VC40" s="822"/>
      <c r="VD40" s="822"/>
      <c r="VE40" s="822"/>
      <c r="VF40" s="822"/>
      <c r="VG40" s="822"/>
      <c r="VH40" s="822"/>
      <c r="VI40" s="822"/>
      <c r="VJ40" s="822"/>
      <c r="VK40" s="822"/>
      <c r="VL40" s="822"/>
      <c r="VM40" s="822"/>
      <c r="VN40" s="822"/>
      <c r="VO40" s="822"/>
      <c r="VP40" s="822"/>
      <c r="VQ40" s="822"/>
      <c r="VR40" s="822"/>
      <c r="VS40" s="822"/>
      <c r="VT40" s="822"/>
      <c r="VU40" s="822"/>
      <c r="VV40" s="822"/>
      <c r="VW40" s="822"/>
      <c r="VX40" s="822"/>
      <c r="VY40" s="822"/>
      <c r="VZ40" s="822"/>
      <c r="WA40" s="822"/>
      <c r="WB40" s="822"/>
      <c r="WC40" s="822"/>
      <c r="WD40" s="822"/>
      <c r="WE40" s="822"/>
      <c r="WF40" s="822"/>
      <c r="WG40" s="822"/>
      <c r="WH40" s="822"/>
      <c r="WI40" s="822"/>
      <c r="WJ40" s="822"/>
      <c r="WK40" s="822"/>
      <c r="WL40" s="822"/>
      <c r="WM40" s="822"/>
      <c r="WN40" s="822"/>
      <c r="WO40" s="822"/>
      <c r="WP40" s="822"/>
      <c r="WQ40" s="822"/>
      <c r="WR40" s="822"/>
      <c r="WS40" s="822"/>
      <c r="WT40" s="822"/>
      <c r="WU40" s="822"/>
      <c r="WV40" s="822"/>
      <c r="WW40" s="822"/>
      <c r="WX40" s="822"/>
      <c r="WY40" s="822"/>
      <c r="WZ40" s="822"/>
      <c r="XA40" s="822"/>
      <c r="XB40" s="822"/>
      <c r="XC40" s="822"/>
      <c r="XD40" s="822"/>
      <c r="XE40" s="822"/>
      <c r="XF40" s="822"/>
      <c r="XG40" s="822"/>
      <c r="XH40" s="822"/>
      <c r="XI40" s="822"/>
      <c r="XJ40" s="822"/>
      <c r="XK40" s="822"/>
      <c r="XL40" s="822"/>
      <c r="XM40" s="822"/>
      <c r="XN40" s="822"/>
      <c r="XO40" s="822"/>
      <c r="XP40" s="822"/>
      <c r="XQ40" s="822"/>
      <c r="XR40" s="822"/>
      <c r="XS40" s="822"/>
      <c r="XT40" s="822"/>
      <c r="XU40" s="822"/>
      <c r="XV40" s="822"/>
      <c r="XW40" s="822"/>
      <c r="XX40" s="822"/>
      <c r="XY40" s="822"/>
      <c r="XZ40" s="822"/>
      <c r="YA40" s="822"/>
      <c r="YB40" s="822"/>
      <c r="YC40" s="822"/>
      <c r="YD40" s="822"/>
      <c r="YE40" s="822"/>
      <c r="YF40" s="822"/>
      <c r="YG40" s="822"/>
      <c r="YH40" s="822"/>
      <c r="YI40" s="822"/>
      <c r="YJ40" s="822"/>
      <c r="YK40" s="822"/>
      <c r="YL40" s="822"/>
      <c r="YM40" s="822"/>
      <c r="YN40" s="822"/>
      <c r="YO40" s="822"/>
      <c r="YP40" s="822"/>
      <c r="YQ40" s="822"/>
      <c r="YR40" s="822"/>
      <c r="YS40" s="822"/>
      <c r="YT40" s="822"/>
      <c r="YU40" s="822"/>
      <c r="YV40" s="822"/>
      <c r="YW40" s="822"/>
      <c r="YX40" s="822"/>
      <c r="YY40" s="822"/>
      <c r="YZ40" s="822"/>
      <c r="ZA40" s="822"/>
      <c r="ZB40" s="822"/>
      <c r="ZC40" s="822"/>
      <c r="ZD40" s="822"/>
      <c r="ZE40" s="822"/>
      <c r="ZF40" s="822"/>
      <c r="ZG40" s="822"/>
      <c r="ZH40" s="822"/>
      <c r="ZI40" s="822"/>
      <c r="ZJ40" s="822"/>
      <c r="ZK40" s="822"/>
      <c r="ZL40" s="822"/>
      <c r="ZM40" s="822"/>
      <c r="ZN40" s="822"/>
      <c r="ZO40" s="822"/>
      <c r="ZP40" s="822"/>
      <c r="ZQ40" s="822"/>
      <c r="ZR40" s="822"/>
      <c r="ZS40" s="822"/>
      <c r="ZT40" s="822"/>
      <c r="ZU40" s="822"/>
      <c r="ZV40" s="822"/>
      <c r="ZW40" s="822"/>
      <c r="ZX40" s="822"/>
      <c r="ZY40" s="822"/>
      <c r="ZZ40" s="822"/>
      <c r="AAA40" s="822"/>
      <c r="AAB40" s="822"/>
      <c r="AAC40" s="822"/>
      <c r="AAD40" s="822"/>
      <c r="AAE40" s="822"/>
      <c r="AAF40" s="822"/>
      <c r="AAG40" s="822"/>
      <c r="AAH40" s="822"/>
      <c r="AAI40" s="822"/>
      <c r="AAJ40" s="822"/>
      <c r="AAK40" s="822"/>
      <c r="AAL40" s="822"/>
      <c r="AAM40" s="822"/>
      <c r="AAN40" s="822"/>
      <c r="AAO40" s="822"/>
      <c r="AAP40" s="822"/>
      <c r="AAQ40" s="822"/>
      <c r="AAR40" s="822"/>
      <c r="AAS40" s="822"/>
      <c r="AAT40" s="822"/>
      <c r="AAU40" s="822"/>
      <c r="AAV40" s="822"/>
      <c r="AAW40" s="822"/>
      <c r="AAX40" s="822"/>
      <c r="AAY40" s="822"/>
      <c r="AAZ40" s="822"/>
      <c r="ABA40" s="822"/>
      <c r="ABB40" s="822"/>
      <c r="ABC40" s="822"/>
      <c r="ABD40" s="822"/>
      <c r="ABE40" s="822"/>
      <c r="ABF40" s="822"/>
      <c r="ABG40" s="822"/>
      <c r="ABH40" s="822"/>
      <c r="ABI40" s="822"/>
      <c r="ABJ40" s="822"/>
      <c r="ABK40" s="822"/>
      <c r="ABL40" s="822"/>
      <c r="ABM40" s="822"/>
      <c r="ABN40" s="822"/>
      <c r="ABO40" s="822"/>
      <c r="ABP40" s="822"/>
      <c r="ABQ40" s="822"/>
      <c r="ABR40" s="822"/>
      <c r="ABS40" s="822"/>
      <c r="ABT40" s="822"/>
      <c r="ABU40" s="822"/>
      <c r="ABV40" s="822"/>
      <c r="ABW40" s="822"/>
      <c r="ABX40" s="822"/>
      <c r="ABY40" s="822"/>
      <c r="ABZ40" s="822"/>
      <c r="ACA40" s="822"/>
      <c r="ACB40" s="822"/>
      <c r="ACC40" s="822"/>
      <c r="ACD40" s="822"/>
      <c r="ACE40" s="822"/>
      <c r="ACF40" s="822"/>
      <c r="ACG40" s="822"/>
      <c r="ACH40" s="822"/>
      <c r="ACI40" s="822"/>
      <c r="ACJ40" s="822"/>
      <c r="ACK40" s="822"/>
      <c r="ACL40" s="822"/>
      <c r="ACM40" s="822"/>
      <c r="ACN40" s="822"/>
      <c r="ACO40" s="822"/>
      <c r="ACP40" s="822"/>
      <c r="ACQ40" s="822"/>
      <c r="ACR40" s="822"/>
      <c r="ACS40" s="822"/>
      <c r="ACT40" s="822"/>
      <c r="ACU40" s="822"/>
      <c r="ACV40" s="822"/>
      <c r="ACW40" s="822"/>
      <c r="ACX40" s="822"/>
      <c r="ACY40" s="822"/>
      <c r="ACZ40" s="822"/>
      <c r="ADA40" s="822"/>
      <c r="ADB40" s="822"/>
      <c r="ADC40" s="822"/>
      <c r="ADD40" s="822"/>
      <c r="ADE40" s="822"/>
      <c r="ADF40" s="822"/>
      <c r="ADG40" s="822"/>
      <c r="ADH40" s="822"/>
      <c r="ADI40" s="822"/>
      <c r="ADJ40" s="822"/>
      <c r="ADK40" s="822"/>
      <c r="ADL40" s="822"/>
      <c r="ADM40" s="822"/>
      <c r="ADN40" s="822"/>
      <c r="ADO40" s="822"/>
      <c r="ADP40" s="822"/>
      <c r="ADQ40" s="822"/>
      <c r="ADR40" s="822"/>
      <c r="ADS40" s="822"/>
      <c r="ADT40" s="822"/>
      <c r="ADU40" s="822"/>
      <c r="ADV40" s="822"/>
      <c r="ADW40" s="822"/>
      <c r="ADX40" s="822"/>
      <c r="ADY40" s="822"/>
      <c r="ADZ40" s="822"/>
      <c r="AEA40" s="822"/>
      <c r="AEB40" s="822"/>
      <c r="AEC40" s="822"/>
      <c r="AED40" s="822"/>
      <c r="AEE40" s="822"/>
      <c r="AEF40" s="822"/>
      <c r="AEG40" s="822"/>
      <c r="AEH40" s="822"/>
      <c r="AEI40" s="822"/>
      <c r="AEJ40" s="822"/>
      <c r="AEK40" s="822"/>
      <c r="AEL40" s="822"/>
      <c r="AEM40" s="822"/>
      <c r="AEN40" s="822"/>
      <c r="AEO40" s="822"/>
      <c r="AEP40" s="822"/>
      <c r="AEQ40" s="822"/>
      <c r="AER40" s="822"/>
      <c r="AES40" s="822"/>
      <c r="AET40" s="822"/>
      <c r="AEU40" s="822"/>
      <c r="AEV40" s="822"/>
      <c r="AEW40" s="822"/>
      <c r="AEX40" s="822"/>
      <c r="AEY40" s="822"/>
      <c r="AEZ40" s="822"/>
      <c r="AFA40" s="822"/>
      <c r="AFB40" s="822"/>
      <c r="AFC40" s="822"/>
      <c r="AFD40" s="822"/>
      <c r="AFE40" s="822"/>
      <c r="AFF40" s="822"/>
      <c r="AFG40" s="822"/>
      <c r="AFH40" s="822"/>
      <c r="AFI40" s="822"/>
      <c r="AFJ40" s="822"/>
      <c r="AFK40" s="822"/>
      <c r="AFL40" s="822"/>
      <c r="AFM40" s="822"/>
      <c r="AFN40" s="822"/>
      <c r="AFO40" s="822"/>
      <c r="AFP40" s="822"/>
      <c r="AFQ40" s="822"/>
      <c r="AFR40" s="822"/>
      <c r="AFS40" s="822"/>
      <c r="AFT40" s="822"/>
      <c r="AFU40" s="822"/>
      <c r="AFV40" s="822"/>
      <c r="AFW40" s="822"/>
      <c r="AFX40" s="822"/>
      <c r="AFY40" s="822"/>
      <c r="AFZ40" s="822"/>
      <c r="AGA40" s="822"/>
      <c r="AGB40" s="822"/>
      <c r="AGC40" s="822"/>
      <c r="AGD40" s="822"/>
      <c r="AGE40" s="822"/>
      <c r="AGF40" s="822"/>
      <c r="AGG40" s="822"/>
      <c r="AGH40" s="822"/>
      <c r="AGI40" s="822"/>
      <c r="AGJ40" s="822"/>
      <c r="AGK40" s="822"/>
      <c r="AGL40" s="822"/>
      <c r="AGM40" s="822"/>
      <c r="AGN40" s="822"/>
      <c r="AGO40" s="822"/>
      <c r="AGP40" s="822"/>
      <c r="AGQ40" s="822"/>
      <c r="AGR40" s="822"/>
      <c r="AGS40" s="822"/>
      <c r="AGT40" s="822"/>
      <c r="AGU40" s="822"/>
      <c r="AGV40" s="822"/>
      <c r="AGW40" s="822"/>
      <c r="AGX40" s="822"/>
      <c r="AGY40" s="822"/>
      <c r="AGZ40" s="822"/>
      <c r="AHA40" s="822"/>
      <c r="AHB40" s="822"/>
      <c r="AHC40" s="822"/>
      <c r="AHD40" s="822"/>
      <c r="AHE40" s="822"/>
      <c r="AHF40" s="822"/>
      <c r="AHG40" s="822"/>
      <c r="AHH40" s="822"/>
      <c r="AHI40" s="822"/>
      <c r="AHJ40" s="822"/>
      <c r="AHK40" s="822"/>
      <c r="AHL40" s="822"/>
      <c r="AHM40" s="822"/>
      <c r="AHN40" s="822"/>
      <c r="AHO40" s="822"/>
      <c r="AHP40" s="822"/>
      <c r="AHQ40" s="822"/>
      <c r="AHR40" s="822"/>
      <c r="AHS40" s="822"/>
      <c r="AHT40" s="822"/>
      <c r="AHU40" s="822"/>
      <c r="AHV40" s="822"/>
      <c r="AHW40" s="822"/>
      <c r="AHX40" s="822"/>
      <c r="AHY40" s="822"/>
      <c r="AHZ40" s="822"/>
      <c r="AIA40" s="822"/>
      <c r="AIB40" s="822"/>
      <c r="AIC40" s="822"/>
      <c r="AID40" s="822"/>
      <c r="AIE40" s="822"/>
      <c r="AIF40" s="822"/>
      <c r="AIG40" s="822"/>
      <c r="AIH40" s="822"/>
      <c r="AII40" s="822"/>
      <c r="AIJ40" s="822"/>
      <c r="AIK40" s="822"/>
      <c r="AIL40" s="822"/>
      <c r="AIM40" s="822"/>
      <c r="AIN40" s="822"/>
      <c r="AIO40" s="822"/>
      <c r="AIP40" s="822"/>
      <c r="AIQ40" s="822"/>
      <c r="AIR40" s="822"/>
      <c r="AIS40" s="822"/>
      <c r="AIT40" s="822"/>
      <c r="AIU40" s="822"/>
      <c r="AIV40" s="822"/>
      <c r="AIW40" s="822"/>
      <c r="AIX40" s="822"/>
      <c r="AIY40" s="822"/>
      <c r="AIZ40" s="822"/>
      <c r="AJA40" s="822"/>
      <c r="AJB40" s="822"/>
      <c r="AJC40" s="822"/>
      <c r="AJD40" s="822"/>
      <c r="AJE40" s="822"/>
      <c r="AJF40" s="822"/>
      <c r="AJG40" s="822"/>
      <c r="AJH40" s="822"/>
      <c r="AJI40" s="822"/>
      <c r="AJJ40" s="822"/>
      <c r="AJK40" s="822"/>
      <c r="AJL40" s="822"/>
      <c r="AJM40" s="822"/>
      <c r="AJN40" s="822"/>
      <c r="AJO40" s="822"/>
      <c r="AJP40" s="822"/>
      <c r="AJQ40" s="822"/>
      <c r="AJR40" s="822"/>
      <c r="AJS40" s="822"/>
      <c r="AJT40" s="822"/>
      <c r="AJU40" s="822"/>
      <c r="AJV40" s="822"/>
      <c r="AJW40" s="822"/>
      <c r="AJX40" s="822"/>
      <c r="AJY40" s="822"/>
      <c r="AJZ40" s="822"/>
      <c r="AKA40" s="822"/>
      <c r="AKB40" s="822"/>
      <c r="AKC40" s="822"/>
      <c r="AKD40" s="822"/>
      <c r="AKE40" s="822"/>
      <c r="AKF40" s="822"/>
      <c r="AKG40" s="822"/>
      <c r="AKH40" s="822"/>
      <c r="AKI40" s="822"/>
      <c r="AKJ40" s="822"/>
      <c r="AKK40" s="822"/>
      <c r="AKL40" s="822"/>
      <c r="AKM40" s="822"/>
      <c r="AKN40" s="822"/>
      <c r="AKO40" s="822"/>
      <c r="AKP40" s="822"/>
      <c r="AKQ40" s="822"/>
      <c r="AKR40" s="822"/>
      <c r="AKS40" s="822"/>
      <c r="AKT40" s="822"/>
      <c r="AKU40" s="822"/>
      <c r="AKV40" s="822"/>
      <c r="AKW40" s="822"/>
      <c r="AKX40" s="822"/>
      <c r="AKY40" s="822"/>
      <c r="AKZ40" s="822"/>
      <c r="ALA40" s="822"/>
      <c r="ALB40" s="822"/>
      <c r="ALC40" s="822"/>
      <c r="ALD40" s="822"/>
      <c r="ALE40" s="822"/>
      <c r="ALF40" s="822"/>
      <c r="ALG40" s="822"/>
      <c r="ALH40" s="822"/>
      <c r="ALI40" s="822"/>
      <c r="ALJ40" s="822"/>
      <c r="ALK40" s="822"/>
      <c r="ALL40" s="822"/>
      <c r="ALM40" s="822"/>
      <c r="ALN40" s="822"/>
      <c r="ALO40" s="822"/>
      <c r="ALP40" s="822"/>
      <c r="ALQ40" s="822"/>
      <c r="ALR40" s="822"/>
      <c r="ALS40" s="822"/>
      <c r="ALT40" s="822"/>
      <c r="ALU40" s="822"/>
      <c r="ALV40" s="822"/>
      <c r="ALW40" s="822"/>
      <c r="ALX40" s="822"/>
      <c r="ALY40" s="822"/>
      <c r="ALZ40" s="822"/>
      <c r="AMA40" s="822"/>
      <c r="AMB40" s="822"/>
      <c r="AMC40" s="822"/>
      <c r="AMD40" s="822"/>
      <c r="AME40" s="822"/>
      <c r="AMF40" s="822"/>
      <c r="AMG40" s="822"/>
      <c r="AMH40" s="822"/>
      <c r="AMI40" s="822"/>
      <c r="AMJ40" s="822"/>
      <c r="AMK40" s="822"/>
      <c r="AML40" s="822"/>
      <c r="AMM40" s="822"/>
      <c r="AMN40" s="822"/>
      <c r="AMO40" s="822"/>
      <c r="AMP40" s="822"/>
      <c r="AMQ40" s="822"/>
      <c r="AMR40" s="822"/>
      <c r="AMS40" s="822"/>
      <c r="AMT40" s="822"/>
      <c r="AMU40" s="822"/>
      <c r="AMV40" s="822"/>
      <c r="AMW40" s="822"/>
      <c r="AMX40" s="822"/>
      <c r="AMY40" s="822"/>
      <c r="AMZ40" s="822"/>
      <c r="ANA40" s="822"/>
      <c r="ANB40" s="822"/>
      <c r="ANC40" s="822"/>
      <c r="AND40" s="822"/>
      <c r="ANE40" s="822"/>
      <c r="ANF40" s="822"/>
      <c r="ANG40" s="822"/>
      <c r="ANH40" s="822"/>
      <c r="ANI40" s="822"/>
      <c r="ANJ40" s="822"/>
      <c r="ANK40" s="822"/>
      <c r="ANL40" s="822"/>
      <c r="ANM40" s="822"/>
      <c r="ANN40" s="822"/>
      <c r="ANO40" s="822"/>
      <c r="ANP40" s="822"/>
      <c r="ANQ40" s="822"/>
      <c r="ANR40" s="822"/>
      <c r="ANS40" s="822"/>
      <c r="ANT40" s="822"/>
      <c r="ANU40" s="822"/>
      <c r="ANV40" s="822"/>
      <c r="ANW40" s="822"/>
      <c r="ANX40" s="822"/>
      <c r="ANY40" s="822"/>
      <c r="ANZ40" s="822"/>
      <c r="AOA40" s="822"/>
      <c r="AOB40" s="822"/>
      <c r="AOC40" s="822"/>
      <c r="AOD40" s="822"/>
      <c r="AOE40" s="822"/>
      <c r="AOF40" s="822"/>
      <c r="AOG40" s="822"/>
      <c r="AOH40" s="822"/>
      <c r="AOI40" s="822"/>
      <c r="AOJ40" s="822"/>
      <c r="AOK40" s="822"/>
      <c r="AOL40" s="822"/>
      <c r="AOM40" s="822"/>
      <c r="AON40" s="822"/>
      <c r="AOO40" s="822"/>
      <c r="AOP40" s="822"/>
      <c r="AOQ40" s="822"/>
      <c r="AOR40" s="822"/>
      <c r="AOS40" s="822"/>
      <c r="AOT40" s="822"/>
      <c r="AOU40" s="822"/>
      <c r="AOV40" s="822"/>
      <c r="AOW40" s="822"/>
      <c r="AOX40" s="822"/>
      <c r="AOY40" s="822"/>
      <c r="AOZ40" s="822"/>
      <c r="APA40" s="822"/>
      <c r="APB40" s="822"/>
      <c r="APC40" s="822"/>
      <c r="APD40" s="822"/>
      <c r="APE40" s="822"/>
      <c r="APF40" s="822"/>
      <c r="APG40" s="822"/>
      <c r="APH40" s="822"/>
      <c r="API40" s="822"/>
      <c r="APJ40" s="822"/>
      <c r="APK40" s="822"/>
      <c r="APL40" s="822"/>
      <c r="APM40" s="822"/>
      <c r="APN40" s="822"/>
      <c r="APO40" s="822"/>
      <c r="APP40" s="822"/>
      <c r="APQ40" s="822"/>
      <c r="APR40" s="822"/>
      <c r="APS40" s="822"/>
      <c r="APT40" s="822"/>
      <c r="APU40" s="822"/>
      <c r="APV40" s="822"/>
      <c r="APW40" s="822"/>
      <c r="APX40" s="822"/>
      <c r="APY40" s="822"/>
      <c r="APZ40" s="822"/>
      <c r="AQA40" s="822"/>
      <c r="AQB40" s="822"/>
      <c r="AQC40" s="822"/>
      <c r="AQD40" s="822"/>
      <c r="AQE40" s="822"/>
      <c r="AQF40" s="822"/>
      <c r="AQG40" s="822"/>
      <c r="AQH40" s="822"/>
      <c r="AQI40" s="822"/>
      <c r="AQJ40" s="822"/>
      <c r="AQK40" s="822"/>
      <c r="AQL40" s="822"/>
      <c r="AQM40" s="822"/>
      <c r="AQN40" s="822"/>
      <c r="AQO40" s="822"/>
      <c r="AQP40" s="822"/>
      <c r="AQQ40" s="822"/>
      <c r="AQR40" s="822"/>
      <c r="AQS40" s="822"/>
      <c r="AQT40" s="822"/>
      <c r="AQU40" s="822"/>
      <c r="AQV40" s="822"/>
      <c r="AQW40" s="822"/>
      <c r="AQX40" s="822"/>
      <c r="AQY40" s="822"/>
      <c r="AQZ40" s="822"/>
      <c r="ARA40" s="822"/>
      <c r="ARB40" s="822"/>
      <c r="ARC40" s="822"/>
      <c r="ARD40" s="822"/>
      <c r="ARE40" s="822"/>
      <c r="ARF40" s="822"/>
      <c r="ARG40" s="822"/>
      <c r="ARH40" s="822"/>
      <c r="ARI40" s="822"/>
      <c r="ARJ40" s="822"/>
      <c r="ARK40" s="822"/>
      <c r="ARL40" s="822"/>
      <c r="ARM40" s="822"/>
      <c r="ARN40" s="822"/>
      <c r="ARO40" s="822"/>
      <c r="ARP40" s="822"/>
      <c r="ARQ40" s="822"/>
      <c r="ARR40" s="822"/>
      <c r="ARS40" s="822"/>
      <c r="ART40" s="822"/>
      <c r="ARU40" s="822"/>
      <c r="ARV40" s="822"/>
      <c r="ARW40" s="822"/>
      <c r="ARX40" s="822"/>
      <c r="ARY40" s="822"/>
      <c r="ARZ40" s="822"/>
      <c r="ASA40" s="822"/>
      <c r="ASB40" s="822"/>
      <c r="ASC40" s="822"/>
      <c r="ASD40" s="822"/>
      <c r="ASE40" s="822"/>
      <c r="ASF40" s="822"/>
      <c r="ASG40" s="822"/>
      <c r="ASH40" s="822"/>
      <c r="ASI40" s="822"/>
      <c r="ASJ40" s="822"/>
      <c r="ASK40" s="822"/>
      <c r="ASL40" s="822"/>
      <c r="ASM40" s="822"/>
      <c r="ASN40" s="822"/>
      <c r="ASO40" s="822"/>
      <c r="ASP40" s="822"/>
      <c r="ASQ40" s="822"/>
      <c r="ASR40" s="822"/>
      <c r="ASS40" s="822"/>
      <c r="AST40" s="822"/>
      <c r="ASU40" s="822"/>
      <c r="ASV40" s="822"/>
      <c r="ASW40" s="822"/>
      <c r="ASX40" s="822"/>
      <c r="ASY40" s="822"/>
      <c r="ASZ40" s="822"/>
      <c r="ATA40" s="822"/>
      <c r="ATB40" s="822"/>
      <c r="ATC40" s="822"/>
      <c r="ATD40" s="822"/>
      <c r="ATE40" s="822"/>
      <c r="ATF40" s="822"/>
      <c r="ATG40" s="822"/>
      <c r="ATH40" s="822"/>
      <c r="ATI40" s="822"/>
      <c r="ATJ40" s="822"/>
      <c r="ATK40" s="822"/>
      <c r="ATL40" s="822"/>
      <c r="ATM40" s="822"/>
      <c r="ATN40" s="822"/>
      <c r="ATO40" s="822"/>
      <c r="ATP40" s="822"/>
      <c r="ATQ40" s="822"/>
      <c r="ATR40" s="822"/>
      <c r="ATS40" s="822"/>
      <c r="ATT40" s="822"/>
      <c r="ATU40" s="822"/>
      <c r="ATV40" s="822"/>
      <c r="ATW40" s="822"/>
      <c r="ATX40" s="822"/>
      <c r="ATY40" s="822"/>
      <c r="ATZ40" s="822"/>
      <c r="AUA40" s="822"/>
      <c r="AUB40" s="822"/>
      <c r="AUC40" s="822"/>
      <c r="AUD40" s="822"/>
      <c r="AUE40" s="822"/>
      <c r="AUF40" s="822"/>
      <c r="AUG40" s="822"/>
      <c r="AUH40" s="822"/>
      <c r="AUI40" s="822"/>
      <c r="AUJ40" s="822"/>
      <c r="AUK40" s="822"/>
      <c r="AUL40" s="822"/>
      <c r="AUM40" s="822"/>
      <c r="AUN40" s="822"/>
      <c r="AUO40" s="822"/>
      <c r="AUP40" s="822"/>
      <c r="AUQ40" s="822"/>
      <c r="AUR40" s="822"/>
      <c r="AUS40" s="822"/>
      <c r="AUT40" s="822"/>
      <c r="AUU40" s="822"/>
      <c r="AUV40" s="822"/>
      <c r="AUW40" s="822"/>
      <c r="AUX40" s="822"/>
      <c r="AUY40" s="822"/>
      <c r="AUZ40" s="822"/>
      <c r="AVA40" s="822"/>
      <c r="AVB40" s="822"/>
      <c r="AVC40" s="822"/>
      <c r="AVD40" s="822"/>
      <c r="AVE40" s="822"/>
      <c r="AVF40" s="822"/>
      <c r="AVG40" s="822"/>
      <c r="AVH40" s="822"/>
      <c r="AVI40" s="822"/>
      <c r="AVJ40" s="822"/>
      <c r="AVK40" s="822"/>
      <c r="AVL40" s="822"/>
      <c r="AVM40" s="822"/>
      <c r="AVN40" s="822"/>
      <c r="AVO40" s="822"/>
      <c r="AVP40" s="822"/>
      <c r="AVQ40" s="822"/>
      <c r="AVR40" s="822"/>
      <c r="AVS40" s="822"/>
      <c r="AVT40" s="822"/>
      <c r="AVU40" s="822"/>
      <c r="AVV40" s="822"/>
      <c r="AVW40" s="822"/>
      <c r="AVX40" s="822"/>
      <c r="AVY40" s="822"/>
      <c r="AVZ40" s="822"/>
      <c r="AWA40" s="822"/>
      <c r="AWB40" s="822"/>
      <c r="AWC40" s="822"/>
      <c r="AWD40" s="822"/>
      <c r="AWE40" s="822"/>
      <c r="AWF40" s="822"/>
      <c r="AWG40" s="822"/>
      <c r="AWH40" s="822"/>
      <c r="AWI40" s="822"/>
      <c r="AWJ40" s="822"/>
      <c r="AWK40" s="822"/>
      <c r="AWL40" s="822"/>
      <c r="AWM40" s="822"/>
      <c r="AWN40" s="822"/>
      <c r="AWO40" s="822"/>
      <c r="AWP40" s="822"/>
      <c r="AWQ40" s="822"/>
      <c r="AWR40" s="822"/>
      <c r="AWS40" s="822"/>
      <c r="AWT40" s="822"/>
      <c r="AWU40" s="822"/>
      <c r="AWV40" s="822"/>
      <c r="AWW40" s="822"/>
      <c r="AWX40" s="822"/>
      <c r="AWY40" s="822"/>
      <c r="AWZ40" s="822"/>
      <c r="AXA40" s="822"/>
      <c r="AXB40" s="822"/>
      <c r="AXC40" s="822"/>
      <c r="AXD40" s="822"/>
      <c r="AXE40" s="822"/>
      <c r="AXF40" s="822"/>
      <c r="AXG40" s="822"/>
      <c r="AXH40" s="822"/>
      <c r="AXI40" s="822"/>
      <c r="AXJ40" s="822"/>
      <c r="AXK40" s="822"/>
      <c r="AXL40" s="822"/>
      <c r="AXM40" s="822"/>
      <c r="AXN40" s="822"/>
      <c r="AXO40" s="822"/>
      <c r="AXP40" s="822"/>
      <c r="AXQ40" s="822"/>
      <c r="AXR40" s="822"/>
      <c r="AXS40" s="822"/>
      <c r="AXT40" s="822"/>
      <c r="AXU40" s="822"/>
      <c r="AXV40" s="822"/>
      <c r="AXW40" s="822"/>
      <c r="AXX40" s="822"/>
      <c r="AXY40" s="822"/>
      <c r="AXZ40" s="822"/>
      <c r="AYA40" s="822"/>
      <c r="AYB40" s="822"/>
      <c r="AYC40" s="822"/>
      <c r="AYD40" s="822"/>
      <c r="AYE40" s="822"/>
      <c r="AYF40" s="822"/>
      <c r="AYG40" s="822"/>
      <c r="AYH40" s="822"/>
      <c r="AYI40" s="822"/>
      <c r="AYJ40" s="822"/>
      <c r="AYK40" s="822"/>
      <c r="AYL40" s="822"/>
      <c r="AYM40" s="822"/>
      <c r="AYN40" s="822"/>
      <c r="AYO40" s="822"/>
      <c r="AYP40" s="822"/>
      <c r="AYQ40" s="822"/>
      <c r="AYR40" s="822"/>
      <c r="AYS40" s="822"/>
      <c r="AYT40" s="822"/>
      <c r="AYU40" s="822"/>
      <c r="AYV40" s="822"/>
      <c r="AYW40" s="822"/>
      <c r="AYX40" s="822"/>
      <c r="AYY40" s="822"/>
      <c r="AYZ40" s="822"/>
      <c r="AZA40" s="822"/>
      <c r="AZB40" s="822"/>
      <c r="AZC40" s="822"/>
      <c r="AZD40" s="822"/>
      <c r="AZE40" s="822"/>
      <c r="AZF40" s="822"/>
      <c r="AZG40" s="822"/>
      <c r="AZH40" s="822"/>
      <c r="AZI40" s="822"/>
      <c r="AZJ40" s="822"/>
      <c r="AZK40" s="822"/>
      <c r="AZL40" s="822"/>
      <c r="AZM40" s="822"/>
      <c r="AZN40" s="822"/>
      <c r="AZO40" s="822"/>
      <c r="AZP40" s="822"/>
      <c r="AZQ40" s="822"/>
      <c r="AZR40" s="822"/>
      <c r="AZS40" s="822"/>
      <c r="AZT40" s="822"/>
      <c r="AZU40" s="822"/>
      <c r="AZV40" s="822"/>
      <c r="AZW40" s="822"/>
      <c r="AZX40" s="822"/>
      <c r="AZY40" s="822"/>
      <c r="AZZ40" s="822"/>
      <c r="BAA40" s="822"/>
      <c r="BAB40" s="822"/>
      <c r="BAC40" s="822"/>
      <c r="BAD40" s="822"/>
      <c r="BAE40" s="822"/>
      <c r="BAF40" s="822"/>
      <c r="BAG40" s="822"/>
      <c r="BAH40" s="822"/>
      <c r="BAI40" s="822"/>
      <c r="BAJ40" s="822"/>
      <c r="BAK40" s="822"/>
      <c r="BAL40" s="822"/>
      <c r="BAM40" s="822"/>
      <c r="BAN40" s="822"/>
      <c r="BAO40" s="822"/>
      <c r="BAP40" s="822"/>
      <c r="BAQ40" s="822"/>
      <c r="BAR40" s="822"/>
      <c r="BAS40" s="822"/>
      <c r="BAT40" s="822"/>
      <c r="BAU40" s="822"/>
      <c r="BAV40" s="822"/>
      <c r="BAW40" s="822"/>
      <c r="BAX40" s="822"/>
      <c r="BAY40" s="822"/>
      <c r="BAZ40" s="822"/>
      <c r="BBA40" s="822"/>
      <c r="BBB40" s="822"/>
      <c r="BBC40" s="822"/>
      <c r="BBD40" s="822"/>
      <c r="BBE40" s="822"/>
      <c r="BBF40" s="822"/>
      <c r="BBG40" s="822"/>
      <c r="BBH40" s="822"/>
      <c r="BBI40" s="822"/>
      <c r="BBJ40" s="822"/>
      <c r="BBK40" s="822"/>
      <c r="BBL40" s="822"/>
      <c r="BBM40" s="822"/>
      <c r="BBN40" s="822"/>
      <c r="BBO40" s="822"/>
      <c r="BBP40" s="822"/>
      <c r="BBQ40" s="822"/>
      <c r="BBR40" s="822"/>
      <c r="BBS40" s="822"/>
      <c r="BBT40" s="822"/>
      <c r="BBU40" s="822"/>
      <c r="BBV40" s="822"/>
      <c r="BBW40" s="822"/>
      <c r="BBX40" s="822"/>
      <c r="BBY40" s="822"/>
      <c r="BBZ40" s="822"/>
      <c r="BCA40" s="822"/>
      <c r="BCB40" s="822"/>
      <c r="BCC40" s="822"/>
      <c r="BCD40" s="822"/>
      <c r="BCE40" s="822"/>
      <c r="BCF40" s="822"/>
      <c r="BCG40" s="822"/>
      <c r="BCH40" s="822"/>
      <c r="BCI40" s="822"/>
      <c r="BCJ40" s="822"/>
      <c r="BCK40" s="822"/>
      <c r="BCL40" s="822"/>
      <c r="BCM40" s="822"/>
      <c r="BCN40" s="822"/>
      <c r="BCO40" s="822"/>
      <c r="BCP40" s="822"/>
      <c r="BCQ40" s="822"/>
      <c r="BCR40" s="822"/>
      <c r="BCS40" s="822"/>
      <c r="BCT40" s="822"/>
      <c r="BCU40" s="822"/>
      <c r="BCV40" s="822"/>
      <c r="BCW40" s="822"/>
      <c r="BCX40" s="822"/>
      <c r="BCY40" s="822"/>
      <c r="BCZ40" s="822"/>
      <c r="BDA40" s="822"/>
      <c r="BDB40" s="822"/>
      <c r="BDC40" s="822"/>
      <c r="BDD40" s="822"/>
      <c r="BDE40" s="822"/>
      <c r="BDF40" s="822"/>
      <c r="BDG40" s="822"/>
      <c r="BDH40" s="822"/>
      <c r="BDI40" s="822"/>
      <c r="BDJ40" s="822"/>
      <c r="BDK40" s="822"/>
      <c r="BDL40" s="822"/>
      <c r="BDM40" s="822"/>
      <c r="BDN40" s="822"/>
      <c r="BDO40" s="822"/>
      <c r="BDP40" s="822"/>
      <c r="BDQ40" s="822"/>
      <c r="BDR40" s="822"/>
      <c r="BDS40" s="822"/>
      <c r="BDT40" s="822"/>
      <c r="BDU40" s="822"/>
      <c r="BDV40" s="822"/>
      <c r="BDW40" s="822"/>
      <c r="BDX40" s="822"/>
      <c r="BDY40" s="822"/>
      <c r="BDZ40" s="822"/>
      <c r="BEA40" s="822"/>
      <c r="BEB40" s="822"/>
      <c r="BEC40" s="822"/>
      <c r="BED40" s="822"/>
      <c r="BEE40" s="822"/>
      <c r="BEF40" s="822"/>
      <c r="BEG40" s="822"/>
      <c r="BEH40" s="822"/>
      <c r="BEI40" s="822"/>
      <c r="BEJ40" s="822"/>
      <c r="BEK40" s="822"/>
      <c r="BEL40" s="822"/>
      <c r="BEM40" s="822"/>
      <c r="BEN40" s="822"/>
      <c r="BEO40" s="822"/>
      <c r="BEP40" s="822"/>
      <c r="BEQ40" s="822"/>
      <c r="BER40" s="822"/>
      <c r="BES40" s="822"/>
      <c r="BET40" s="822"/>
      <c r="BEU40" s="822"/>
      <c r="BEV40" s="822"/>
      <c r="BEW40" s="822"/>
      <c r="BEX40" s="822"/>
      <c r="BEY40" s="822"/>
      <c r="BEZ40" s="822"/>
      <c r="BFA40" s="822"/>
      <c r="BFB40" s="822"/>
      <c r="BFC40" s="822"/>
      <c r="BFD40" s="822"/>
      <c r="BFE40" s="822"/>
      <c r="BFF40" s="822"/>
      <c r="BFG40" s="822"/>
      <c r="BFH40" s="822"/>
      <c r="BFI40" s="822"/>
      <c r="BFJ40" s="822"/>
      <c r="BFK40" s="822"/>
      <c r="BFL40" s="822"/>
      <c r="BFM40" s="822"/>
      <c r="BFN40" s="822"/>
      <c r="BFO40" s="822"/>
      <c r="BFP40" s="822"/>
      <c r="BFQ40" s="822"/>
      <c r="BFR40" s="822"/>
      <c r="BFS40" s="822"/>
      <c r="BFT40" s="822"/>
      <c r="BFU40" s="822"/>
      <c r="BFV40" s="822"/>
      <c r="BFW40" s="822"/>
      <c r="BFX40" s="822"/>
      <c r="BFY40" s="822"/>
      <c r="BFZ40" s="822"/>
      <c r="BGA40" s="822"/>
      <c r="BGB40" s="822"/>
      <c r="BGC40" s="822"/>
      <c r="BGD40" s="822"/>
      <c r="BGE40" s="822"/>
      <c r="BGF40" s="822"/>
      <c r="BGG40" s="822"/>
      <c r="BGH40" s="822"/>
      <c r="BGI40" s="822"/>
      <c r="BGJ40" s="822"/>
      <c r="BGK40" s="822"/>
      <c r="BGL40" s="822"/>
      <c r="BGM40" s="822"/>
      <c r="BGN40" s="822"/>
      <c r="BGO40" s="822"/>
      <c r="BGP40" s="822"/>
      <c r="BGQ40" s="822"/>
      <c r="BGR40" s="822"/>
      <c r="BGS40" s="822"/>
      <c r="BGT40" s="822"/>
      <c r="BGU40" s="822"/>
      <c r="BGV40" s="822"/>
      <c r="BGW40" s="822"/>
      <c r="BGX40" s="822"/>
      <c r="BGY40" s="822"/>
      <c r="BGZ40" s="822"/>
      <c r="BHA40" s="822"/>
      <c r="BHB40" s="822"/>
      <c r="BHC40" s="822"/>
      <c r="BHD40" s="822"/>
      <c r="BHE40" s="822"/>
      <c r="BHF40" s="822"/>
      <c r="BHG40" s="822"/>
      <c r="BHH40" s="822"/>
      <c r="BHI40" s="822"/>
      <c r="BHJ40" s="822"/>
      <c r="BHK40" s="822"/>
      <c r="BHL40" s="822"/>
      <c r="BHM40" s="822"/>
      <c r="BHN40" s="822"/>
      <c r="BHO40" s="822"/>
      <c r="BHP40" s="822"/>
      <c r="BHQ40" s="822"/>
      <c r="BHR40" s="822"/>
      <c r="BHS40" s="822"/>
      <c r="BHT40" s="822"/>
      <c r="BHU40" s="822"/>
      <c r="BHV40" s="822"/>
      <c r="BHW40" s="822"/>
      <c r="BHX40" s="822"/>
      <c r="BHY40" s="822"/>
      <c r="BHZ40" s="822"/>
      <c r="BIA40" s="822"/>
      <c r="BIB40" s="822"/>
      <c r="BIC40" s="822"/>
      <c r="BID40" s="822"/>
      <c r="BIE40" s="822"/>
      <c r="BIF40" s="822"/>
      <c r="BIG40" s="822"/>
      <c r="BIH40" s="822"/>
      <c r="BII40" s="822"/>
      <c r="BIJ40" s="822"/>
      <c r="BIK40" s="822"/>
      <c r="BIL40" s="822"/>
      <c r="BIM40" s="822"/>
      <c r="BIN40" s="822"/>
      <c r="BIO40" s="822"/>
      <c r="BIP40" s="822"/>
      <c r="BIQ40" s="822"/>
      <c r="BIR40" s="822"/>
      <c r="BIS40" s="822"/>
      <c r="BIT40" s="822"/>
      <c r="BIU40" s="822"/>
      <c r="BIV40" s="822"/>
      <c r="BIW40" s="822"/>
      <c r="BIX40" s="822"/>
      <c r="BIY40" s="822"/>
      <c r="BIZ40" s="822"/>
      <c r="BJA40" s="822"/>
      <c r="BJB40" s="822"/>
      <c r="BJC40" s="822"/>
      <c r="BJD40" s="822"/>
      <c r="BJE40" s="822"/>
      <c r="BJF40" s="822"/>
      <c r="BJG40" s="822"/>
      <c r="BJH40" s="822"/>
      <c r="BJI40" s="822"/>
      <c r="BJJ40" s="822"/>
      <c r="BJK40" s="822"/>
      <c r="BJL40" s="822"/>
      <c r="BJM40" s="822"/>
      <c r="BJN40" s="822"/>
      <c r="BJO40" s="822"/>
      <c r="BJP40" s="822"/>
      <c r="BJQ40" s="822"/>
      <c r="BJR40" s="822"/>
      <c r="BJS40" s="822"/>
      <c r="BJT40" s="822"/>
      <c r="BJU40" s="822"/>
      <c r="BJV40" s="822"/>
      <c r="BJW40" s="822"/>
      <c r="BJX40" s="822"/>
      <c r="BJY40" s="822"/>
      <c r="BJZ40" s="822"/>
      <c r="BKA40" s="822"/>
      <c r="BKB40" s="822"/>
      <c r="BKC40" s="822"/>
      <c r="BKD40" s="822"/>
      <c r="BKE40" s="822"/>
      <c r="BKF40" s="822"/>
      <c r="BKG40" s="822"/>
      <c r="BKH40" s="822"/>
      <c r="BKI40" s="822"/>
      <c r="BKJ40" s="822"/>
      <c r="BKK40" s="822"/>
      <c r="BKL40" s="822"/>
      <c r="BKM40" s="822"/>
      <c r="BKN40" s="822"/>
      <c r="BKO40" s="822"/>
      <c r="BKP40" s="822"/>
      <c r="BKQ40" s="822"/>
      <c r="BKR40" s="822"/>
      <c r="BKS40" s="822"/>
      <c r="BKT40" s="822"/>
      <c r="BKU40" s="822"/>
      <c r="BKV40" s="822"/>
      <c r="BKW40" s="822"/>
      <c r="BKX40" s="822"/>
      <c r="BKY40" s="822"/>
      <c r="BKZ40" s="822"/>
      <c r="BLA40" s="822"/>
      <c r="BLB40" s="822"/>
      <c r="BLC40" s="822"/>
      <c r="BLD40" s="822"/>
      <c r="BLE40" s="822"/>
      <c r="BLF40" s="822"/>
      <c r="BLG40" s="822"/>
      <c r="BLH40" s="822"/>
      <c r="BLI40" s="822"/>
      <c r="BLJ40" s="822"/>
      <c r="BLK40" s="822"/>
      <c r="BLL40" s="822"/>
      <c r="BLM40" s="822"/>
      <c r="BLN40" s="822"/>
      <c r="BLO40" s="822"/>
      <c r="BLP40" s="822"/>
      <c r="BLQ40" s="822"/>
      <c r="BLR40" s="822"/>
      <c r="BLS40" s="822"/>
      <c r="BLT40" s="822"/>
      <c r="BLU40" s="822"/>
      <c r="BLV40" s="822"/>
      <c r="BLW40" s="822"/>
      <c r="BLX40" s="822"/>
      <c r="BLY40" s="822"/>
      <c r="BLZ40" s="822"/>
      <c r="BMA40" s="822"/>
      <c r="BMB40" s="822"/>
      <c r="BMC40" s="822"/>
      <c r="BMD40" s="822"/>
      <c r="BME40" s="822"/>
      <c r="BMF40" s="822"/>
      <c r="BMG40" s="822"/>
      <c r="BMH40" s="822"/>
      <c r="BMI40" s="822"/>
      <c r="BMJ40" s="822"/>
      <c r="BMK40" s="822"/>
      <c r="BML40" s="822"/>
      <c r="BMM40" s="822"/>
      <c r="BMN40" s="822"/>
      <c r="BMO40" s="822"/>
      <c r="BMP40" s="822"/>
      <c r="BMQ40" s="822"/>
      <c r="BMR40" s="822"/>
      <c r="BMS40" s="822"/>
      <c r="BMT40" s="822"/>
      <c r="BMU40" s="822"/>
      <c r="BMV40" s="822"/>
      <c r="BMW40" s="822"/>
      <c r="BMX40" s="822"/>
      <c r="BMY40" s="822"/>
      <c r="BMZ40" s="822"/>
      <c r="BNA40" s="822"/>
      <c r="BNB40" s="822"/>
      <c r="BNC40" s="822"/>
      <c r="BND40" s="822"/>
      <c r="BNE40" s="822"/>
      <c r="BNF40" s="822"/>
      <c r="BNG40" s="822"/>
      <c r="BNH40" s="822"/>
      <c r="BNI40" s="822"/>
      <c r="BNJ40" s="822"/>
      <c r="BNK40" s="822"/>
      <c r="BNL40" s="822"/>
      <c r="BNM40" s="822"/>
      <c r="BNN40" s="822"/>
      <c r="BNO40" s="822"/>
      <c r="BNP40" s="822"/>
      <c r="BNQ40" s="822"/>
      <c r="BNR40" s="822"/>
      <c r="BNS40" s="822"/>
      <c r="BNT40" s="822"/>
      <c r="BNU40" s="822"/>
      <c r="BNV40" s="822"/>
      <c r="BNW40" s="822"/>
      <c r="BNX40" s="822"/>
      <c r="BNY40" s="822"/>
      <c r="BNZ40" s="822"/>
      <c r="BOA40" s="822"/>
      <c r="BOB40" s="822"/>
      <c r="BOC40" s="822"/>
      <c r="BOD40" s="822"/>
      <c r="BOE40" s="822"/>
      <c r="BOF40" s="822"/>
      <c r="BOG40" s="822"/>
      <c r="BOH40" s="822"/>
      <c r="BOI40" s="822"/>
      <c r="BOJ40" s="822"/>
      <c r="BOK40" s="822"/>
      <c r="BOL40" s="822"/>
      <c r="BOM40" s="822"/>
      <c r="BON40" s="822"/>
      <c r="BOO40" s="822"/>
      <c r="BOP40" s="822"/>
      <c r="BOQ40" s="822"/>
      <c r="BOR40" s="822"/>
      <c r="BOS40" s="822"/>
      <c r="BOT40" s="822"/>
      <c r="BOU40" s="822"/>
      <c r="BOV40" s="822"/>
      <c r="BOW40" s="822"/>
      <c r="BOX40" s="822"/>
      <c r="BOY40" s="822"/>
      <c r="BOZ40" s="822"/>
      <c r="BPA40" s="822"/>
      <c r="BPB40" s="822"/>
      <c r="BPC40" s="822"/>
      <c r="BPD40" s="822"/>
      <c r="BPE40" s="822"/>
      <c r="BPF40" s="822"/>
      <c r="BPG40" s="822"/>
      <c r="BPH40" s="822"/>
      <c r="BPI40" s="822"/>
      <c r="BPJ40" s="822"/>
      <c r="BPK40" s="822"/>
      <c r="BPL40" s="822"/>
      <c r="BPM40" s="822"/>
      <c r="BPN40" s="822"/>
      <c r="BPO40" s="822"/>
      <c r="BPP40" s="822"/>
      <c r="BPQ40" s="822"/>
      <c r="BPR40" s="822"/>
      <c r="BPS40" s="822"/>
      <c r="BPT40" s="822"/>
      <c r="BPU40" s="822"/>
      <c r="BPV40" s="822"/>
      <c r="BPW40" s="822"/>
      <c r="BPX40" s="822"/>
      <c r="BPY40" s="822"/>
      <c r="BPZ40" s="822"/>
      <c r="BQA40" s="822"/>
      <c r="BQB40" s="822"/>
      <c r="BQC40" s="822"/>
      <c r="BQD40" s="822"/>
      <c r="BQE40" s="822"/>
      <c r="BQF40" s="822"/>
      <c r="BQG40" s="822"/>
      <c r="BQH40" s="822"/>
      <c r="BQI40" s="822"/>
      <c r="BQJ40" s="822"/>
      <c r="BQK40" s="822"/>
      <c r="BQL40" s="822"/>
      <c r="BQM40" s="822"/>
      <c r="BQN40" s="822"/>
      <c r="BQO40" s="822"/>
      <c r="BQP40" s="822"/>
      <c r="BQQ40" s="822"/>
      <c r="BQR40" s="822"/>
      <c r="BQS40" s="822"/>
      <c r="BQT40" s="822"/>
      <c r="BQU40" s="822"/>
      <c r="BQV40" s="822"/>
      <c r="BQW40" s="822"/>
      <c r="BQX40" s="822"/>
      <c r="BQY40" s="822"/>
      <c r="BQZ40" s="822"/>
      <c r="BRA40" s="822"/>
      <c r="BRB40" s="822"/>
      <c r="BRC40" s="822"/>
      <c r="BRD40" s="822"/>
      <c r="BRE40" s="822"/>
      <c r="BRF40" s="822"/>
      <c r="BRG40" s="822"/>
      <c r="BRH40" s="822"/>
      <c r="BRI40" s="822"/>
      <c r="BRJ40" s="822"/>
      <c r="BRK40" s="822"/>
      <c r="BRL40" s="822"/>
      <c r="BRM40" s="822"/>
      <c r="BRN40" s="822"/>
      <c r="BRO40" s="822"/>
      <c r="BRP40" s="822"/>
      <c r="BRQ40" s="822"/>
      <c r="BRR40" s="822"/>
      <c r="BRS40" s="822"/>
      <c r="BRT40" s="822"/>
      <c r="BRU40" s="822"/>
      <c r="BRV40" s="822"/>
      <c r="BRW40" s="822"/>
      <c r="BRX40" s="822"/>
      <c r="BRY40" s="822"/>
      <c r="BRZ40" s="822"/>
      <c r="BSA40" s="822"/>
      <c r="BSB40" s="822"/>
      <c r="BSC40" s="822"/>
      <c r="BSD40" s="822"/>
      <c r="BSE40" s="822"/>
      <c r="BSF40" s="822"/>
      <c r="BSG40" s="822"/>
      <c r="BSH40" s="822"/>
      <c r="BSI40" s="822"/>
      <c r="BSJ40" s="822"/>
      <c r="BSK40" s="822"/>
      <c r="BSL40" s="822"/>
      <c r="BSM40" s="822"/>
      <c r="BSN40" s="822"/>
      <c r="BSO40" s="822"/>
      <c r="BSP40" s="822"/>
      <c r="BSQ40" s="822"/>
      <c r="BSR40" s="822"/>
      <c r="BSS40" s="822"/>
      <c r="BST40" s="822"/>
      <c r="BSU40" s="822"/>
      <c r="BSV40" s="822"/>
      <c r="BSW40" s="822"/>
      <c r="BSX40" s="822"/>
      <c r="BSY40" s="822"/>
      <c r="BSZ40" s="822"/>
      <c r="BTA40" s="822"/>
      <c r="BTB40" s="822"/>
      <c r="BTC40" s="822"/>
      <c r="BTD40" s="822"/>
      <c r="BTE40" s="822"/>
      <c r="BTF40" s="822"/>
      <c r="BTG40" s="822"/>
      <c r="BTH40" s="822"/>
      <c r="BTI40" s="822"/>
      <c r="BTJ40" s="822"/>
      <c r="BTK40" s="822"/>
      <c r="BTL40" s="822"/>
      <c r="BTM40" s="822"/>
      <c r="BTN40" s="822"/>
      <c r="BTO40" s="822"/>
      <c r="BTP40" s="822"/>
      <c r="BTQ40" s="822"/>
      <c r="BTR40" s="822"/>
      <c r="BTS40" s="822"/>
      <c r="BTT40" s="822"/>
      <c r="BTU40" s="822"/>
      <c r="BTV40" s="822"/>
      <c r="BTW40" s="822"/>
      <c r="BTX40" s="822"/>
      <c r="BTY40" s="822"/>
      <c r="BTZ40" s="822"/>
      <c r="BUA40" s="822"/>
      <c r="BUB40" s="822"/>
      <c r="BUC40" s="822"/>
      <c r="BUD40" s="822"/>
      <c r="BUE40" s="822"/>
      <c r="BUF40" s="822"/>
      <c r="BUG40" s="822"/>
      <c r="BUH40" s="822"/>
      <c r="BUI40" s="822"/>
      <c r="BUJ40" s="822"/>
      <c r="BUK40" s="822"/>
      <c r="BUL40" s="822"/>
      <c r="BUM40" s="822"/>
      <c r="BUN40" s="822"/>
      <c r="BUO40" s="822"/>
      <c r="BUP40" s="822"/>
      <c r="BUQ40" s="822"/>
      <c r="BUR40" s="822"/>
      <c r="BUS40" s="822"/>
      <c r="BUT40" s="822"/>
      <c r="BUU40" s="822"/>
      <c r="BUV40" s="822"/>
      <c r="BUW40" s="822"/>
      <c r="BUX40" s="822"/>
      <c r="BUY40" s="822"/>
      <c r="BUZ40" s="822"/>
      <c r="BVA40" s="822"/>
      <c r="BVB40" s="822"/>
      <c r="BVC40" s="822"/>
      <c r="BVD40" s="822"/>
      <c r="BVE40" s="822"/>
      <c r="BVF40" s="822"/>
      <c r="BVG40" s="822"/>
      <c r="BVH40" s="822"/>
      <c r="BVI40" s="822"/>
      <c r="BVJ40" s="822"/>
      <c r="BVK40" s="822"/>
      <c r="BVL40" s="822"/>
      <c r="BVM40" s="822"/>
      <c r="BVN40" s="822"/>
      <c r="BVO40" s="822"/>
      <c r="BVP40" s="822"/>
      <c r="BVQ40" s="822"/>
      <c r="BVR40" s="822"/>
      <c r="BVS40" s="822"/>
      <c r="BVT40" s="822"/>
      <c r="BVU40" s="822"/>
      <c r="BVV40" s="822"/>
      <c r="BVW40" s="822"/>
      <c r="BVX40" s="822"/>
      <c r="BVY40" s="822"/>
      <c r="BVZ40" s="822"/>
      <c r="BWA40" s="822"/>
      <c r="BWB40" s="822"/>
      <c r="BWC40" s="822"/>
      <c r="BWD40" s="822"/>
      <c r="BWE40" s="822"/>
      <c r="BWF40" s="822"/>
      <c r="BWG40" s="822"/>
      <c r="BWH40" s="822"/>
      <c r="BWI40" s="822"/>
      <c r="BWJ40" s="822"/>
      <c r="BWK40" s="822"/>
      <c r="BWL40" s="822"/>
      <c r="BWM40" s="822"/>
      <c r="BWN40" s="822"/>
      <c r="BWO40" s="822"/>
      <c r="BWP40" s="822"/>
      <c r="BWQ40" s="822"/>
      <c r="BWR40" s="822"/>
      <c r="BWS40" s="822"/>
      <c r="BWT40" s="822"/>
      <c r="BWU40" s="822"/>
      <c r="BWV40" s="822"/>
      <c r="BWW40" s="822"/>
      <c r="BWX40" s="822"/>
      <c r="BWY40" s="822"/>
      <c r="BWZ40" s="822"/>
      <c r="BXA40" s="822"/>
      <c r="BXB40" s="822"/>
      <c r="BXC40" s="822"/>
      <c r="BXD40" s="822"/>
      <c r="BXE40" s="822"/>
      <c r="BXF40" s="822"/>
      <c r="BXG40" s="822"/>
      <c r="BXH40" s="822"/>
      <c r="BXI40" s="822"/>
      <c r="BXJ40" s="822"/>
      <c r="BXK40" s="822"/>
      <c r="BXL40" s="822"/>
      <c r="BXM40" s="822"/>
      <c r="BXN40" s="822"/>
      <c r="BXO40" s="822"/>
      <c r="BXP40" s="822"/>
      <c r="BXQ40" s="822"/>
      <c r="BXR40" s="822"/>
      <c r="BXS40" s="822"/>
      <c r="BXT40" s="822"/>
      <c r="BXU40" s="822"/>
      <c r="BXV40" s="822"/>
      <c r="BXW40" s="822"/>
      <c r="BXX40" s="822"/>
      <c r="BXY40" s="822"/>
      <c r="BXZ40" s="822"/>
      <c r="BYA40" s="822"/>
      <c r="BYB40" s="822"/>
      <c r="BYC40" s="822"/>
      <c r="BYD40" s="822"/>
      <c r="BYE40" s="822"/>
      <c r="BYF40" s="822"/>
      <c r="BYG40" s="822"/>
      <c r="BYH40" s="822"/>
      <c r="BYI40" s="822"/>
      <c r="BYJ40" s="822"/>
      <c r="BYK40" s="822"/>
      <c r="BYL40" s="822"/>
      <c r="BYM40" s="822"/>
      <c r="BYN40" s="822"/>
      <c r="BYO40" s="822"/>
      <c r="BYP40" s="822"/>
      <c r="BYQ40" s="822"/>
      <c r="BYR40" s="822"/>
      <c r="BYS40" s="822"/>
      <c r="BYT40" s="822"/>
      <c r="BYU40" s="822"/>
      <c r="BYV40" s="822"/>
      <c r="BYW40" s="822"/>
      <c r="BYX40" s="822"/>
      <c r="BYY40" s="822"/>
      <c r="BYZ40" s="822"/>
      <c r="BZA40" s="822"/>
      <c r="BZB40" s="822"/>
      <c r="BZC40" s="822"/>
      <c r="BZD40" s="822"/>
      <c r="BZE40" s="822"/>
      <c r="BZF40" s="822"/>
      <c r="BZG40" s="822"/>
      <c r="BZH40" s="822"/>
      <c r="BZI40" s="822"/>
      <c r="BZJ40" s="822"/>
      <c r="BZK40" s="822"/>
      <c r="BZL40" s="822"/>
      <c r="BZM40" s="822"/>
      <c r="BZN40" s="822"/>
      <c r="BZO40" s="822"/>
      <c r="BZP40" s="822"/>
      <c r="BZQ40" s="822"/>
      <c r="BZR40" s="822"/>
      <c r="BZS40" s="822"/>
      <c r="BZT40" s="822"/>
      <c r="BZU40" s="822"/>
      <c r="BZV40" s="822"/>
      <c r="BZW40" s="822"/>
      <c r="BZX40" s="822"/>
      <c r="BZY40" s="822"/>
      <c r="BZZ40" s="822"/>
      <c r="CAA40" s="822"/>
      <c r="CAB40" s="822"/>
      <c r="CAC40" s="822"/>
      <c r="CAD40" s="822"/>
      <c r="CAE40" s="822"/>
      <c r="CAF40" s="822"/>
      <c r="CAG40" s="822"/>
      <c r="CAH40" s="822"/>
      <c r="CAI40" s="822"/>
      <c r="CAJ40" s="822"/>
      <c r="CAK40" s="822"/>
      <c r="CAL40" s="822"/>
      <c r="CAM40" s="822"/>
      <c r="CAN40" s="822"/>
      <c r="CAO40" s="822"/>
      <c r="CAP40" s="822"/>
      <c r="CAQ40" s="822"/>
      <c r="CAR40" s="822"/>
      <c r="CAS40" s="822"/>
      <c r="CAT40" s="822"/>
      <c r="CAU40" s="822"/>
      <c r="CAV40" s="822"/>
      <c r="CAW40" s="822"/>
      <c r="CAX40" s="822"/>
      <c r="CAY40" s="822"/>
      <c r="CAZ40" s="822"/>
      <c r="CBA40" s="822"/>
      <c r="CBB40" s="822"/>
      <c r="CBC40" s="822"/>
      <c r="CBD40" s="822"/>
      <c r="CBE40" s="822"/>
      <c r="CBF40" s="822"/>
      <c r="CBG40" s="822"/>
      <c r="CBH40" s="822"/>
      <c r="CBI40" s="822"/>
      <c r="CBJ40" s="822"/>
      <c r="CBK40" s="822"/>
      <c r="CBL40" s="822"/>
      <c r="CBM40" s="822"/>
      <c r="CBN40" s="822"/>
      <c r="CBO40" s="822"/>
      <c r="CBP40" s="822"/>
      <c r="CBQ40" s="822"/>
      <c r="CBR40" s="822"/>
      <c r="CBS40" s="822"/>
      <c r="CBT40" s="822"/>
      <c r="CBU40" s="822"/>
      <c r="CBV40" s="822"/>
      <c r="CBW40" s="822"/>
      <c r="CBX40" s="822"/>
      <c r="CBY40" s="822"/>
      <c r="CBZ40" s="822"/>
      <c r="CCA40" s="822"/>
      <c r="CCB40" s="822"/>
      <c r="CCC40" s="822"/>
      <c r="CCD40" s="822"/>
      <c r="CCE40" s="822"/>
      <c r="CCF40" s="822"/>
      <c r="CCG40" s="822"/>
      <c r="CCH40" s="822"/>
      <c r="CCI40" s="822"/>
      <c r="CCJ40" s="822"/>
      <c r="CCK40" s="822"/>
      <c r="CCL40" s="822"/>
      <c r="CCM40" s="822"/>
      <c r="CCN40" s="822"/>
      <c r="CCO40" s="822"/>
      <c r="CCP40" s="822"/>
      <c r="CCQ40" s="822"/>
      <c r="CCR40" s="822"/>
      <c r="CCS40" s="822"/>
      <c r="CCT40" s="822"/>
      <c r="CCU40" s="822"/>
      <c r="CCV40" s="822"/>
      <c r="CCW40" s="822"/>
      <c r="CCX40" s="822"/>
      <c r="CCY40" s="822"/>
      <c r="CCZ40" s="822"/>
      <c r="CDA40" s="822"/>
      <c r="CDB40" s="822"/>
      <c r="CDC40" s="822"/>
      <c r="CDD40" s="822"/>
      <c r="CDE40" s="822"/>
      <c r="CDF40" s="822"/>
      <c r="CDG40" s="822"/>
      <c r="CDH40" s="822"/>
      <c r="CDI40" s="822"/>
      <c r="CDJ40" s="822"/>
      <c r="CDK40" s="822"/>
      <c r="CDL40" s="822"/>
      <c r="CDM40" s="822"/>
      <c r="CDN40" s="822"/>
      <c r="CDO40" s="822"/>
      <c r="CDP40" s="822"/>
      <c r="CDQ40" s="822"/>
      <c r="CDR40" s="822"/>
      <c r="CDS40" s="822"/>
      <c r="CDT40" s="822"/>
      <c r="CDU40" s="822"/>
      <c r="CDV40" s="822"/>
      <c r="CDW40" s="822"/>
      <c r="CDX40" s="822"/>
      <c r="CDY40" s="822"/>
      <c r="CDZ40" s="822"/>
      <c r="CEA40" s="822"/>
      <c r="CEB40" s="822"/>
      <c r="CEC40" s="822"/>
      <c r="CED40" s="822"/>
      <c r="CEE40" s="822"/>
      <c r="CEF40" s="822"/>
      <c r="CEG40" s="822"/>
      <c r="CEH40" s="822"/>
      <c r="CEI40" s="822"/>
      <c r="CEJ40" s="822"/>
      <c r="CEK40" s="822"/>
      <c r="CEL40" s="822"/>
      <c r="CEM40" s="822"/>
      <c r="CEN40" s="822"/>
      <c r="CEO40" s="822"/>
      <c r="CEP40" s="822"/>
      <c r="CEQ40" s="822"/>
      <c r="CER40" s="822"/>
      <c r="CES40" s="822"/>
      <c r="CET40" s="822"/>
      <c r="CEU40" s="822"/>
      <c r="CEV40" s="822"/>
      <c r="CEW40" s="822"/>
      <c r="CEX40" s="822"/>
      <c r="CEY40" s="822"/>
      <c r="CEZ40" s="822"/>
      <c r="CFA40" s="822"/>
      <c r="CFB40" s="822"/>
      <c r="CFC40" s="822"/>
      <c r="CFD40" s="822"/>
      <c r="CFE40" s="822"/>
      <c r="CFF40" s="822"/>
      <c r="CFG40" s="822"/>
      <c r="CFH40" s="822"/>
      <c r="CFI40" s="822"/>
      <c r="CFJ40" s="822"/>
      <c r="CFK40" s="822"/>
      <c r="CFL40" s="822"/>
      <c r="CFM40" s="822"/>
      <c r="CFN40" s="822"/>
      <c r="CFO40" s="822"/>
      <c r="CFP40" s="822"/>
      <c r="CFQ40" s="822"/>
      <c r="CFR40" s="822"/>
      <c r="CFS40" s="822"/>
      <c r="CFT40" s="822"/>
      <c r="CFU40" s="822"/>
      <c r="CFV40" s="822"/>
      <c r="CFW40" s="822"/>
      <c r="CFX40" s="822"/>
      <c r="CFY40" s="822"/>
      <c r="CFZ40" s="822"/>
      <c r="CGA40" s="822"/>
      <c r="CGB40" s="822"/>
      <c r="CGC40" s="822"/>
      <c r="CGD40" s="822"/>
      <c r="CGE40" s="822"/>
      <c r="CGF40" s="822"/>
      <c r="CGG40" s="822"/>
      <c r="CGH40" s="822"/>
      <c r="CGI40" s="822"/>
      <c r="CGJ40" s="822"/>
      <c r="CGK40" s="822"/>
      <c r="CGL40" s="822"/>
      <c r="CGM40" s="822"/>
      <c r="CGN40" s="822"/>
      <c r="CGO40" s="822"/>
      <c r="CGP40" s="822"/>
      <c r="CGQ40" s="822"/>
      <c r="CGR40" s="822"/>
      <c r="CGS40" s="822"/>
      <c r="CGT40" s="822"/>
      <c r="CGU40" s="822"/>
      <c r="CGV40" s="822"/>
      <c r="CGW40" s="822"/>
      <c r="CGX40" s="822"/>
      <c r="CGY40" s="822"/>
      <c r="CGZ40" s="822"/>
      <c r="CHA40" s="822"/>
      <c r="CHB40" s="822"/>
      <c r="CHC40" s="822"/>
      <c r="CHD40" s="822"/>
      <c r="CHE40" s="822"/>
      <c r="CHF40" s="822"/>
      <c r="CHG40" s="822"/>
      <c r="CHH40" s="822"/>
      <c r="CHI40" s="822"/>
      <c r="CHJ40" s="822"/>
      <c r="CHK40" s="822"/>
      <c r="CHL40" s="822"/>
      <c r="CHM40" s="822"/>
      <c r="CHN40" s="822"/>
      <c r="CHO40" s="822"/>
      <c r="CHP40" s="822"/>
      <c r="CHQ40" s="822"/>
      <c r="CHR40" s="822"/>
      <c r="CHS40" s="822"/>
      <c r="CHT40" s="822"/>
      <c r="CHU40" s="822"/>
      <c r="CHV40" s="822"/>
      <c r="CHW40" s="822"/>
      <c r="CHX40" s="822"/>
      <c r="CHY40" s="822"/>
      <c r="CHZ40" s="822"/>
      <c r="CIA40" s="822"/>
      <c r="CIB40" s="822"/>
      <c r="CIC40" s="822"/>
      <c r="CID40" s="822"/>
      <c r="CIE40" s="822"/>
      <c r="CIF40" s="822"/>
      <c r="CIG40" s="822"/>
      <c r="CIH40" s="822"/>
      <c r="CII40" s="822"/>
      <c r="CIJ40" s="822"/>
      <c r="CIK40" s="822"/>
      <c r="CIL40" s="822"/>
      <c r="CIM40" s="822"/>
      <c r="CIN40" s="822"/>
      <c r="CIO40" s="822"/>
      <c r="CIP40" s="822"/>
      <c r="CIQ40" s="822"/>
      <c r="CIR40" s="822"/>
      <c r="CIS40" s="822"/>
      <c r="CIT40" s="822"/>
      <c r="CIU40" s="822"/>
      <c r="CIV40" s="822"/>
      <c r="CIW40" s="822"/>
      <c r="CIX40" s="822"/>
      <c r="CIY40" s="822"/>
      <c r="CIZ40" s="822"/>
      <c r="CJA40" s="822"/>
      <c r="CJB40" s="822"/>
      <c r="CJC40" s="822"/>
      <c r="CJD40" s="822"/>
      <c r="CJE40" s="822"/>
      <c r="CJF40" s="822"/>
      <c r="CJG40" s="822"/>
      <c r="CJH40" s="822"/>
      <c r="CJI40" s="822"/>
      <c r="CJJ40" s="822"/>
      <c r="CJK40" s="822"/>
      <c r="CJL40" s="822"/>
      <c r="CJM40" s="822"/>
      <c r="CJN40" s="822"/>
      <c r="CJO40" s="822"/>
      <c r="CJP40" s="822"/>
      <c r="CJQ40" s="822"/>
      <c r="CJR40" s="822"/>
      <c r="CJS40" s="822"/>
      <c r="CJT40" s="822"/>
      <c r="CJU40" s="822"/>
      <c r="CJV40" s="822"/>
      <c r="CJW40" s="822"/>
      <c r="CJX40" s="822"/>
      <c r="CJY40" s="822"/>
      <c r="CJZ40" s="822"/>
      <c r="CKA40" s="822"/>
      <c r="CKB40" s="822"/>
      <c r="CKC40" s="822"/>
      <c r="CKD40" s="822"/>
      <c r="CKE40" s="822"/>
      <c r="CKF40" s="822"/>
      <c r="CKG40" s="822"/>
      <c r="CKH40" s="822"/>
      <c r="CKI40" s="822"/>
      <c r="CKJ40" s="822"/>
      <c r="CKK40" s="822"/>
      <c r="CKL40" s="822"/>
      <c r="CKM40" s="822"/>
      <c r="CKN40" s="822"/>
      <c r="CKO40" s="822"/>
      <c r="CKP40" s="822"/>
      <c r="CKQ40" s="822"/>
      <c r="CKR40" s="822"/>
      <c r="CKS40" s="822"/>
      <c r="CKT40" s="822"/>
      <c r="CKU40" s="822"/>
      <c r="CKV40" s="822"/>
      <c r="CKW40" s="822"/>
      <c r="CKX40" s="822"/>
      <c r="CKY40" s="822"/>
      <c r="CKZ40" s="822"/>
      <c r="CLA40" s="822"/>
      <c r="CLB40" s="822"/>
      <c r="CLC40" s="822"/>
      <c r="CLD40" s="822"/>
      <c r="CLE40" s="822"/>
      <c r="CLF40" s="822"/>
      <c r="CLG40" s="822"/>
      <c r="CLH40" s="822"/>
      <c r="CLI40" s="822"/>
      <c r="CLJ40" s="822"/>
      <c r="CLK40" s="822"/>
      <c r="CLL40" s="822"/>
      <c r="CLM40" s="822"/>
      <c r="CLN40" s="822"/>
      <c r="CLO40" s="822"/>
      <c r="CLP40" s="822"/>
      <c r="CLQ40" s="822"/>
      <c r="CLR40" s="822"/>
      <c r="CLS40" s="822"/>
      <c r="CLT40" s="822"/>
      <c r="CLU40" s="822"/>
      <c r="CLV40" s="822"/>
      <c r="CLW40" s="822"/>
      <c r="CLX40" s="822"/>
      <c r="CLY40" s="822"/>
      <c r="CLZ40" s="822"/>
      <c r="CMA40" s="822"/>
      <c r="CMB40" s="822"/>
      <c r="CMC40" s="822"/>
      <c r="CMD40" s="822"/>
      <c r="CME40" s="822"/>
      <c r="CMF40" s="822"/>
      <c r="CMG40" s="822"/>
      <c r="CMH40" s="822"/>
      <c r="CMI40" s="822"/>
      <c r="CMJ40" s="822"/>
      <c r="CMK40" s="822"/>
      <c r="CML40" s="822"/>
      <c r="CMM40" s="822"/>
      <c r="CMN40" s="822"/>
      <c r="CMO40" s="822"/>
      <c r="CMP40" s="822"/>
      <c r="CMQ40" s="822"/>
      <c r="CMR40" s="822"/>
      <c r="CMS40" s="822"/>
      <c r="CMT40" s="822"/>
      <c r="CMU40" s="822"/>
      <c r="CMV40" s="822"/>
      <c r="CMW40" s="822"/>
      <c r="CMX40" s="822"/>
      <c r="CMY40" s="822"/>
      <c r="CMZ40" s="822"/>
      <c r="CNA40" s="822"/>
      <c r="CNB40" s="822"/>
      <c r="CNC40" s="822"/>
      <c r="CND40" s="822"/>
      <c r="CNE40" s="822"/>
      <c r="CNF40" s="822"/>
      <c r="CNG40" s="822"/>
      <c r="CNH40" s="822"/>
      <c r="CNI40" s="822"/>
      <c r="CNJ40" s="822"/>
      <c r="CNK40" s="822"/>
      <c r="CNL40" s="822"/>
      <c r="CNM40" s="822"/>
      <c r="CNN40" s="822"/>
      <c r="CNO40" s="822"/>
      <c r="CNP40" s="822"/>
      <c r="CNQ40" s="822"/>
      <c r="CNR40" s="822"/>
      <c r="CNS40" s="822"/>
      <c r="CNT40" s="822"/>
      <c r="CNU40" s="822"/>
      <c r="CNV40" s="822"/>
      <c r="CNW40" s="822"/>
      <c r="CNX40" s="822"/>
      <c r="CNY40" s="822"/>
      <c r="CNZ40" s="822"/>
      <c r="COA40" s="822"/>
      <c r="COB40" s="822"/>
      <c r="COC40" s="822"/>
      <c r="COD40" s="822"/>
      <c r="COE40" s="822"/>
      <c r="COF40" s="822"/>
      <c r="COG40" s="822"/>
      <c r="COH40" s="822"/>
      <c r="COI40" s="822"/>
      <c r="COJ40" s="822"/>
      <c r="COK40" s="822"/>
      <c r="COL40" s="822"/>
      <c r="COM40" s="822"/>
      <c r="CON40" s="822"/>
      <c r="COO40" s="822"/>
      <c r="COP40" s="822"/>
      <c r="COQ40" s="822"/>
      <c r="COR40" s="822"/>
      <c r="COS40" s="822"/>
      <c r="COT40" s="822"/>
      <c r="COU40" s="822"/>
      <c r="COV40" s="822"/>
      <c r="COW40" s="822"/>
      <c r="COX40" s="822"/>
      <c r="COY40" s="822"/>
      <c r="COZ40" s="822"/>
      <c r="CPA40" s="822"/>
      <c r="CPB40" s="822"/>
      <c r="CPC40" s="822"/>
      <c r="CPD40" s="822"/>
      <c r="CPE40" s="822"/>
      <c r="CPF40" s="822"/>
      <c r="CPG40" s="822"/>
      <c r="CPH40" s="822"/>
      <c r="CPI40" s="822"/>
      <c r="CPJ40" s="822"/>
      <c r="CPK40" s="822"/>
      <c r="CPL40" s="822"/>
      <c r="CPM40" s="822"/>
      <c r="CPN40" s="822"/>
      <c r="CPO40" s="822"/>
      <c r="CPP40" s="822"/>
      <c r="CPQ40" s="822"/>
      <c r="CPR40" s="822"/>
      <c r="CPS40" s="822"/>
      <c r="CPT40" s="822"/>
      <c r="CPU40" s="822"/>
      <c r="CPV40" s="822"/>
      <c r="CPW40" s="822"/>
      <c r="CPX40" s="822"/>
      <c r="CPY40" s="822"/>
      <c r="CPZ40" s="822"/>
      <c r="CQA40" s="822"/>
      <c r="CQB40" s="822"/>
      <c r="CQC40" s="822"/>
      <c r="CQD40" s="822"/>
      <c r="CQE40" s="822"/>
      <c r="CQF40" s="822"/>
      <c r="CQG40" s="822"/>
      <c r="CQH40" s="822"/>
      <c r="CQI40" s="822"/>
      <c r="CQJ40" s="822"/>
      <c r="CQK40" s="822"/>
      <c r="CQL40" s="822"/>
      <c r="CQM40" s="822"/>
      <c r="CQN40" s="822"/>
      <c r="CQO40" s="822"/>
      <c r="CQP40" s="822"/>
      <c r="CQQ40" s="822"/>
      <c r="CQR40" s="822"/>
      <c r="CQS40" s="822"/>
      <c r="CQT40" s="822"/>
      <c r="CQU40" s="822"/>
      <c r="CQV40" s="822"/>
      <c r="CQW40" s="822"/>
      <c r="CQX40" s="822"/>
      <c r="CQY40" s="822"/>
      <c r="CQZ40" s="822"/>
      <c r="CRA40" s="822"/>
      <c r="CRB40" s="822"/>
      <c r="CRC40" s="822"/>
      <c r="CRD40" s="822"/>
      <c r="CRE40" s="822"/>
      <c r="CRF40" s="822"/>
      <c r="CRG40" s="822"/>
      <c r="CRH40" s="822"/>
      <c r="CRI40" s="822"/>
      <c r="CRJ40" s="822"/>
      <c r="CRK40" s="822"/>
      <c r="CRL40" s="822"/>
      <c r="CRM40" s="822"/>
      <c r="CRN40" s="822"/>
      <c r="CRO40" s="822"/>
      <c r="CRP40" s="822"/>
      <c r="CRQ40" s="822"/>
      <c r="CRR40" s="822"/>
      <c r="CRS40" s="822"/>
      <c r="CRT40" s="822"/>
      <c r="CRU40" s="822"/>
      <c r="CRV40" s="822"/>
      <c r="CRW40" s="822"/>
      <c r="CRX40" s="822"/>
      <c r="CRY40" s="822"/>
      <c r="CRZ40" s="822"/>
      <c r="CSA40" s="822"/>
      <c r="CSB40" s="822"/>
      <c r="CSC40" s="822"/>
      <c r="CSD40" s="822"/>
      <c r="CSE40" s="822"/>
      <c r="CSF40" s="822"/>
      <c r="CSG40" s="822"/>
      <c r="CSH40" s="822"/>
      <c r="CSI40" s="822"/>
      <c r="CSJ40" s="822"/>
      <c r="CSK40" s="822"/>
      <c r="CSL40" s="822"/>
      <c r="CSM40" s="822"/>
      <c r="CSN40" s="822"/>
      <c r="CSO40" s="822"/>
      <c r="CSP40" s="822"/>
      <c r="CSQ40" s="822"/>
      <c r="CSR40" s="822"/>
      <c r="CSS40" s="822"/>
      <c r="CST40" s="822"/>
      <c r="CSU40" s="822"/>
      <c r="CSV40" s="822"/>
      <c r="CSW40" s="822"/>
      <c r="CSX40" s="822"/>
      <c r="CSY40" s="822"/>
      <c r="CSZ40" s="822"/>
      <c r="CTA40" s="822"/>
      <c r="CTB40" s="822"/>
      <c r="CTC40" s="822"/>
      <c r="CTD40" s="822"/>
      <c r="CTE40" s="822"/>
      <c r="CTF40" s="822"/>
      <c r="CTG40" s="822"/>
      <c r="CTH40" s="822"/>
      <c r="CTI40" s="822"/>
      <c r="CTJ40" s="822"/>
      <c r="CTK40" s="822"/>
      <c r="CTL40" s="822"/>
      <c r="CTM40" s="822"/>
      <c r="CTN40" s="822"/>
      <c r="CTO40" s="822"/>
      <c r="CTP40" s="822"/>
      <c r="CTQ40" s="822"/>
      <c r="CTR40" s="822"/>
      <c r="CTS40" s="822"/>
      <c r="CTT40" s="822"/>
      <c r="CTU40" s="822"/>
      <c r="CTV40" s="822"/>
      <c r="CTW40" s="822"/>
      <c r="CTX40" s="822"/>
      <c r="CTY40" s="822"/>
      <c r="CTZ40" s="822"/>
      <c r="CUA40" s="822"/>
      <c r="CUB40" s="822"/>
      <c r="CUC40" s="822"/>
      <c r="CUD40" s="822"/>
      <c r="CUE40" s="822"/>
      <c r="CUF40" s="822"/>
      <c r="CUG40" s="822"/>
      <c r="CUH40" s="822"/>
      <c r="CUI40" s="822"/>
      <c r="CUJ40" s="822"/>
      <c r="CUK40" s="822"/>
      <c r="CUL40" s="822"/>
      <c r="CUM40" s="822"/>
      <c r="CUN40" s="822"/>
      <c r="CUO40" s="822"/>
      <c r="CUP40" s="822"/>
      <c r="CUQ40" s="822"/>
      <c r="CUR40" s="822"/>
      <c r="CUS40" s="822"/>
      <c r="CUT40" s="822"/>
      <c r="CUU40" s="822"/>
      <c r="CUV40" s="822"/>
      <c r="CUW40" s="822"/>
      <c r="CUX40" s="822"/>
      <c r="CUY40" s="822"/>
      <c r="CUZ40" s="822"/>
      <c r="CVA40" s="822"/>
      <c r="CVB40" s="822"/>
      <c r="CVC40" s="822"/>
      <c r="CVD40" s="822"/>
      <c r="CVE40" s="822"/>
      <c r="CVF40" s="822"/>
      <c r="CVG40" s="822"/>
      <c r="CVH40" s="822"/>
      <c r="CVI40" s="822"/>
      <c r="CVJ40" s="822"/>
      <c r="CVK40" s="822"/>
      <c r="CVL40" s="822"/>
      <c r="CVM40" s="822"/>
      <c r="CVN40" s="822"/>
      <c r="CVO40" s="822"/>
      <c r="CVP40" s="822"/>
      <c r="CVQ40" s="822"/>
      <c r="CVR40" s="822"/>
      <c r="CVS40" s="822"/>
      <c r="CVT40" s="822"/>
      <c r="CVU40" s="822"/>
      <c r="CVV40" s="822"/>
      <c r="CVW40" s="822"/>
      <c r="CVX40" s="822"/>
      <c r="CVY40" s="822"/>
      <c r="CVZ40" s="822"/>
      <c r="CWA40" s="822"/>
      <c r="CWB40" s="822"/>
      <c r="CWC40" s="822"/>
      <c r="CWD40" s="822"/>
      <c r="CWE40" s="822"/>
      <c r="CWF40" s="822"/>
      <c r="CWG40" s="822"/>
      <c r="CWH40" s="822"/>
      <c r="CWI40" s="822"/>
      <c r="CWJ40" s="822"/>
      <c r="CWK40" s="822"/>
      <c r="CWL40" s="822"/>
      <c r="CWM40" s="822"/>
      <c r="CWN40" s="822"/>
      <c r="CWO40" s="822"/>
      <c r="CWP40" s="822"/>
      <c r="CWQ40" s="822"/>
      <c r="CWR40" s="822"/>
      <c r="CWS40" s="822"/>
      <c r="CWT40" s="822"/>
      <c r="CWU40" s="822"/>
      <c r="CWV40" s="822"/>
      <c r="CWW40" s="822"/>
      <c r="CWX40" s="822"/>
      <c r="CWY40" s="822"/>
      <c r="CWZ40" s="822"/>
      <c r="CXA40" s="822"/>
      <c r="CXB40" s="822"/>
      <c r="CXC40" s="822"/>
      <c r="CXD40" s="822"/>
      <c r="CXE40" s="822"/>
      <c r="CXF40" s="822"/>
      <c r="CXG40" s="822"/>
      <c r="CXH40" s="822"/>
      <c r="CXI40" s="822"/>
      <c r="CXJ40" s="822"/>
      <c r="CXK40" s="822"/>
      <c r="CXL40" s="822"/>
      <c r="CXM40" s="822"/>
      <c r="CXN40" s="822"/>
      <c r="CXO40" s="822"/>
      <c r="CXP40" s="822"/>
      <c r="CXQ40" s="822"/>
      <c r="CXR40" s="822"/>
      <c r="CXS40" s="822"/>
      <c r="CXT40" s="822"/>
      <c r="CXU40" s="822"/>
      <c r="CXV40" s="822"/>
      <c r="CXW40" s="822"/>
      <c r="CXX40" s="822"/>
      <c r="CXY40" s="822"/>
      <c r="CXZ40" s="822"/>
      <c r="CYA40" s="822"/>
      <c r="CYB40" s="822"/>
      <c r="CYC40" s="822"/>
      <c r="CYD40" s="822"/>
      <c r="CYE40" s="822"/>
      <c r="CYF40" s="822"/>
      <c r="CYG40" s="822"/>
      <c r="CYH40" s="822"/>
      <c r="CYI40" s="822"/>
      <c r="CYJ40" s="822"/>
      <c r="CYK40" s="822"/>
      <c r="CYL40" s="822"/>
      <c r="CYM40" s="822"/>
      <c r="CYN40" s="822"/>
      <c r="CYO40" s="822"/>
      <c r="CYP40" s="822"/>
      <c r="CYQ40" s="822"/>
      <c r="CYR40" s="822"/>
      <c r="CYS40" s="822"/>
      <c r="CYT40" s="822"/>
      <c r="CYU40" s="822"/>
      <c r="CYV40" s="822"/>
      <c r="CYW40" s="822"/>
      <c r="CYX40" s="822"/>
      <c r="CYY40" s="822"/>
      <c r="CYZ40" s="822"/>
      <c r="CZA40" s="822"/>
      <c r="CZB40" s="822"/>
      <c r="CZC40" s="822"/>
      <c r="CZD40" s="822"/>
      <c r="CZE40" s="822"/>
      <c r="CZF40" s="822"/>
      <c r="CZG40" s="822"/>
      <c r="CZH40" s="822"/>
      <c r="CZI40" s="822"/>
      <c r="CZJ40" s="822"/>
      <c r="CZK40" s="822"/>
      <c r="CZL40" s="822"/>
      <c r="CZM40" s="822"/>
      <c r="CZN40" s="822"/>
      <c r="CZO40" s="822"/>
      <c r="CZP40" s="822"/>
      <c r="CZQ40" s="822"/>
      <c r="CZR40" s="822"/>
      <c r="CZS40" s="822"/>
      <c r="CZT40" s="822"/>
      <c r="CZU40" s="822"/>
      <c r="CZV40" s="822"/>
      <c r="CZW40" s="822"/>
      <c r="CZX40" s="822"/>
      <c r="CZY40" s="822"/>
      <c r="CZZ40" s="822"/>
      <c r="DAA40" s="822"/>
      <c r="DAB40" s="822"/>
      <c r="DAC40" s="822"/>
      <c r="DAD40" s="822"/>
      <c r="DAE40" s="822"/>
      <c r="DAF40" s="822"/>
      <c r="DAG40" s="822"/>
      <c r="DAH40" s="822"/>
      <c r="DAI40" s="822"/>
      <c r="DAJ40" s="822"/>
      <c r="DAK40" s="822"/>
      <c r="DAL40" s="822"/>
      <c r="DAM40" s="822"/>
      <c r="DAN40" s="822"/>
      <c r="DAO40" s="822"/>
      <c r="DAP40" s="822"/>
      <c r="DAQ40" s="822"/>
      <c r="DAR40" s="822"/>
      <c r="DAS40" s="822"/>
      <c r="DAT40" s="822"/>
      <c r="DAU40" s="822"/>
      <c r="DAV40" s="822"/>
      <c r="DAW40" s="822"/>
      <c r="DAX40" s="822"/>
      <c r="DAY40" s="822"/>
      <c r="DAZ40" s="822"/>
      <c r="DBA40" s="822"/>
      <c r="DBB40" s="822"/>
      <c r="DBC40" s="822"/>
      <c r="DBD40" s="822"/>
      <c r="DBE40" s="822"/>
      <c r="DBF40" s="822"/>
      <c r="DBG40" s="822"/>
      <c r="DBH40" s="822"/>
      <c r="DBI40" s="822"/>
      <c r="DBJ40" s="822"/>
      <c r="DBK40" s="822"/>
      <c r="DBL40" s="822"/>
      <c r="DBM40" s="822"/>
      <c r="DBN40" s="822"/>
      <c r="DBO40" s="822"/>
      <c r="DBP40" s="822"/>
      <c r="DBQ40" s="822"/>
      <c r="DBR40" s="822"/>
      <c r="DBS40" s="822"/>
      <c r="DBT40" s="822"/>
      <c r="DBU40" s="822"/>
      <c r="DBV40" s="822"/>
      <c r="DBW40" s="822"/>
      <c r="DBX40" s="822"/>
      <c r="DBY40" s="822"/>
      <c r="DBZ40" s="822"/>
      <c r="DCA40" s="822"/>
      <c r="DCB40" s="822"/>
      <c r="DCC40" s="822"/>
      <c r="DCD40" s="822"/>
      <c r="DCE40" s="822"/>
      <c r="DCF40" s="822"/>
      <c r="DCG40" s="822"/>
      <c r="DCH40" s="822"/>
      <c r="DCI40" s="822"/>
      <c r="DCJ40" s="822"/>
      <c r="DCK40" s="822"/>
      <c r="DCL40" s="822"/>
      <c r="DCM40" s="822"/>
      <c r="DCN40" s="822"/>
      <c r="DCO40" s="822"/>
      <c r="DCP40" s="822"/>
      <c r="DCQ40" s="822"/>
      <c r="DCR40" s="822"/>
      <c r="DCS40" s="822"/>
      <c r="DCT40" s="822"/>
      <c r="DCU40" s="822"/>
      <c r="DCV40" s="822"/>
      <c r="DCW40" s="822"/>
      <c r="DCX40" s="822"/>
      <c r="DCY40" s="822"/>
      <c r="DCZ40" s="822"/>
      <c r="DDA40" s="822"/>
      <c r="DDB40" s="822"/>
      <c r="DDC40" s="822"/>
      <c r="DDD40" s="822"/>
      <c r="DDE40" s="822"/>
      <c r="DDF40" s="822"/>
      <c r="DDG40" s="822"/>
      <c r="DDH40" s="822"/>
      <c r="DDI40" s="822"/>
      <c r="DDJ40" s="822"/>
      <c r="DDK40" s="822"/>
      <c r="DDL40" s="822"/>
      <c r="DDM40" s="822"/>
      <c r="DDN40" s="822"/>
      <c r="DDO40" s="822"/>
      <c r="DDP40" s="822"/>
      <c r="DDQ40" s="822"/>
      <c r="DDR40" s="822"/>
      <c r="DDS40" s="822"/>
      <c r="DDT40" s="822"/>
      <c r="DDU40" s="822"/>
      <c r="DDV40" s="822"/>
      <c r="DDW40" s="822"/>
      <c r="DDX40" s="822"/>
      <c r="DDY40" s="822"/>
      <c r="DDZ40" s="822"/>
      <c r="DEA40" s="822"/>
      <c r="DEB40" s="822"/>
      <c r="DEC40" s="822"/>
      <c r="DED40" s="822"/>
      <c r="DEE40" s="822"/>
      <c r="DEF40" s="822"/>
      <c r="DEG40" s="822"/>
      <c r="DEH40" s="822"/>
      <c r="DEI40" s="822"/>
      <c r="DEJ40" s="822"/>
      <c r="DEK40" s="822"/>
      <c r="DEL40" s="822"/>
      <c r="DEM40" s="822"/>
      <c r="DEN40" s="822"/>
      <c r="DEO40" s="822"/>
      <c r="DEP40" s="822"/>
      <c r="DEQ40" s="822"/>
      <c r="DER40" s="822"/>
      <c r="DES40" s="822"/>
      <c r="DET40" s="822"/>
      <c r="DEU40" s="822"/>
      <c r="DEV40" s="822"/>
      <c r="DEW40" s="822"/>
      <c r="DEX40" s="822"/>
      <c r="DEY40" s="822"/>
      <c r="DEZ40" s="822"/>
      <c r="DFA40" s="822"/>
      <c r="DFB40" s="822"/>
      <c r="DFC40" s="822"/>
      <c r="DFD40" s="822"/>
      <c r="DFE40" s="822"/>
      <c r="DFF40" s="822"/>
      <c r="DFG40" s="822"/>
      <c r="DFH40" s="822"/>
      <c r="DFI40" s="822"/>
      <c r="DFJ40" s="822"/>
      <c r="DFK40" s="822"/>
      <c r="DFL40" s="822"/>
      <c r="DFM40" s="822"/>
      <c r="DFN40" s="822"/>
      <c r="DFO40" s="822"/>
      <c r="DFP40" s="822"/>
      <c r="DFQ40" s="822"/>
      <c r="DFR40" s="822"/>
      <c r="DFS40" s="822"/>
      <c r="DFT40" s="822"/>
      <c r="DFU40" s="822"/>
      <c r="DFV40" s="822"/>
      <c r="DFW40" s="822"/>
      <c r="DFX40" s="822"/>
      <c r="DFY40" s="822"/>
      <c r="DFZ40" s="822"/>
      <c r="DGA40" s="822"/>
      <c r="DGB40" s="822"/>
      <c r="DGC40" s="822"/>
      <c r="DGD40" s="822"/>
      <c r="DGE40" s="822"/>
      <c r="DGF40" s="822"/>
      <c r="DGG40" s="822"/>
      <c r="DGH40" s="822"/>
      <c r="DGI40" s="822"/>
      <c r="DGJ40" s="822"/>
      <c r="DGK40" s="822"/>
      <c r="DGL40" s="822"/>
      <c r="DGM40" s="822"/>
      <c r="DGN40" s="822"/>
      <c r="DGO40" s="822"/>
      <c r="DGP40" s="822"/>
      <c r="DGQ40" s="822"/>
      <c r="DGR40" s="822"/>
      <c r="DGS40" s="822"/>
      <c r="DGT40" s="822"/>
      <c r="DGU40" s="822"/>
      <c r="DGV40" s="822"/>
      <c r="DGW40" s="822"/>
      <c r="DGX40" s="822"/>
      <c r="DGY40" s="822"/>
      <c r="DGZ40" s="822"/>
      <c r="DHA40" s="822"/>
      <c r="DHB40" s="822"/>
      <c r="DHC40" s="822"/>
      <c r="DHD40" s="822"/>
      <c r="DHE40" s="822"/>
      <c r="DHF40" s="822"/>
      <c r="DHG40" s="822"/>
      <c r="DHH40" s="822"/>
      <c r="DHI40" s="822"/>
      <c r="DHJ40" s="822"/>
      <c r="DHK40" s="822"/>
      <c r="DHL40" s="822"/>
      <c r="DHM40" s="822"/>
      <c r="DHN40" s="822"/>
      <c r="DHO40" s="822"/>
      <c r="DHP40" s="822"/>
      <c r="DHQ40" s="822"/>
      <c r="DHR40" s="822"/>
      <c r="DHS40" s="822"/>
      <c r="DHT40" s="822"/>
      <c r="DHU40" s="822"/>
      <c r="DHV40" s="822"/>
      <c r="DHW40" s="822"/>
      <c r="DHX40" s="822"/>
      <c r="DHY40" s="822"/>
      <c r="DHZ40" s="822"/>
      <c r="DIA40" s="822"/>
      <c r="DIB40" s="822"/>
      <c r="DIC40" s="822"/>
      <c r="DID40" s="822"/>
      <c r="DIE40" s="822"/>
      <c r="DIF40" s="822"/>
      <c r="DIG40" s="822"/>
      <c r="DIH40" s="822"/>
      <c r="DII40" s="822"/>
      <c r="DIJ40" s="822"/>
      <c r="DIK40" s="822"/>
      <c r="DIL40" s="822"/>
      <c r="DIM40" s="822"/>
      <c r="DIN40" s="822"/>
      <c r="DIO40" s="822"/>
      <c r="DIP40" s="822"/>
      <c r="DIQ40" s="822"/>
      <c r="DIR40" s="822"/>
      <c r="DIS40" s="822"/>
      <c r="DIT40" s="822"/>
      <c r="DIU40" s="822"/>
      <c r="DIV40" s="822"/>
      <c r="DIW40" s="822"/>
      <c r="DIX40" s="822"/>
      <c r="DIY40" s="822"/>
      <c r="DIZ40" s="822"/>
      <c r="DJA40" s="822"/>
      <c r="DJB40" s="822"/>
      <c r="DJC40" s="822"/>
      <c r="DJD40" s="822"/>
      <c r="DJE40" s="822"/>
      <c r="DJF40" s="822"/>
      <c r="DJG40" s="822"/>
      <c r="DJH40" s="822"/>
      <c r="DJI40" s="822"/>
      <c r="DJJ40" s="822"/>
      <c r="DJK40" s="822"/>
      <c r="DJL40" s="822"/>
      <c r="DJM40" s="822"/>
      <c r="DJN40" s="822"/>
      <c r="DJO40" s="822"/>
      <c r="DJP40" s="822"/>
      <c r="DJQ40" s="822"/>
      <c r="DJR40" s="822"/>
      <c r="DJS40" s="822"/>
      <c r="DJT40" s="822"/>
      <c r="DJU40" s="822"/>
      <c r="DJV40" s="822"/>
      <c r="DJW40" s="822"/>
      <c r="DJX40" s="822"/>
      <c r="DJY40" s="822"/>
      <c r="DJZ40" s="822"/>
      <c r="DKA40" s="822"/>
      <c r="DKB40" s="822"/>
      <c r="DKC40" s="822"/>
      <c r="DKD40" s="822"/>
      <c r="DKE40" s="822"/>
      <c r="DKF40" s="822"/>
      <c r="DKG40" s="822"/>
      <c r="DKH40" s="822"/>
      <c r="DKI40" s="822"/>
      <c r="DKJ40" s="822"/>
      <c r="DKK40" s="822"/>
      <c r="DKL40" s="822"/>
      <c r="DKM40" s="822"/>
      <c r="DKN40" s="822"/>
      <c r="DKO40" s="822"/>
      <c r="DKP40" s="822"/>
      <c r="DKQ40" s="822"/>
      <c r="DKR40" s="822"/>
      <c r="DKS40" s="822"/>
      <c r="DKT40" s="822"/>
      <c r="DKU40" s="822"/>
      <c r="DKV40" s="822"/>
      <c r="DKW40" s="822"/>
      <c r="DKX40" s="822"/>
      <c r="DKY40" s="822"/>
      <c r="DKZ40" s="822"/>
      <c r="DLA40" s="822"/>
      <c r="DLB40" s="822"/>
      <c r="DLC40" s="822"/>
      <c r="DLD40" s="822"/>
      <c r="DLE40" s="822"/>
      <c r="DLF40" s="822"/>
      <c r="DLG40" s="822"/>
      <c r="DLH40" s="822"/>
      <c r="DLI40" s="822"/>
      <c r="DLJ40" s="822"/>
      <c r="DLK40" s="822"/>
      <c r="DLL40" s="822"/>
      <c r="DLM40" s="822"/>
      <c r="DLN40" s="822"/>
      <c r="DLO40" s="822"/>
      <c r="DLP40" s="822"/>
      <c r="DLQ40" s="822"/>
      <c r="DLR40" s="822"/>
      <c r="DLS40" s="822"/>
      <c r="DLT40" s="822"/>
      <c r="DLU40" s="822"/>
      <c r="DLV40" s="822"/>
      <c r="DLW40" s="822"/>
      <c r="DLX40" s="822"/>
      <c r="DLY40" s="822"/>
      <c r="DLZ40" s="822"/>
      <c r="DMA40" s="822"/>
      <c r="DMB40" s="822"/>
      <c r="DMC40" s="822"/>
      <c r="DMD40" s="822"/>
      <c r="DME40" s="822"/>
      <c r="DMF40" s="822"/>
      <c r="DMG40" s="822"/>
      <c r="DMH40" s="822"/>
      <c r="DMI40" s="822"/>
      <c r="DMJ40" s="822"/>
      <c r="DMK40" s="822"/>
      <c r="DML40" s="822"/>
      <c r="DMM40" s="822"/>
      <c r="DMN40" s="822"/>
      <c r="DMO40" s="822"/>
      <c r="DMP40" s="822"/>
      <c r="DMQ40" s="822"/>
      <c r="DMR40" s="822"/>
      <c r="DMS40" s="822"/>
      <c r="DMT40" s="822"/>
      <c r="DMU40" s="822"/>
      <c r="DMV40" s="822"/>
      <c r="DMW40" s="822"/>
      <c r="DMX40" s="822"/>
      <c r="DMY40" s="822"/>
      <c r="DMZ40" s="822"/>
      <c r="DNA40" s="822"/>
      <c r="DNB40" s="822"/>
      <c r="DNC40" s="822"/>
      <c r="DND40" s="822"/>
      <c r="DNE40" s="822"/>
      <c r="DNF40" s="822"/>
      <c r="DNG40" s="822"/>
      <c r="DNH40" s="822"/>
      <c r="DNI40" s="822"/>
      <c r="DNJ40" s="822"/>
      <c r="DNK40" s="822"/>
      <c r="DNL40" s="822"/>
      <c r="DNM40" s="822"/>
      <c r="DNN40" s="822"/>
      <c r="DNO40" s="822"/>
      <c r="DNP40" s="822"/>
      <c r="DNQ40" s="822"/>
      <c r="DNR40" s="822"/>
      <c r="DNS40" s="822"/>
      <c r="DNT40" s="822"/>
      <c r="DNU40" s="822"/>
      <c r="DNV40" s="822"/>
      <c r="DNW40" s="822"/>
      <c r="DNX40" s="822"/>
      <c r="DNY40" s="822"/>
      <c r="DNZ40" s="822"/>
      <c r="DOA40" s="822"/>
      <c r="DOB40" s="822"/>
      <c r="DOC40" s="822"/>
      <c r="DOD40" s="822"/>
      <c r="DOE40" s="822"/>
      <c r="DOF40" s="822"/>
      <c r="DOG40" s="822"/>
      <c r="DOH40" s="822"/>
      <c r="DOI40" s="822"/>
      <c r="DOJ40" s="822"/>
      <c r="DOK40" s="822"/>
      <c r="DOL40" s="822"/>
      <c r="DOM40" s="822"/>
      <c r="DON40" s="822"/>
      <c r="DOO40" s="822"/>
      <c r="DOP40" s="822"/>
      <c r="DOQ40" s="822"/>
      <c r="DOR40" s="822"/>
      <c r="DOS40" s="822"/>
      <c r="DOT40" s="822"/>
      <c r="DOU40" s="822"/>
      <c r="DOV40" s="822"/>
      <c r="DOW40" s="822"/>
      <c r="DOX40" s="822"/>
      <c r="DOY40" s="822"/>
      <c r="DOZ40" s="822"/>
      <c r="DPA40" s="822"/>
      <c r="DPB40" s="822"/>
      <c r="DPC40" s="822"/>
      <c r="DPD40" s="822"/>
      <c r="DPE40" s="822"/>
      <c r="DPF40" s="822"/>
      <c r="DPG40" s="822"/>
      <c r="DPH40" s="822"/>
      <c r="DPI40" s="822"/>
      <c r="DPJ40" s="822"/>
      <c r="DPK40" s="822"/>
      <c r="DPL40" s="822"/>
      <c r="DPM40" s="822"/>
      <c r="DPN40" s="822"/>
      <c r="DPO40" s="822"/>
      <c r="DPP40" s="822"/>
      <c r="DPQ40" s="822"/>
      <c r="DPR40" s="822"/>
      <c r="DPS40" s="822"/>
      <c r="DPT40" s="822"/>
      <c r="DPU40" s="822"/>
      <c r="DPV40" s="822"/>
      <c r="DPW40" s="822"/>
      <c r="DPX40" s="822"/>
      <c r="DPY40" s="822"/>
      <c r="DPZ40" s="822"/>
      <c r="DQA40" s="822"/>
      <c r="DQB40" s="822"/>
      <c r="DQC40" s="822"/>
      <c r="DQD40" s="822"/>
      <c r="DQE40" s="822"/>
      <c r="DQF40" s="822"/>
      <c r="DQG40" s="822"/>
      <c r="DQH40" s="822"/>
      <c r="DQI40" s="822"/>
      <c r="DQJ40" s="822"/>
      <c r="DQK40" s="822"/>
      <c r="DQL40" s="822"/>
      <c r="DQM40" s="822"/>
      <c r="DQN40" s="822"/>
      <c r="DQO40" s="822"/>
      <c r="DQP40" s="822"/>
      <c r="DQQ40" s="822"/>
      <c r="DQR40" s="822"/>
      <c r="DQS40" s="822"/>
      <c r="DQT40" s="822"/>
      <c r="DQU40" s="822"/>
      <c r="DQV40" s="822"/>
      <c r="DQW40" s="822"/>
      <c r="DQX40" s="822"/>
      <c r="DQY40" s="822"/>
      <c r="DQZ40" s="822"/>
      <c r="DRA40" s="822"/>
      <c r="DRB40" s="822"/>
      <c r="DRC40" s="822"/>
      <c r="DRD40" s="822"/>
      <c r="DRE40" s="822"/>
      <c r="DRF40" s="822"/>
      <c r="DRG40" s="822"/>
      <c r="DRH40" s="822"/>
      <c r="DRI40" s="822"/>
      <c r="DRJ40" s="822"/>
      <c r="DRK40" s="822"/>
      <c r="DRL40" s="822"/>
      <c r="DRM40" s="822"/>
      <c r="DRN40" s="822"/>
      <c r="DRO40" s="822"/>
      <c r="DRP40" s="822"/>
      <c r="DRQ40" s="822"/>
      <c r="DRR40" s="822"/>
      <c r="DRS40" s="822"/>
      <c r="DRT40" s="822"/>
      <c r="DRU40" s="822"/>
      <c r="DRV40" s="822"/>
      <c r="DRW40" s="822"/>
      <c r="DRX40" s="822"/>
      <c r="DRY40" s="822"/>
      <c r="DRZ40" s="822"/>
      <c r="DSA40" s="822"/>
      <c r="DSB40" s="822"/>
      <c r="DSC40" s="822"/>
      <c r="DSD40" s="822"/>
      <c r="DSE40" s="822"/>
      <c r="DSF40" s="822"/>
      <c r="DSG40" s="822"/>
      <c r="DSH40" s="822"/>
      <c r="DSI40" s="822"/>
      <c r="DSJ40" s="822"/>
      <c r="DSK40" s="822"/>
      <c r="DSL40" s="822"/>
      <c r="DSM40" s="822"/>
      <c r="DSN40" s="822"/>
      <c r="DSO40" s="822"/>
      <c r="DSP40" s="822"/>
      <c r="DSQ40" s="822"/>
      <c r="DSR40" s="822"/>
      <c r="DSS40" s="822"/>
      <c r="DST40" s="822"/>
      <c r="DSU40" s="822"/>
      <c r="DSV40" s="822"/>
      <c r="DSW40" s="822"/>
      <c r="DSX40" s="822"/>
      <c r="DSY40" s="822"/>
      <c r="DSZ40" s="822"/>
      <c r="DTA40" s="822"/>
      <c r="DTB40" s="822"/>
      <c r="DTC40" s="822"/>
      <c r="DTD40" s="822"/>
      <c r="DTE40" s="822"/>
      <c r="DTF40" s="822"/>
      <c r="DTG40" s="822"/>
      <c r="DTH40" s="822"/>
      <c r="DTI40" s="822"/>
      <c r="DTJ40" s="822"/>
      <c r="DTK40" s="822"/>
      <c r="DTL40" s="822"/>
      <c r="DTM40" s="822"/>
      <c r="DTN40" s="822"/>
      <c r="DTO40" s="822"/>
      <c r="DTP40" s="822"/>
      <c r="DTQ40" s="822"/>
      <c r="DTR40" s="822"/>
      <c r="DTS40" s="822"/>
      <c r="DTT40" s="822"/>
      <c r="DTU40" s="822"/>
      <c r="DTV40" s="822"/>
      <c r="DTW40" s="822"/>
      <c r="DTX40" s="822"/>
      <c r="DTY40" s="822"/>
      <c r="DTZ40" s="822"/>
      <c r="DUA40" s="822"/>
      <c r="DUB40" s="822"/>
      <c r="DUC40" s="822"/>
      <c r="DUD40" s="822"/>
      <c r="DUE40" s="822"/>
      <c r="DUF40" s="822"/>
      <c r="DUG40" s="822"/>
      <c r="DUH40" s="822"/>
      <c r="DUI40" s="822"/>
      <c r="DUJ40" s="822"/>
      <c r="DUK40" s="822"/>
      <c r="DUL40" s="822"/>
      <c r="DUM40" s="822"/>
      <c r="DUN40" s="822"/>
      <c r="DUO40" s="822"/>
      <c r="DUP40" s="822"/>
      <c r="DUQ40" s="822"/>
      <c r="DUR40" s="822"/>
      <c r="DUS40" s="822"/>
      <c r="DUT40" s="822"/>
      <c r="DUU40" s="822"/>
      <c r="DUV40" s="822"/>
      <c r="DUW40" s="822"/>
      <c r="DUX40" s="822"/>
      <c r="DUY40" s="822"/>
      <c r="DUZ40" s="822"/>
      <c r="DVA40" s="822"/>
      <c r="DVB40" s="822"/>
      <c r="DVC40" s="822"/>
      <c r="DVD40" s="822"/>
      <c r="DVE40" s="822"/>
      <c r="DVF40" s="822"/>
      <c r="DVG40" s="822"/>
      <c r="DVH40" s="822"/>
      <c r="DVI40" s="822"/>
      <c r="DVJ40" s="822"/>
      <c r="DVK40" s="822"/>
      <c r="DVL40" s="822"/>
      <c r="DVM40" s="822"/>
      <c r="DVN40" s="822"/>
      <c r="DVO40" s="822"/>
      <c r="DVP40" s="822"/>
      <c r="DVQ40" s="822"/>
      <c r="DVR40" s="822"/>
      <c r="DVS40" s="822"/>
      <c r="DVT40" s="822"/>
      <c r="DVU40" s="822"/>
      <c r="DVV40" s="822"/>
      <c r="DVW40" s="822"/>
      <c r="DVX40" s="822"/>
      <c r="DVY40" s="822"/>
      <c r="DVZ40" s="822"/>
      <c r="DWA40" s="822"/>
      <c r="DWB40" s="822"/>
      <c r="DWC40" s="822"/>
      <c r="DWD40" s="822"/>
      <c r="DWE40" s="822"/>
      <c r="DWF40" s="822"/>
      <c r="DWG40" s="822"/>
      <c r="DWH40" s="822"/>
      <c r="DWI40" s="822"/>
      <c r="DWJ40" s="822"/>
      <c r="DWK40" s="822"/>
      <c r="DWL40" s="822"/>
      <c r="DWM40" s="822"/>
      <c r="DWN40" s="822"/>
      <c r="DWO40" s="822"/>
      <c r="DWP40" s="822"/>
      <c r="DWQ40" s="822"/>
      <c r="DWR40" s="822"/>
      <c r="DWS40" s="822"/>
      <c r="DWT40" s="822"/>
      <c r="DWU40" s="822"/>
      <c r="DWV40" s="822"/>
      <c r="DWW40" s="822"/>
      <c r="DWX40" s="822"/>
      <c r="DWY40" s="822"/>
      <c r="DWZ40" s="822"/>
      <c r="DXA40" s="822"/>
      <c r="DXB40" s="822"/>
      <c r="DXC40" s="822"/>
      <c r="DXD40" s="822"/>
      <c r="DXE40" s="822"/>
      <c r="DXF40" s="822"/>
      <c r="DXG40" s="822"/>
      <c r="DXH40" s="822"/>
      <c r="DXI40" s="822"/>
      <c r="DXJ40" s="822"/>
      <c r="DXK40" s="822"/>
      <c r="DXL40" s="822"/>
      <c r="DXM40" s="822"/>
      <c r="DXN40" s="822"/>
      <c r="DXO40" s="822"/>
      <c r="DXP40" s="822"/>
      <c r="DXQ40" s="822"/>
      <c r="DXR40" s="822"/>
      <c r="DXS40" s="822"/>
      <c r="DXT40" s="822"/>
      <c r="DXU40" s="822"/>
      <c r="DXV40" s="822"/>
      <c r="DXW40" s="822"/>
      <c r="DXX40" s="822"/>
      <c r="DXY40" s="822"/>
      <c r="DXZ40" s="822"/>
      <c r="DYA40" s="822"/>
      <c r="DYB40" s="822"/>
      <c r="DYC40" s="822"/>
      <c r="DYD40" s="822"/>
      <c r="DYE40" s="822"/>
      <c r="DYF40" s="822"/>
      <c r="DYG40" s="822"/>
      <c r="DYH40" s="822"/>
      <c r="DYI40" s="822"/>
      <c r="DYJ40" s="822"/>
      <c r="DYK40" s="822"/>
      <c r="DYL40" s="822"/>
      <c r="DYM40" s="822"/>
      <c r="DYN40" s="822"/>
      <c r="DYO40" s="822"/>
      <c r="DYP40" s="822"/>
      <c r="DYQ40" s="822"/>
      <c r="DYR40" s="822"/>
      <c r="DYS40" s="822"/>
      <c r="DYT40" s="822"/>
      <c r="DYU40" s="822"/>
      <c r="DYV40" s="822"/>
      <c r="DYW40" s="822"/>
      <c r="DYX40" s="822"/>
      <c r="DYY40" s="822"/>
      <c r="DYZ40" s="822"/>
      <c r="DZA40" s="822"/>
      <c r="DZB40" s="822"/>
      <c r="DZC40" s="822"/>
      <c r="DZD40" s="822"/>
      <c r="DZE40" s="822"/>
      <c r="DZF40" s="822"/>
      <c r="DZG40" s="822"/>
      <c r="DZH40" s="822"/>
      <c r="DZI40" s="822"/>
      <c r="DZJ40" s="822"/>
      <c r="DZK40" s="822"/>
      <c r="DZL40" s="822"/>
      <c r="DZM40" s="822"/>
      <c r="DZN40" s="822"/>
      <c r="DZO40" s="822"/>
      <c r="DZP40" s="822"/>
      <c r="DZQ40" s="822"/>
      <c r="DZR40" s="822"/>
      <c r="DZS40" s="822"/>
      <c r="DZT40" s="822"/>
      <c r="DZU40" s="822"/>
      <c r="DZV40" s="822"/>
      <c r="DZW40" s="822"/>
      <c r="DZX40" s="822"/>
      <c r="DZY40" s="822"/>
      <c r="DZZ40" s="822"/>
      <c r="EAA40" s="822"/>
      <c r="EAB40" s="822"/>
      <c r="EAC40" s="822"/>
      <c r="EAD40" s="822"/>
      <c r="EAE40" s="822"/>
      <c r="EAF40" s="822"/>
      <c r="EAG40" s="822"/>
      <c r="EAH40" s="822"/>
      <c r="EAI40" s="822"/>
      <c r="EAJ40" s="822"/>
      <c r="EAK40" s="822"/>
      <c r="EAL40" s="822"/>
      <c r="EAM40" s="822"/>
      <c r="EAN40" s="822"/>
      <c r="EAO40" s="822"/>
      <c r="EAP40" s="822"/>
      <c r="EAQ40" s="822"/>
      <c r="EAR40" s="822"/>
      <c r="EAS40" s="822"/>
      <c r="EAT40" s="822"/>
      <c r="EAU40" s="822"/>
      <c r="EAV40" s="822"/>
      <c r="EAW40" s="822"/>
      <c r="EAX40" s="822"/>
      <c r="EAY40" s="822"/>
      <c r="EAZ40" s="822"/>
      <c r="EBA40" s="822"/>
      <c r="EBB40" s="822"/>
      <c r="EBC40" s="822"/>
      <c r="EBD40" s="822"/>
      <c r="EBE40" s="822"/>
      <c r="EBF40" s="822"/>
      <c r="EBG40" s="822"/>
      <c r="EBH40" s="822"/>
      <c r="EBI40" s="822"/>
      <c r="EBJ40" s="822"/>
      <c r="EBK40" s="822"/>
      <c r="EBL40" s="822"/>
      <c r="EBM40" s="822"/>
      <c r="EBN40" s="822"/>
      <c r="EBO40" s="822"/>
      <c r="EBP40" s="822"/>
      <c r="EBQ40" s="822"/>
      <c r="EBR40" s="822"/>
      <c r="EBS40" s="822"/>
      <c r="EBT40" s="822"/>
      <c r="EBU40" s="822"/>
      <c r="EBV40" s="822"/>
      <c r="EBW40" s="822"/>
      <c r="EBX40" s="822"/>
      <c r="EBY40" s="822"/>
      <c r="EBZ40" s="822"/>
      <c r="ECA40" s="822"/>
      <c r="ECB40" s="822"/>
      <c r="ECC40" s="822"/>
      <c r="ECD40" s="822"/>
      <c r="ECE40" s="822"/>
      <c r="ECF40" s="822"/>
      <c r="ECG40" s="822"/>
      <c r="ECH40" s="822"/>
      <c r="ECI40" s="822"/>
      <c r="ECJ40" s="822"/>
      <c r="ECK40" s="822"/>
      <c r="ECL40" s="822"/>
      <c r="ECM40" s="822"/>
      <c r="ECN40" s="822"/>
      <c r="ECO40" s="822"/>
      <c r="ECP40" s="822"/>
      <c r="ECQ40" s="822"/>
      <c r="ECR40" s="822"/>
      <c r="ECS40" s="822"/>
      <c r="ECT40" s="822"/>
      <c r="ECU40" s="822"/>
      <c r="ECV40" s="822"/>
      <c r="ECW40" s="822"/>
      <c r="ECX40" s="822"/>
      <c r="ECY40" s="822"/>
      <c r="ECZ40" s="822"/>
      <c r="EDA40" s="822"/>
      <c r="EDB40" s="822"/>
      <c r="EDC40" s="822"/>
      <c r="EDD40" s="822"/>
      <c r="EDE40" s="822"/>
      <c r="EDF40" s="822"/>
      <c r="EDG40" s="822"/>
      <c r="EDH40" s="822"/>
      <c r="EDI40" s="822"/>
      <c r="EDJ40" s="822"/>
      <c r="EDK40" s="822"/>
      <c r="EDL40" s="822"/>
      <c r="EDM40" s="822"/>
      <c r="EDN40" s="822"/>
      <c r="EDO40" s="822"/>
      <c r="EDP40" s="822"/>
      <c r="EDQ40" s="822"/>
      <c r="EDR40" s="822"/>
      <c r="EDS40" s="822"/>
      <c r="EDT40" s="822"/>
      <c r="EDU40" s="822"/>
      <c r="EDV40" s="822"/>
      <c r="EDW40" s="822"/>
      <c r="EDX40" s="822"/>
      <c r="EDY40" s="822"/>
      <c r="EDZ40" s="822"/>
      <c r="EEA40" s="822"/>
      <c r="EEB40" s="822"/>
      <c r="EEC40" s="822"/>
      <c r="EED40" s="822"/>
      <c r="EEE40" s="822"/>
      <c r="EEF40" s="822"/>
      <c r="EEG40" s="822"/>
      <c r="EEH40" s="822"/>
      <c r="EEI40" s="822"/>
      <c r="EEJ40" s="822"/>
      <c r="EEK40" s="822"/>
      <c r="EEL40" s="822"/>
      <c r="EEM40" s="822"/>
      <c r="EEN40" s="822"/>
      <c r="EEO40" s="822"/>
      <c r="EEP40" s="822"/>
      <c r="EEQ40" s="822"/>
      <c r="EER40" s="822"/>
      <c r="EES40" s="822"/>
      <c r="EET40" s="822"/>
      <c r="EEU40" s="822"/>
      <c r="EEV40" s="822"/>
      <c r="EEW40" s="822"/>
      <c r="EEX40" s="822"/>
      <c r="EEY40" s="822"/>
      <c r="EEZ40" s="822"/>
      <c r="EFA40" s="822"/>
      <c r="EFB40" s="822"/>
      <c r="EFC40" s="822"/>
      <c r="EFD40" s="822"/>
      <c r="EFE40" s="822"/>
      <c r="EFF40" s="822"/>
      <c r="EFG40" s="822"/>
      <c r="EFH40" s="822"/>
      <c r="EFI40" s="822"/>
      <c r="EFJ40" s="822"/>
      <c r="EFK40" s="822"/>
      <c r="EFL40" s="822"/>
      <c r="EFM40" s="822"/>
      <c r="EFN40" s="822"/>
      <c r="EFO40" s="822"/>
      <c r="EFP40" s="822"/>
      <c r="EFQ40" s="822"/>
      <c r="EFR40" s="822"/>
      <c r="EFS40" s="822"/>
      <c r="EFT40" s="822"/>
      <c r="EFU40" s="822"/>
      <c r="EFV40" s="822"/>
      <c r="EFW40" s="822"/>
      <c r="EFX40" s="822"/>
      <c r="EFY40" s="822"/>
      <c r="EFZ40" s="822"/>
      <c r="EGA40" s="822"/>
      <c r="EGB40" s="822"/>
      <c r="EGC40" s="822"/>
      <c r="EGD40" s="822"/>
      <c r="EGE40" s="822"/>
      <c r="EGF40" s="822"/>
      <c r="EGG40" s="822"/>
      <c r="EGH40" s="822"/>
      <c r="EGI40" s="822"/>
      <c r="EGJ40" s="822"/>
      <c r="EGK40" s="822"/>
      <c r="EGL40" s="822"/>
      <c r="EGM40" s="822"/>
      <c r="EGN40" s="822"/>
      <c r="EGO40" s="822"/>
      <c r="EGP40" s="822"/>
      <c r="EGQ40" s="822"/>
      <c r="EGR40" s="822"/>
      <c r="EGS40" s="822"/>
      <c r="EGT40" s="822"/>
      <c r="EGU40" s="822"/>
      <c r="EGV40" s="822"/>
      <c r="EGW40" s="822"/>
      <c r="EGX40" s="822"/>
      <c r="EGY40" s="822"/>
      <c r="EGZ40" s="822"/>
      <c r="EHA40" s="822"/>
      <c r="EHB40" s="822"/>
      <c r="EHC40" s="822"/>
      <c r="EHD40" s="822"/>
      <c r="EHE40" s="822"/>
      <c r="EHF40" s="822"/>
      <c r="EHG40" s="822"/>
      <c r="EHH40" s="822"/>
      <c r="EHI40" s="822"/>
      <c r="EHJ40" s="822"/>
      <c r="EHK40" s="822"/>
      <c r="EHL40" s="822"/>
      <c r="EHM40" s="822"/>
      <c r="EHN40" s="822"/>
      <c r="EHO40" s="822"/>
      <c r="EHP40" s="822"/>
      <c r="EHQ40" s="822"/>
      <c r="EHR40" s="822"/>
      <c r="EHS40" s="822"/>
      <c r="EHT40" s="822"/>
      <c r="EHU40" s="822"/>
      <c r="EHV40" s="822"/>
      <c r="EHW40" s="822"/>
      <c r="EHX40" s="822"/>
      <c r="EHY40" s="822"/>
      <c r="EHZ40" s="822"/>
      <c r="EIA40" s="822"/>
      <c r="EIB40" s="822"/>
      <c r="EIC40" s="822"/>
      <c r="EID40" s="822"/>
      <c r="EIE40" s="822"/>
      <c r="EIF40" s="822"/>
      <c r="EIG40" s="822"/>
      <c r="EIH40" s="822"/>
      <c r="EII40" s="822"/>
      <c r="EIJ40" s="822"/>
      <c r="EIK40" s="822"/>
      <c r="EIL40" s="822"/>
      <c r="EIM40" s="822"/>
      <c r="EIN40" s="822"/>
      <c r="EIO40" s="822"/>
      <c r="EIP40" s="822"/>
      <c r="EIQ40" s="822"/>
      <c r="EIR40" s="822"/>
      <c r="EIS40" s="822"/>
      <c r="EIT40" s="822"/>
      <c r="EIU40" s="822"/>
      <c r="EIV40" s="822"/>
      <c r="EIW40" s="822"/>
      <c r="EIX40" s="822"/>
      <c r="EIY40" s="822"/>
      <c r="EIZ40" s="822"/>
      <c r="EJA40" s="822"/>
      <c r="EJB40" s="822"/>
      <c r="EJC40" s="822"/>
      <c r="EJD40" s="822"/>
      <c r="EJE40" s="822"/>
      <c r="EJF40" s="822"/>
      <c r="EJG40" s="822"/>
      <c r="EJH40" s="822"/>
      <c r="EJI40" s="822"/>
      <c r="EJJ40" s="822"/>
      <c r="EJK40" s="822"/>
      <c r="EJL40" s="822"/>
      <c r="EJM40" s="822"/>
      <c r="EJN40" s="822"/>
      <c r="EJO40" s="822"/>
      <c r="EJP40" s="822"/>
      <c r="EJQ40" s="822"/>
      <c r="EJR40" s="822"/>
      <c r="EJS40" s="822"/>
      <c r="EJT40" s="822"/>
      <c r="EJU40" s="822"/>
      <c r="EJV40" s="822"/>
      <c r="EJW40" s="822"/>
      <c r="EJX40" s="822"/>
      <c r="EJY40" s="822"/>
      <c r="EJZ40" s="822"/>
      <c r="EKA40" s="822"/>
      <c r="EKB40" s="822"/>
      <c r="EKC40" s="822"/>
      <c r="EKD40" s="822"/>
      <c r="EKE40" s="822"/>
      <c r="EKF40" s="822"/>
      <c r="EKG40" s="822"/>
      <c r="EKH40" s="822"/>
      <c r="EKI40" s="822"/>
      <c r="EKJ40" s="822"/>
      <c r="EKK40" s="822"/>
      <c r="EKL40" s="822"/>
      <c r="EKM40" s="822"/>
      <c r="EKN40" s="822"/>
      <c r="EKO40" s="822"/>
      <c r="EKP40" s="822"/>
      <c r="EKQ40" s="822"/>
      <c r="EKR40" s="822"/>
      <c r="EKS40" s="822"/>
      <c r="EKT40" s="822"/>
      <c r="EKU40" s="822"/>
      <c r="EKV40" s="822"/>
      <c r="EKW40" s="822"/>
      <c r="EKX40" s="822"/>
      <c r="EKY40" s="822"/>
      <c r="EKZ40" s="822"/>
      <c r="ELA40" s="822"/>
      <c r="ELB40" s="822"/>
      <c r="ELC40" s="822"/>
      <c r="ELD40" s="822"/>
      <c r="ELE40" s="822"/>
      <c r="ELF40" s="822"/>
      <c r="ELG40" s="822"/>
      <c r="ELH40" s="822"/>
      <c r="ELI40" s="822"/>
      <c r="ELJ40" s="822"/>
      <c r="ELK40" s="822"/>
      <c r="ELL40" s="822"/>
      <c r="ELM40" s="822"/>
      <c r="ELN40" s="822"/>
      <c r="ELO40" s="822"/>
      <c r="ELP40" s="822"/>
      <c r="ELQ40" s="822"/>
      <c r="ELR40" s="822"/>
      <c r="ELS40" s="822"/>
      <c r="ELT40" s="822"/>
      <c r="ELU40" s="822"/>
      <c r="ELV40" s="822"/>
      <c r="ELW40" s="822"/>
      <c r="ELX40" s="822"/>
      <c r="ELY40" s="822"/>
      <c r="ELZ40" s="822"/>
      <c r="EMA40" s="822"/>
      <c r="EMB40" s="822"/>
      <c r="EMC40" s="822"/>
      <c r="EMD40" s="822"/>
      <c r="EME40" s="822"/>
      <c r="EMF40" s="822"/>
      <c r="EMG40" s="822"/>
      <c r="EMH40" s="822"/>
      <c r="EMI40" s="822"/>
      <c r="EMJ40" s="822"/>
      <c r="EMK40" s="822"/>
      <c r="EML40" s="822"/>
      <c r="EMM40" s="822"/>
      <c r="EMN40" s="822"/>
      <c r="EMO40" s="822"/>
      <c r="EMP40" s="822"/>
      <c r="EMQ40" s="822"/>
      <c r="EMR40" s="822"/>
      <c r="EMS40" s="822"/>
      <c r="EMT40" s="822"/>
      <c r="EMU40" s="822"/>
      <c r="EMV40" s="822"/>
      <c r="EMW40" s="822"/>
      <c r="EMX40" s="822"/>
      <c r="EMY40" s="822"/>
      <c r="EMZ40" s="822"/>
      <c r="ENA40" s="822"/>
      <c r="ENB40" s="822"/>
      <c r="ENC40" s="822"/>
      <c r="END40" s="822"/>
      <c r="ENE40" s="822"/>
      <c r="ENF40" s="822"/>
      <c r="ENG40" s="822"/>
      <c r="ENH40" s="822"/>
      <c r="ENI40" s="822"/>
      <c r="ENJ40" s="822"/>
      <c r="ENK40" s="822"/>
      <c r="ENL40" s="822"/>
      <c r="ENM40" s="822"/>
      <c r="ENN40" s="822"/>
      <c r="ENO40" s="822"/>
      <c r="ENP40" s="822"/>
      <c r="ENQ40" s="822"/>
      <c r="ENR40" s="822"/>
      <c r="ENS40" s="822"/>
      <c r="ENT40" s="822"/>
      <c r="ENU40" s="822"/>
      <c r="ENV40" s="822"/>
      <c r="ENW40" s="822"/>
      <c r="ENX40" s="822"/>
      <c r="ENY40" s="822"/>
      <c r="ENZ40" s="822"/>
      <c r="EOA40" s="822"/>
      <c r="EOB40" s="822"/>
      <c r="EOC40" s="822"/>
      <c r="EOD40" s="822"/>
      <c r="EOE40" s="822"/>
      <c r="EOF40" s="822"/>
      <c r="EOG40" s="822"/>
      <c r="EOH40" s="822"/>
      <c r="EOI40" s="822"/>
      <c r="EOJ40" s="822"/>
      <c r="EOK40" s="822"/>
      <c r="EOL40" s="822"/>
      <c r="EOM40" s="822"/>
      <c r="EON40" s="822"/>
      <c r="EOO40" s="822"/>
      <c r="EOP40" s="822"/>
      <c r="EOQ40" s="822"/>
      <c r="EOR40" s="822"/>
      <c r="EOS40" s="822"/>
      <c r="EOT40" s="822"/>
      <c r="EOU40" s="822"/>
      <c r="EOV40" s="822"/>
      <c r="EOW40" s="822"/>
      <c r="EOX40" s="822"/>
      <c r="EOY40" s="822"/>
      <c r="EOZ40" s="822"/>
      <c r="EPA40" s="822"/>
      <c r="EPB40" s="822"/>
      <c r="EPC40" s="822"/>
      <c r="EPD40" s="822"/>
      <c r="EPE40" s="822"/>
      <c r="EPF40" s="822"/>
      <c r="EPG40" s="822"/>
      <c r="EPH40" s="822"/>
      <c r="EPI40" s="822"/>
      <c r="EPJ40" s="822"/>
      <c r="EPK40" s="822"/>
      <c r="EPL40" s="822"/>
      <c r="EPM40" s="822"/>
      <c r="EPN40" s="822"/>
      <c r="EPO40" s="822"/>
      <c r="EPP40" s="822"/>
      <c r="EPQ40" s="822"/>
      <c r="EPR40" s="822"/>
      <c r="EPS40" s="822"/>
      <c r="EPT40" s="822"/>
      <c r="EPU40" s="822"/>
      <c r="EPV40" s="822"/>
      <c r="EPW40" s="822"/>
      <c r="EPX40" s="822"/>
      <c r="EPY40" s="822"/>
      <c r="EPZ40" s="822"/>
      <c r="EQA40" s="822"/>
      <c r="EQB40" s="822"/>
      <c r="EQC40" s="822"/>
      <c r="EQD40" s="822"/>
      <c r="EQE40" s="822"/>
      <c r="EQF40" s="822"/>
      <c r="EQG40" s="822"/>
      <c r="EQH40" s="822"/>
      <c r="EQI40" s="822"/>
      <c r="EQJ40" s="822"/>
      <c r="EQK40" s="822"/>
      <c r="EQL40" s="822"/>
      <c r="EQM40" s="822"/>
      <c r="EQN40" s="822"/>
      <c r="EQO40" s="822"/>
      <c r="EQP40" s="822"/>
      <c r="EQQ40" s="822"/>
      <c r="EQR40" s="822"/>
      <c r="EQS40" s="822"/>
      <c r="EQT40" s="822"/>
      <c r="EQU40" s="822"/>
      <c r="EQV40" s="822"/>
      <c r="EQW40" s="822"/>
      <c r="EQX40" s="822"/>
      <c r="EQY40" s="822"/>
      <c r="EQZ40" s="822"/>
      <c r="ERA40" s="822"/>
      <c r="ERB40" s="822"/>
      <c r="ERC40" s="822"/>
      <c r="ERD40" s="822"/>
      <c r="ERE40" s="822"/>
      <c r="ERF40" s="822"/>
      <c r="ERG40" s="822"/>
      <c r="ERH40" s="822"/>
      <c r="ERI40" s="822"/>
      <c r="ERJ40" s="822"/>
      <c r="ERK40" s="822"/>
      <c r="ERL40" s="822"/>
      <c r="ERM40" s="822"/>
      <c r="ERN40" s="822"/>
      <c r="ERO40" s="822"/>
      <c r="ERP40" s="822"/>
      <c r="ERQ40" s="822"/>
      <c r="ERR40" s="822"/>
      <c r="ERS40" s="822"/>
      <c r="ERT40" s="822"/>
      <c r="ERU40" s="822"/>
      <c r="ERV40" s="822"/>
      <c r="ERW40" s="822"/>
      <c r="ERX40" s="822"/>
      <c r="ERY40" s="822"/>
      <c r="ERZ40" s="822"/>
      <c r="ESA40" s="822"/>
      <c r="ESB40" s="822"/>
      <c r="ESC40" s="822"/>
      <c r="ESD40" s="822"/>
      <c r="ESE40" s="822"/>
      <c r="ESF40" s="822"/>
      <c r="ESG40" s="822"/>
      <c r="ESH40" s="822"/>
      <c r="ESI40" s="822"/>
      <c r="ESJ40" s="822"/>
      <c r="ESK40" s="822"/>
      <c r="ESL40" s="822"/>
      <c r="ESM40" s="822"/>
      <c r="ESN40" s="822"/>
      <c r="ESO40" s="822"/>
      <c r="ESP40" s="822"/>
      <c r="ESQ40" s="822"/>
      <c r="ESR40" s="822"/>
      <c r="ESS40" s="822"/>
      <c r="EST40" s="822"/>
      <c r="ESU40" s="822"/>
      <c r="ESV40" s="822"/>
      <c r="ESW40" s="822"/>
      <c r="ESX40" s="822"/>
      <c r="ESY40" s="822"/>
      <c r="ESZ40" s="822"/>
      <c r="ETA40" s="822"/>
      <c r="ETB40" s="822"/>
      <c r="ETC40" s="822"/>
      <c r="ETD40" s="822"/>
      <c r="ETE40" s="822"/>
      <c r="ETF40" s="822"/>
      <c r="ETG40" s="822"/>
      <c r="ETH40" s="822"/>
      <c r="ETI40" s="822"/>
      <c r="ETJ40" s="822"/>
      <c r="ETK40" s="822"/>
      <c r="ETL40" s="822"/>
      <c r="ETM40" s="822"/>
      <c r="ETN40" s="822"/>
      <c r="ETO40" s="822"/>
      <c r="ETP40" s="822"/>
      <c r="ETQ40" s="822"/>
      <c r="ETR40" s="822"/>
      <c r="ETS40" s="822"/>
      <c r="ETT40" s="822"/>
      <c r="ETU40" s="822"/>
      <c r="ETV40" s="822"/>
      <c r="ETW40" s="822"/>
      <c r="ETX40" s="822"/>
      <c r="ETY40" s="822"/>
      <c r="ETZ40" s="822"/>
      <c r="EUA40" s="822"/>
      <c r="EUB40" s="822"/>
      <c r="EUC40" s="822"/>
      <c r="EUD40" s="822"/>
      <c r="EUE40" s="822"/>
      <c r="EUF40" s="822"/>
      <c r="EUG40" s="822"/>
      <c r="EUH40" s="822"/>
      <c r="EUI40" s="822"/>
      <c r="EUJ40" s="822"/>
      <c r="EUK40" s="822"/>
      <c r="EUL40" s="822"/>
      <c r="EUM40" s="822"/>
      <c r="EUN40" s="822"/>
      <c r="EUO40" s="822"/>
      <c r="EUP40" s="822"/>
      <c r="EUQ40" s="822"/>
      <c r="EUR40" s="822"/>
      <c r="EUS40" s="822"/>
      <c r="EUT40" s="822"/>
      <c r="EUU40" s="822"/>
      <c r="EUV40" s="822"/>
      <c r="EUW40" s="822"/>
      <c r="EUX40" s="822"/>
      <c r="EUY40" s="822"/>
      <c r="EUZ40" s="822"/>
      <c r="EVA40" s="822"/>
      <c r="EVB40" s="822"/>
      <c r="EVC40" s="822"/>
      <c r="EVD40" s="822"/>
      <c r="EVE40" s="822"/>
      <c r="EVF40" s="822"/>
      <c r="EVG40" s="822"/>
      <c r="EVH40" s="822"/>
      <c r="EVI40" s="822"/>
      <c r="EVJ40" s="822"/>
      <c r="EVK40" s="822"/>
      <c r="EVL40" s="822"/>
      <c r="EVM40" s="822"/>
      <c r="EVN40" s="822"/>
      <c r="EVO40" s="822"/>
      <c r="EVP40" s="822"/>
      <c r="EVQ40" s="822"/>
      <c r="EVR40" s="822"/>
      <c r="EVS40" s="822"/>
      <c r="EVT40" s="822"/>
      <c r="EVU40" s="822"/>
      <c r="EVV40" s="822"/>
      <c r="EVW40" s="822"/>
      <c r="EVX40" s="822"/>
      <c r="EVY40" s="822"/>
      <c r="EVZ40" s="822"/>
      <c r="EWA40" s="822"/>
      <c r="EWB40" s="822"/>
      <c r="EWC40" s="822"/>
      <c r="EWD40" s="822"/>
      <c r="EWE40" s="822"/>
      <c r="EWF40" s="822"/>
      <c r="EWG40" s="822"/>
      <c r="EWH40" s="822"/>
      <c r="EWI40" s="822"/>
      <c r="EWJ40" s="822"/>
      <c r="EWK40" s="822"/>
      <c r="EWL40" s="822"/>
      <c r="EWM40" s="822"/>
      <c r="EWN40" s="822"/>
      <c r="EWO40" s="822"/>
      <c r="EWP40" s="822"/>
      <c r="EWQ40" s="822"/>
      <c r="EWR40" s="822"/>
      <c r="EWS40" s="822"/>
      <c r="EWT40" s="822"/>
      <c r="EWU40" s="822"/>
      <c r="EWV40" s="822"/>
      <c r="EWW40" s="822"/>
      <c r="EWX40" s="822"/>
      <c r="EWY40" s="822"/>
      <c r="EWZ40" s="822"/>
      <c r="EXA40" s="822"/>
      <c r="EXB40" s="822"/>
      <c r="EXC40" s="822"/>
      <c r="EXD40" s="822"/>
      <c r="EXE40" s="822"/>
      <c r="EXF40" s="822"/>
      <c r="EXG40" s="822"/>
      <c r="EXH40" s="822"/>
      <c r="EXI40" s="822"/>
      <c r="EXJ40" s="822"/>
      <c r="EXK40" s="822"/>
      <c r="EXL40" s="822"/>
      <c r="EXM40" s="822"/>
      <c r="EXN40" s="822"/>
      <c r="EXO40" s="822"/>
      <c r="EXP40" s="822"/>
      <c r="EXQ40" s="822"/>
      <c r="EXR40" s="822"/>
      <c r="EXS40" s="822"/>
      <c r="EXT40" s="822"/>
      <c r="EXU40" s="822"/>
      <c r="EXV40" s="822"/>
      <c r="EXW40" s="822"/>
      <c r="EXX40" s="822"/>
      <c r="EXY40" s="822"/>
      <c r="EXZ40" s="822"/>
      <c r="EYA40" s="822"/>
      <c r="EYB40" s="822"/>
      <c r="EYC40" s="822"/>
      <c r="EYD40" s="822"/>
      <c r="EYE40" s="822"/>
      <c r="EYF40" s="822"/>
      <c r="EYG40" s="822"/>
      <c r="EYH40" s="822"/>
      <c r="EYI40" s="822"/>
      <c r="EYJ40" s="822"/>
      <c r="EYK40" s="822"/>
      <c r="EYL40" s="822"/>
      <c r="EYM40" s="822"/>
      <c r="EYN40" s="822"/>
      <c r="EYO40" s="822"/>
      <c r="EYP40" s="822"/>
      <c r="EYQ40" s="822"/>
      <c r="EYR40" s="822"/>
      <c r="EYS40" s="822"/>
      <c r="EYT40" s="822"/>
      <c r="EYU40" s="822"/>
      <c r="EYV40" s="822"/>
      <c r="EYW40" s="822"/>
      <c r="EYX40" s="822"/>
      <c r="EYY40" s="822"/>
      <c r="EYZ40" s="822"/>
      <c r="EZA40" s="822"/>
      <c r="EZB40" s="822"/>
      <c r="EZC40" s="822"/>
      <c r="EZD40" s="822"/>
      <c r="EZE40" s="822"/>
      <c r="EZF40" s="822"/>
      <c r="EZG40" s="822"/>
      <c r="EZH40" s="822"/>
      <c r="EZI40" s="822"/>
      <c r="EZJ40" s="822"/>
      <c r="EZK40" s="822"/>
      <c r="EZL40" s="822"/>
      <c r="EZM40" s="822"/>
      <c r="EZN40" s="822"/>
      <c r="EZO40" s="822"/>
      <c r="EZP40" s="822"/>
      <c r="EZQ40" s="822"/>
      <c r="EZR40" s="822"/>
      <c r="EZS40" s="822"/>
      <c r="EZT40" s="822"/>
      <c r="EZU40" s="822"/>
      <c r="EZV40" s="822"/>
      <c r="EZW40" s="822"/>
      <c r="EZX40" s="822"/>
      <c r="EZY40" s="822"/>
      <c r="EZZ40" s="822"/>
      <c r="FAA40" s="822"/>
      <c r="FAB40" s="822"/>
      <c r="FAC40" s="822"/>
      <c r="FAD40" s="822"/>
      <c r="FAE40" s="822"/>
      <c r="FAF40" s="822"/>
      <c r="FAG40" s="822"/>
      <c r="FAH40" s="822"/>
      <c r="FAI40" s="822"/>
      <c r="FAJ40" s="822"/>
      <c r="FAK40" s="822"/>
      <c r="FAL40" s="822"/>
      <c r="FAM40" s="822"/>
      <c r="FAN40" s="822"/>
      <c r="FAO40" s="822"/>
      <c r="FAP40" s="822"/>
      <c r="FAQ40" s="822"/>
      <c r="FAR40" s="822"/>
      <c r="FAS40" s="822"/>
      <c r="FAT40" s="822"/>
      <c r="FAU40" s="822"/>
      <c r="FAV40" s="822"/>
      <c r="FAW40" s="822"/>
      <c r="FAX40" s="822"/>
      <c r="FAY40" s="822"/>
      <c r="FAZ40" s="822"/>
      <c r="FBA40" s="822"/>
      <c r="FBB40" s="822"/>
      <c r="FBC40" s="822"/>
      <c r="FBD40" s="822"/>
      <c r="FBE40" s="822"/>
      <c r="FBF40" s="822"/>
      <c r="FBG40" s="822"/>
      <c r="FBH40" s="822"/>
      <c r="FBI40" s="822"/>
      <c r="FBJ40" s="822"/>
      <c r="FBK40" s="822"/>
      <c r="FBL40" s="822"/>
      <c r="FBM40" s="822"/>
      <c r="FBN40" s="822"/>
      <c r="FBO40" s="822"/>
      <c r="FBP40" s="822"/>
      <c r="FBQ40" s="822"/>
      <c r="FBR40" s="822"/>
      <c r="FBS40" s="822"/>
      <c r="FBT40" s="822"/>
      <c r="FBU40" s="822"/>
      <c r="FBV40" s="822"/>
      <c r="FBW40" s="822"/>
      <c r="FBX40" s="822"/>
      <c r="FBY40" s="822"/>
      <c r="FBZ40" s="822"/>
      <c r="FCA40" s="822"/>
      <c r="FCB40" s="822"/>
      <c r="FCC40" s="822"/>
      <c r="FCD40" s="822"/>
      <c r="FCE40" s="822"/>
      <c r="FCF40" s="822"/>
      <c r="FCG40" s="822"/>
      <c r="FCH40" s="822"/>
      <c r="FCI40" s="822"/>
      <c r="FCJ40" s="822"/>
      <c r="FCK40" s="822"/>
      <c r="FCL40" s="822"/>
      <c r="FCM40" s="822"/>
      <c r="FCN40" s="822"/>
      <c r="FCO40" s="822"/>
      <c r="FCP40" s="822"/>
      <c r="FCQ40" s="822"/>
      <c r="FCR40" s="822"/>
      <c r="FCS40" s="822"/>
      <c r="FCT40" s="822"/>
      <c r="FCU40" s="822"/>
      <c r="FCV40" s="822"/>
      <c r="FCW40" s="822"/>
      <c r="FCX40" s="822"/>
      <c r="FCY40" s="822"/>
      <c r="FCZ40" s="822"/>
      <c r="FDA40" s="822"/>
      <c r="FDB40" s="822"/>
      <c r="FDC40" s="822"/>
      <c r="FDD40" s="822"/>
      <c r="FDE40" s="822"/>
      <c r="FDF40" s="822"/>
      <c r="FDG40" s="822"/>
      <c r="FDH40" s="822"/>
      <c r="FDI40" s="822"/>
      <c r="FDJ40" s="822"/>
      <c r="FDK40" s="822"/>
      <c r="FDL40" s="822"/>
      <c r="FDM40" s="822"/>
      <c r="FDN40" s="822"/>
      <c r="FDO40" s="822"/>
      <c r="FDP40" s="822"/>
      <c r="FDQ40" s="822"/>
      <c r="FDR40" s="822"/>
      <c r="FDS40" s="822"/>
      <c r="FDT40" s="822"/>
      <c r="FDU40" s="822"/>
      <c r="FDV40" s="822"/>
      <c r="FDW40" s="822"/>
      <c r="FDX40" s="822"/>
      <c r="FDY40" s="822"/>
      <c r="FDZ40" s="822"/>
      <c r="FEA40" s="822"/>
      <c r="FEB40" s="822"/>
      <c r="FEC40" s="822"/>
      <c r="FED40" s="822"/>
      <c r="FEE40" s="822"/>
      <c r="FEF40" s="822"/>
      <c r="FEG40" s="822"/>
      <c r="FEH40" s="822"/>
      <c r="FEI40" s="822"/>
      <c r="FEJ40" s="822"/>
      <c r="FEK40" s="822"/>
      <c r="FEL40" s="822"/>
      <c r="FEM40" s="822"/>
      <c r="FEN40" s="822"/>
      <c r="FEO40" s="822"/>
      <c r="FEP40" s="822"/>
      <c r="FEQ40" s="822"/>
      <c r="FER40" s="822"/>
      <c r="FES40" s="822"/>
      <c r="FET40" s="822"/>
      <c r="FEU40" s="822"/>
      <c r="FEV40" s="822"/>
      <c r="FEW40" s="822"/>
      <c r="FEX40" s="822"/>
      <c r="FEY40" s="822"/>
      <c r="FEZ40" s="822"/>
      <c r="FFA40" s="822"/>
      <c r="FFB40" s="822"/>
      <c r="FFC40" s="822"/>
      <c r="FFD40" s="822"/>
      <c r="FFE40" s="822"/>
      <c r="FFF40" s="822"/>
      <c r="FFG40" s="822"/>
      <c r="FFH40" s="822"/>
      <c r="FFI40" s="822"/>
      <c r="FFJ40" s="822"/>
      <c r="FFK40" s="822"/>
      <c r="FFL40" s="822"/>
      <c r="FFM40" s="822"/>
      <c r="FFN40" s="822"/>
      <c r="FFO40" s="822"/>
      <c r="FFP40" s="822"/>
      <c r="FFQ40" s="822"/>
      <c r="FFR40" s="822"/>
      <c r="FFS40" s="822"/>
      <c r="FFT40" s="822"/>
      <c r="FFU40" s="822"/>
      <c r="FFV40" s="822"/>
      <c r="FFW40" s="822"/>
      <c r="FFX40" s="822"/>
      <c r="FFY40" s="822"/>
      <c r="FFZ40" s="822"/>
      <c r="FGA40" s="822"/>
      <c r="FGB40" s="822"/>
      <c r="FGC40" s="822"/>
      <c r="FGD40" s="822"/>
      <c r="FGE40" s="822"/>
      <c r="FGF40" s="822"/>
      <c r="FGG40" s="822"/>
      <c r="FGH40" s="822"/>
      <c r="FGI40" s="822"/>
      <c r="FGJ40" s="822"/>
      <c r="FGK40" s="822"/>
      <c r="FGL40" s="822"/>
      <c r="FGM40" s="822"/>
      <c r="FGN40" s="822"/>
      <c r="FGO40" s="822"/>
      <c r="FGP40" s="822"/>
      <c r="FGQ40" s="822"/>
      <c r="FGR40" s="822"/>
      <c r="FGS40" s="822"/>
      <c r="FGT40" s="822"/>
      <c r="FGU40" s="822"/>
      <c r="FGV40" s="822"/>
      <c r="FGW40" s="822"/>
      <c r="FGX40" s="822"/>
      <c r="FGY40" s="822"/>
      <c r="FGZ40" s="822"/>
      <c r="FHA40" s="822"/>
      <c r="FHB40" s="822"/>
      <c r="FHC40" s="822"/>
      <c r="FHD40" s="822"/>
      <c r="FHE40" s="822"/>
      <c r="FHF40" s="822"/>
      <c r="FHG40" s="822"/>
      <c r="FHH40" s="822"/>
      <c r="FHI40" s="822"/>
      <c r="FHJ40" s="822"/>
      <c r="FHK40" s="822"/>
      <c r="FHL40" s="822"/>
      <c r="FHM40" s="822"/>
      <c r="FHN40" s="822"/>
      <c r="FHO40" s="822"/>
      <c r="FHP40" s="822"/>
      <c r="FHQ40" s="822"/>
      <c r="FHR40" s="822"/>
      <c r="FHS40" s="822"/>
      <c r="FHT40" s="822"/>
      <c r="FHU40" s="822"/>
      <c r="FHV40" s="822"/>
      <c r="FHW40" s="822"/>
      <c r="FHX40" s="822"/>
      <c r="FHY40" s="822"/>
      <c r="FHZ40" s="822"/>
      <c r="FIA40" s="822"/>
      <c r="FIB40" s="822"/>
      <c r="FIC40" s="822"/>
      <c r="FID40" s="822"/>
      <c r="FIE40" s="822"/>
      <c r="FIF40" s="822"/>
      <c r="FIG40" s="822"/>
      <c r="FIH40" s="822"/>
      <c r="FII40" s="822"/>
      <c r="FIJ40" s="822"/>
      <c r="FIK40" s="822"/>
      <c r="FIL40" s="822"/>
      <c r="FIM40" s="822"/>
      <c r="FIN40" s="822"/>
      <c r="FIO40" s="822"/>
      <c r="FIP40" s="822"/>
      <c r="FIQ40" s="822"/>
      <c r="FIR40" s="822"/>
      <c r="FIS40" s="822"/>
      <c r="FIT40" s="822"/>
      <c r="FIU40" s="822"/>
      <c r="FIV40" s="822"/>
      <c r="FIW40" s="822"/>
      <c r="FIX40" s="822"/>
      <c r="FIY40" s="822"/>
      <c r="FIZ40" s="822"/>
      <c r="FJA40" s="822"/>
      <c r="FJB40" s="822"/>
      <c r="FJC40" s="822"/>
      <c r="FJD40" s="822"/>
      <c r="FJE40" s="822"/>
      <c r="FJF40" s="822"/>
      <c r="FJG40" s="822"/>
      <c r="FJH40" s="822"/>
      <c r="FJI40" s="822"/>
      <c r="FJJ40" s="822"/>
      <c r="FJK40" s="822"/>
      <c r="FJL40" s="822"/>
      <c r="FJM40" s="822"/>
      <c r="FJN40" s="822"/>
      <c r="FJO40" s="822"/>
      <c r="FJP40" s="822"/>
      <c r="FJQ40" s="822"/>
      <c r="FJR40" s="822"/>
      <c r="FJS40" s="822"/>
      <c r="FJT40" s="822"/>
      <c r="FJU40" s="822"/>
      <c r="FJV40" s="822"/>
      <c r="FJW40" s="822"/>
      <c r="FJX40" s="822"/>
      <c r="FJY40" s="822"/>
      <c r="FJZ40" s="822"/>
      <c r="FKA40" s="822"/>
      <c r="FKB40" s="822"/>
      <c r="FKC40" s="822"/>
      <c r="FKD40" s="822"/>
      <c r="FKE40" s="822"/>
      <c r="FKF40" s="822"/>
      <c r="FKG40" s="822"/>
      <c r="FKH40" s="822"/>
      <c r="FKI40" s="822"/>
      <c r="FKJ40" s="822"/>
      <c r="FKK40" s="822"/>
      <c r="FKL40" s="822"/>
      <c r="FKM40" s="822"/>
      <c r="FKN40" s="822"/>
      <c r="FKO40" s="822"/>
      <c r="FKP40" s="822"/>
      <c r="FKQ40" s="822"/>
      <c r="FKR40" s="822"/>
      <c r="FKS40" s="822"/>
      <c r="FKT40" s="822"/>
      <c r="FKU40" s="822"/>
      <c r="FKV40" s="822"/>
      <c r="FKW40" s="822"/>
      <c r="FKX40" s="822"/>
      <c r="FKY40" s="822"/>
      <c r="FKZ40" s="822"/>
      <c r="FLA40" s="822"/>
      <c r="FLB40" s="822"/>
      <c r="FLC40" s="822"/>
      <c r="FLD40" s="822"/>
      <c r="FLE40" s="822"/>
      <c r="FLF40" s="822"/>
      <c r="FLG40" s="822"/>
      <c r="FLH40" s="822"/>
      <c r="FLI40" s="822"/>
      <c r="FLJ40" s="822"/>
      <c r="FLK40" s="822"/>
      <c r="FLL40" s="822"/>
      <c r="FLM40" s="822"/>
      <c r="FLN40" s="822"/>
      <c r="FLO40" s="822"/>
      <c r="FLP40" s="822"/>
      <c r="FLQ40" s="822"/>
      <c r="FLR40" s="822"/>
      <c r="FLS40" s="822"/>
      <c r="FLT40" s="822"/>
      <c r="FLU40" s="822"/>
      <c r="FLV40" s="822"/>
      <c r="FLW40" s="822"/>
      <c r="FLX40" s="822"/>
      <c r="FLY40" s="822"/>
      <c r="FLZ40" s="822"/>
      <c r="FMA40" s="822"/>
      <c r="FMB40" s="822"/>
      <c r="FMC40" s="822"/>
      <c r="FMD40" s="822"/>
      <c r="FME40" s="822"/>
      <c r="FMF40" s="822"/>
      <c r="FMG40" s="822"/>
      <c r="FMH40" s="822"/>
      <c r="FMI40" s="822"/>
      <c r="FMJ40" s="822"/>
      <c r="FMK40" s="822"/>
      <c r="FML40" s="822"/>
      <c r="FMM40" s="822"/>
      <c r="FMN40" s="822"/>
      <c r="FMO40" s="822"/>
      <c r="FMP40" s="822"/>
      <c r="FMQ40" s="822"/>
      <c r="FMR40" s="822"/>
      <c r="FMS40" s="822"/>
      <c r="FMT40" s="822"/>
      <c r="FMU40" s="822"/>
      <c r="FMV40" s="822"/>
      <c r="FMW40" s="822"/>
      <c r="FMX40" s="822"/>
      <c r="FMY40" s="822"/>
      <c r="FMZ40" s="822"/>
      <c r="FNA40" s="822"/>
      <c r="FNB40" s="822"/>
      <c r="FNC40" s="822"/>
      <c r="FND40" s="822"/>
      <c r="FNE40" s="822"/>
      <c r="FNF40" s="822"/>
      <c r="FNG40" s="822"/>
      <c r="FNH40" s="822"/>
      <c r="FNI40" s="822"/>
      <c r="FNJ40" s="822"/>
      <c r="FNK40" s="822"/>
      <c r="FNL40" s="822"/>
      <c r="FNM40" s="822"/>
      <c r="FNN40" s="822"/>
      <c r="FNO40" s="822"/>
      <c r="FNP40" s="822"/>
      <c r="FNQ40" s="822"/>
      <c r="FNR40" s="822"/>
      <c r="FNS40" s="822"/>
      <c r="FNT40" s="822"/>
      <c r="FNU40" s="822"/>
      <c r="FNV40" s="822"/>
      <c r="FNW40" s="822"/>
      <c r="FNX40" s="822"/>
      <c r="FNY40" s="822"/>
      <c r="FNZ40" s="822"/>
      <c r="FOA40" s="822"/>
      <c r="FOB40" s="822"/>
      <c r="FOC40" s="822"/>
      <c r="FOD40" s="822"/>
      <c r="FOE40" s="822"/>
      <c r="FOF40" s="822"/>
      <c r="FOG40" s="822"/>
      <c r="FOH40" s="822"/>
      <c r="FOI40" s="822"/>
      <c r="FOJ40" s="822"/>
      <c r="FOK40" s="822"/>
      <c r="FOL40" s="822"/>
      <c r="FOM40" s="822"/>
      <c r="FON40" s="822"/>
      <c r="FOO40" s="822"/>
      <c r="FOP40" s="822"/>
      <c r="FOQ40" s="822"/>
      <c r="FOR40" s="822"/>
      <c r="FOS40" s="822"/>
      <c r="FOT40" s="822"/>
      <c r="FOU40" s="822"/>
      <c r="FOV40" s="822"/>
      <c r="FOW40" s="822"/>
      <c r="FOX40" s="822"/>
      <c r="FOY40" s="822"/>
      <c r="FOZ40" s="822"/>
      <c r="FPA40" s="822"/>
      <c r="FPB40" s="822"/>
      <c r="FPC40" s="822"/>
      <c r="FPD40" s="822"/>
      <c r="FPE40" s="822"/>
      <c r="FPF40" s="822"/>
      <c r="FPG40" s="822"/>
      <c r="FPH40" s="822"/>
      <c r="FPI40" s="822"/>
      <c r="FPJ40" s="822"/>
      <c r="FPK40" s="822"/>
      <c r="FPL40" s="822"/>
      <c r="FPM40" s="822"/>
      <c r="FPN40" s="822"/>
      <c r="FPO40" s="822"/>
      <c r="FPP40" s="822"/>
      <c r="FPQ40" s="822"/>
      <c r="FPR40" s="822"/>
      <c r="FPS40" s="822"/>
      <c r="FPT40" s="822"/>
      <c r="FPU40" s="822"/>
      <c r="FPV40" s="822"/>
      <c r="FPW40" s="822"/>
      <c r="FPX40" s="822"/>
      <c r="FPY40" s="822"/>
      <c r="FPZ40" s="822"/>
      <c r="FQA40" s="822"/>
      <c r="FQB40" s="822"/>
      <c r="FQC40" s="822"/>
      <c r="FQD40" s="822"/>
      <c r="FQE40" s="822"/>
      <c r="FQF40" s="822"/>
      <c r="FQG40" s="822"/>
      <c r="FQH40" s="822"/>
      <c r="FQI40" s="822"/>
      <c r="FQJ40" s="822"/>
      <c r="FQK40" s="822"/>
      <c r="FQL40" s="822"/>
      <c r="FQM40" s="822"/>
      <c r="FQN40" s="822"/>
      <c r="FQO40" s="822"/>
      <c r="FQP40" s="822"/>
      <c r="FQQ40" s="822"/>
      <c r="FQR40" s="822"/>
      <c r="FQS40" s="822"/>
      <c r="FQT40" s="822"/>
      <c r="FQU40" s="822"/>
      <c r="FQV40" s="822"/>
      <c r="FQW40" s="822"/>
      <c r="FQX40" s="822"/>
      <c r="FQY40" s="822"/>
      <c r="FQZ40" s="822"/>
      <c r="FRA40" s="822"/>
      <c r="FRB40" s="822"/>
      <c r="FRC40" s="822"/>
      <c r="FRD40" s="822"/>
      <c r="FRE40" s="822"/>
      <c r="FRF40" s="822"/>
      <c r="FRG40" s="822"/>
      <c r="FRH40" s="822"/>
      <c r="FRI40" s="822"/>
      <c r="FRJ40" s="822"/>
      <c r="FRK40" s="822"/>
      <c r="FRL40" s="822"/>
      <c r="FRM40" s="822"/>
      <c r="FRN40" s="822"/>
      <c r="FRO40" s="822"/>
      <c r="FRP40" s="822"/>
      <c r="FRQ40" s="822"/>
      <c r="FRR40" s="822"/>
      <c r="FRS40" s="822"/>
      <c r="FRT40" s="822"/>
      <c r="FRU40" s="822"/>
      <c r="FRV40" s="822"/>
      <c r="FRW40" s="822"/>
      <c r="FRX40" s="822"/>
      <c r="FRY40" s="822"/>
      <c r="FRZ40" s="822"/>
      <c r="FSA40" s="822"/>
      <c r="FSB40" s="822"/>
      <c r="FSC40" s="822"/>
      <c r="FSD40" s="822"/>
      <c r="FSE40" s="822"/>
      <c r="FSF40" s="822"/>
      <c r="FSG40" s="822"/>
      <c r="FSH40" s="822"/>
      <c r="FSI40" s="822"/>
      <c r="FSJ40" s="822"/>
      <c r="FSK40" s="822"/>
      <c r="FSL40" s="822"/>
      <c r="FSM40" s="822"/>
      <c r="FSN40" s="822"/>
      <c r="FSO40" s="822"/>
      <c r="FSP40" s="822"/>
      <c r="FSQ40" s="822"/>
      <c r="FSR40" s="822"/>
      <c r="FSS40" s="822"/>
      <c r="FST40" s="822"/>
      <c r="FSU40" s="822"/>
      <c r="FSV40" s="822"/>
      <c r="FSW40" s="822"/>
      <c r="FSX40" s="822"/>
      <c r="FSY40" s="822"/>
      <c r="FSZ40" s="822"/>
      <c r="FTA40" s="822"/>
      <c r="FTB40" s="822"/>
      <c r="FTC40" s="822"/>
      <c r="FTD40" s="822"/>
      <c r="FTE40" s="822"/>
      <c r="FTF40" s="822"/>
      <c r="FTG40" s="822"/>
      <c r="FTH40" s="822"/>
      <c r="FTI40" s="822"/>
      <c r="FTJ40" s="822"/>
      <c r="FTK40" s="822"/>
      <c r="FTL40" s="822"/>
      <c r="FTM40" s="822"/>
      <c r="FTN40" s="822"/>
      <c r="FTO40" s="822"/>
      <c r="FTP40" s="822"/>
      <c r="FTQ40" s="822"/>
      <c r="FTR40" s="822"/>
      <c r="FTS40" s="822"/>
      <c r="FTT40" s="822"/>
      <c r="FTU40" s="822"/>
      <c r="FTV40" s="822"/>
      <c r="FTW40" s="822"/>
      <c r="FTX40" s="822"/>
      <c r="FTY40" s="822"/>
      <c r="FTZ40" s="822"/>
      <c r="FUA40" s="822"/>
      <c r="FUB40" s="822"/>
      <c r="FUC40" s="822"/>
      <c r="FUD40" s="822"/>
      <c r="FUE40" s="822"/>
      <c r="FUF40" s="822"/>
      <c r="FUG40" s="822"/>
      <c r="FUH40" s="822"/>
      <c r="FUI40" s="822"/>
      <c r="FUJ40" s="822"/>
      <c r="FUK40" s="822"/>
      <c r="FUL40" s="822"/>
      <c r="FUM40" s="822"/>
      <c r="FUN40" s="822"/>
      <c r="FUO40" s="822"/>
      <c r="FUP40" s="822"/>
      <c r="FUQ40" s="822"/>
      <c r="FUR40" s="822"/>
      <c r="FUS40" s="822"/>
      <c r="FUT40" s="822"/>
      <c r="FUU40" s="822"/>
      <c r="FUV40" s="822"/>
      <c r="FUW40" s="822"/>
      <c r="FUX40" s="822"/>
      <c r="FUY40" s="822"/>
      <c r="FUZ40" s="822"/>
      <c r="FVA40" s="822"/>
      <c r="FVB40" s="822"/>
      <c r="FVC40" s="822"/>
      <c r="FVD40" s="822"/>
      <c r="FVE40" s="822"/>
      <c r="FVF40" s="822"/>
      <c r="FVG40" s="822"/>
      <c r="FVH40" s="822"/>
      <c r="FVI40" s="822"/>
      <c r="FVJ40" s="822"/>
      <c r="FVK40" s="822"/>
      <c r="FVL40" s="822"/>
      <c r="FVM40" s="822"/>
      <c r="FVN40" s="822"/>
      <c r="FVO40" s="822"/>
      <c r="FVP40" s="822"/>
      <c r="FVQ40" s="822"/>
      <c r="FVR40" s="822"/>
      <c r="FVS40" s="822"/>
      <c r="FVT40" s="822"/>
      <c r="FVU40" s="822"/>
      <c r="FVV40" s="822"/>
      <c r="FVW40" s="822"/>
      <c r="FVX40" s="822"/>
      <c r="FVY40" s="822"/>
      <c r="FVZ40" s="822"/>
      <c r="FWA40" s="822"/>
      <c r="FWB40" s="822"/>
      <c r="FWC40" s="822"/>
      <c r="FWD40" s="822"/>
      <c r="FWE40" s="822"/>
      <c r="FWF40" s="822"/>
      <c r="FWG40" s="822"/>
      <c r="FWH40" s="822"/>
      <c r="FWI40" s="822"/>
      <c r="FWJ40" s="822"/>
      <c r="FWK40" s="822"/>
      <c r="FWL40" s="822"/>
      <c r="FWM40" s="822"/>
      <c r="FWN40" s="822"/>
      <c r="FWO40" s="822"/>
      <c r="FWP40" s="822"/>
      <c r="FWQ40" s="822"/>
      <c r="FWR40" s="822"/>
      <c r="FWS40" s="822"/>
      <c r="FWT40" s="822"/>
      <c r="FWU40" s="822"/>
      <c r="FWV40" s="822"/>
      <c r="FWW40" s="822"/>
      <c r="FWX40" s="822"/>
      <c r="FWY40" s="822"/>
      <c r="FWZ40" s="822"/>
      <c r="FXA40" s="822"/>
      <c r="FXB40" s="822"/>
      <c r="FXC40" s="822"/>
      <c r="FXD40" s="822"/>
      <c r="FXE40" s="822"/>
      <c r="FXF40" s="822"/>
      <c r="FXG40" s="822"/>
      <c r="FXH40" s="822"/>
      <c r="FXI40" s="822"/>
      <c r="FXJ40" s="822"/>
      <c r="FXK40" s="822"/>
      <c r="FXL40" s="822"/>
      <c r="FXM40" s="822"/>
      <c r="FXN40" s="822"/>
      <c r="FXO40" s="822"/>
      <c r="FXP40" s="822"/>
      <c r="FXQ40" s="822"/>
      <c r="FXR40" s="822"/>
      <c r="FXS40" s="822"/>
      <c r="FXT40" s="822"/>
      <c r="FXU40" s="822"/>
      <c r="FXV40" s="822"/>
      <c r="FXW40" s="822"/>
      <c r="FXX40" s="822"/>
      <c r="FXY40" s="822"/>
      <c r="FXZ40" s="822"/>
      <c r="FYA40" s="822"/>
      <c r="FYB40" s="822"/>
      <c r="FYC40" s="822"/>
      <c r="FYD40" s="822"/>
      <c r="FYE40" s="822"/>
      <c r="FYF40" s="822"/>
      <c r="FYG40" s="822"/>
      <c r="FYH40" s="822"/>
      <c r="FYI40" s="822"/>
      <c r="FYJ40" s="822"/>
      <c r="FYK40" s="822"/>
      <c r="FYL40" s="822"/>
      <c r="FYM40" s="822"/>
      <c r="FYN40" s="822"/>
      <c r="FYO40" s="822"/>
      <c r="FYP40" s="822"/>
      <c r="FYQ40" s="822"/>
      <c r="FYR40" s="822"/>
      <c r="FYS40" s="822"/>
      <c r="FYT40" s="822"/>
      <c r="FYU40" s="822"/>
      <c r="FYV40" s="822"/>
      <c r="FYW40" s="822"/>
      <c r="FYX40" s="822"/>
      <c r="FYY40" s="822"/>
      <c r="FYZ40" s="822"/>
      <c r="FZA40" s="822"/>
      <c r="FZB40" s="822"/>
      <c r="FZC40" s="822"/>
      <c r="FZD40" s="822"/>
      <c r="FZE40" s="822"/>
      <c r="FZF40" s="822"/>
      <c r="FZG40" s="822"/>
      <c r="FZH40" s="822"/>
      <c r="FZI40" s="822"/>
      <c r="FZJ40" s="822"/>
      <c r="FZK40" s="822"/>
      <c r="FZL40" s="822"/>
      <c r="FZM40" s="822"/>
      <c r="FZN40" s="822"/>
      <c r="FZO40" s="822"/>
      <c r="FZP40" s="822"/>
      <c r="FZQ40" s="822"/>
      <c r="FZR40" s="822"/>
      <c r="FZS40" s="822"/>
      <c r="FZT40" s="822"/>
      <c r="FZU40" s="822"/>
      <c r="FZV40" s="822"/>
      <c r="FZW40" s="822"/>
      <c r="FZX40" s="822"/>
      <c r="FZY40" s="822"/>
      <c r="FZZ40" s="822"/>
      <c r="GAA40" s="822"/>
      <c r="GAB40" s="822"/>
      <c r="GAC40" s="822"/>
      <c r="GAD40" s="822"/>
      <c r="GAE40" s="822"/>
      <c r="GAF40" s="822"/>
      <c r="GAG40" s="822"/>
      <c r="GAH40" s="822"/>
      <c r="GAI40" s="822"/>
      <c r="GAJ40" s="822"/>
      <c r="GAK40" s="822"/>
      <c r="GAL40" s="822"/>
      <c r="GAM40" s="822"/>
      <c r="GAN40" s="822"/>
      <c r="GAO40" s="822"/>
      <c r="GAP40" s="822"/>
      <c r="GAQ40" s="822"/>
      <c r="GAR40" s="822"/>
      <c r="GAS40" s="822"/>
      <c r="GAT40" s="822"/>
      <c r="GAU40" s="822"/>
      <c r="GAV40" s="822"/>
      <c r="GAW40" s="822"/>
      <c r="GAX40" s="822"/>
      <c r="GAY40" s="822"/>
      <c r="GAZ40" s="822"/>
      <c r="GBA40" s="822"/>
      <c r="GBB40" s="822"/>
      <c r="GBC40" s="822"/>
      <c r="GBD40" s="822"/>
      <c r="GBE40" s="822"/>
      <c r="GBF40" s="822"/>
      <c r="GBG40" s="822"/>
      <c r="GBH40" s="822"/>
      <c r="GBI40" s="822"/>
      <c r="GBJ40" s="822"/>
      <c r="GBK40" s="822"/>
      <c r="GBL40" s="822"/>
      <c r="GBM40" s="822"/>
      <c r="GBN40" s="822"/>
      <c r="GBO40" s="822"/>
      <c r="GBP40" s="822"/>
      <c r="GBQ40" s="822"/>
      <c r="GBR40" s="822"/>
      <c r="GBS40" s="822"/>
      <c r="GBT40" s="822"/>
      <c r="GBU40" s="822"/>
      <c r="GBV40" s="822"/>
      <c r="GBW40" s="822"/>
      <c r="GBX40" s="822"/>
      <c r="GBY40" s="822"/>
      <c r="GBZ40" s="822"/>
      <c r="GCA40" s="822"/>
      <c r="GCB40" s="822"/>
      <c r="GCC40" s="822"/>
      <c r="GCD40" s="822"/>
      <c r="GCE40" s="822"/>
      <c r="GCF40" s="822"/>
      <c r="GCG40" s="822"/>
      <c r="GCH40" s="822"/>
      <c r="GCI40" s="822"/>
      <c r="GCJ40" s="822"/>
      <c r="GCK40" s="822"/>
      <c r="GCL40" s="822"/>
      <c r="GCM40" s="822"/>
      <c r="GCN40" s="822"/>
      <c r="GCO40" s="822"/>
      <c r="GCP40" s="822"/>
      <c r="GCQ40" s="822"/>
      <c r="GCR40" s="822"/>
      <c r="GCS40" s="822"/>
      <c r="GCT40" s="822"/>
      <c r="GCU40" s="822"/>
      <c r="GCV40" s="822"/>
      <c r="GCW40" s="822"/>
      <c r="GCX40" s="822"/>
      <c r="GCY40" s="822"/>
      <c r="GCZ40" s="822"/>
      <c r="GDA40" s="822"/>
      <c r="GDB40" s="822"/>
      <c r="GDC40" s="822"/>
      <c r="GDD40" s="822"/>
      <c r="GDE40" s="822"/>
      <c r="GDF40" s="822"/>
      <c r="GDG40" s="822"/>
      <c r="GDH40" s="822"/>
      <c r="GDI40" s="822"/>
      <c r="GDJ40" s="822"/>
      <c r="GDK40" s="822"/>
      <c r="GDL40" s="822"/>
      <c r="GDM40" s="822"/>
      <c r="GDN40" s="822"/>
      <c r="GDO40" s="822"/>
      <c r="GDP40" s="822"/>
      <c r="GDQ40" s="822"/>
      <c r="GDR40" s="822"/>
      <c r="GDS40" s="822"/>
      <c r="GDT40" s="822"/>
      <c r="GDU40" s="822"/>
      <c r="GDV40" s="822"/>
      <c r="GDW40" s="822"/>
      <c r="GDX40" s="822"/>
      <c r="GDY40" s="822"/>
      <c r="GDZ40" s="822"/>
      <c r="GEA40" s="822"/>
      <c r="GEB40" s="822"/>
      <c r="GEC40" s="822"/>
      <c r="GED40" s="822"/>
      <c r="GEE40" s="822"/>
      <c r="GEF40" s="822"/>
      <c r="GEG40" s="822"/>
      <c r="GEH40" s="822"/>
      <c r="GEI40" s="822"/>
      <c r="GEJ40" s="822"/>
      <c r="GEK40" s="822"/>
      <c r="GEL40" s="822"/>
      <c r="GEM40" s="822"/>
      <c r="GEN40" s="822"/>
      <c r="GEO40" s="822"/>
      <c r="GEP40" s="822"/>
      <c r="GEQ40" s="822"/>
      <c r="GER40" s="822"/>
      <c r="GES40" s="822"/>
      <c r="GET40" s="822"/>
      <c r="GEU40" s="822"/>
      <c r="GEV40" s="822"/>
      <c r="GEW40" s="822"/>
      <c r="GEX40" s="822"/>
      <c r="GEY40" s="822"/>
      <c r="GEZ40" s="822"/>
      <c r="GFA40" s="822"/>
      <c r="GFB40" s="822"/>
      <c r="GFC40" s="822"/>
      <c r="GFD40" s="822"/>
      <c r="GFE40" s="822"/>
      <c r="GFF40" s="822"/>
      <c r="GFG40" s="822"/>
      <c r="GFH40" s="822"/>
      <c r="GFI40" s="822"/>
      <c r="GFJ40" s="822"/>
      <c r="GFK40" s="822"/>
      <c r="GFL40" s="822"/>
      <c r="GFM40" s="822"/>
      <c r="GFN40" s="822"/>
      <c r="GFO40" s="822"/>
      <c r="GFP40" s="822"/>
      <c r="GFQ40" s="822"/>
      <c r="GFR40" s="822"/>
      <c r="GFS40" s="822"/>
      <c r="GFT40" s="822"/>
      <c r="GFU40" s="822"/>
      <c r="GFV40" s="822"/>
      <c r="GFW40" s="822"/>
      <c r="GFX40" s="822"/>
      <c r="GFY40" s="822"/>
      <c r="GFZ40" s="822"/>
      <c r="GGA40" s="822"/>
      <c r="GGB40" s="822"/>
      <c r="GGC40" s="822"/>
      <c r="GGD40" s="822"/>
      <c r="GGE40" s="822"/>
      <c r="GGF40" s="822"/>
      <c r="GGG40" s="822"/>
      <c r="GGH40" s="822"/>
      <c r="GGI40" s="822"/>
      <c r="GGJ40" s="822"/>
      <c r="GGK40" s="822"/>
      <c r="GGL40" s="822"/>
      <c r="GGM40" s="822"/>
      <c r="GGN40" s="822"/>
      <c r="GGO40" s="822"/>
      <c r="GGP40" s="822"/>
      <c r="GGQ40" s="822"/>
      <c r="GGR40" s="822"/>
      <c r="GGS40" s="822"/>
      <c r="GGT40" s="822"/>
      <c r="GGU40" s="822"/>
      <c r="GGV40" s="822"/>
      <c r="GGW40" s="822"/>
      <c r="GGX40" s="822"/>
      <c r="GGY40" s="822"/>
      <c r="GGZ40" s="822"/>
      <c r="GHA40" s="822"/>
      <c r="GHB40" s="822"/>
      <c r="GHC40" s="822"/>
      <c r="GHD40" s="822"/>
      <c r="GHE40" s="822"/>
      <c r="GHF40" s="822"/>
      <c r="GHG40" s="822"/>
      <c r="GHH40" s="822"/>
      <c r="GHI40" s="822"/>
      <c r="GHJ40" s="822"/>
      <c r="GHK40" s="822"/>
      <c r="GHL40" s="822"/>
      <c r="GHM40" s="822"/>
      <c r="GHN40" s="822"/>
      <c r="GHO40" s="822"/>
      <c r="GHP40" s="822"/>
      <c r="GHQ40" s="822"/>
      <c r="GHR40" s="822"/>
      <c r="GHS40" s="822"/>
      <c r="GHT40" s="822"/>
      <c r="GHU40" s="822"/>
      <c r="GHV40" s="822"/>
      <c r="GHW40" s="822"/>
      <c r="GHX40" s="822"/>
      <c r="GHY40" s="822"/>
      <c r="GHZ40" s="822"/>
      <c r="GIA40" s="822"/>
      <c r="GIB40" s="822"/>
      <c r="GIC40" s="822"/>
      <c r="GID40" s="822"/>
      <c r="GIE40" s="822"/>
      <c r="GIF40" s="822"/>
      <c r="GIG40" s="822"/>
      <c r="GIH40" s="822"/>
      <c r="GII40" s="822"/>
      <c r="GIJ40" s="822"/>
      <c r="GIK40" s="822"/>
      <c r="GIL40" s="822"/>
      <c r="GIM40" s="822"/>
      <c r="GIN40" s="822"/>
      <c r="GIO40" s="822"/>
      <c r="GIP40" s="822"/>
      <c r="GIQ40" s="822"/>
      <c r="GIR40" s="822"/>
      <c r="GIS40" s="822"/>
      <c r="GIT40" s="822"/>
      <c r="GIU40" s="822"/>
      <c r="GIV40" s="822"/>
      <c r="GIW40" s="822"/>
      <c r="GIX40" s="822"/>
      <c r="GIY40" s="822"/>
      <c r="GIZ40" s="822"/>
      <c r="GJA40" s="822"/>
      <c r="GJB40" s="822"/>
      <c r="GJC40" s="822"/>
      <c r="GJD40" s="822"/>
      <c r="GJE40" s="822"/>
      <c r="GJF40" s="822"/>
      <c r="GJG40" s="822"/>
      <c r="GJH40" s="822"/>
      <c r="GJI40" s="822"/>
      <c r="GJJ40" s="822"/>
      <c r="GJK40" s="822"/>
      <c r="GJL40" s="822"/>
      <c r="GJM40" s="822"/>
      <c r="GJN40" s="822"/>
      <c r="GJO40" s="822"/>
      <c r="GJP40" s="822"/>
      <c r="GJQ40" s="822"/>
      <c r="GJR40" s="822"/>
      <c r="GJS40" s="822"/>
      <c r="GJT40" s="822"/>
      <c r="GJU40" s="822"/>
      <c r="GJV40" s="822"/>
      <c r="GJW40" s="822"/>
      <c r="GJX40" s="822"/>
      <c r="GJY40" s="822"/>
      <c r="GJZ40" s="822"/>
      <c r="GKA40" s="822"/>
      <c r="GKB40" s="822"/>
      <c r="GKC40" s="822"/>
      <c r="GKD40" s="822"/>
      <c r="GKE40" s="822"/>
      <c r="GKF40" s="822"/>
      <c r="GKG40" s="822"/>
      <c r="GKH40" s="822"/>
      <c r="GKI40" s="822"/>
      <c r="GKJ40" s="822"/>
      <c r="GKK40" s="822"/>
      <c r="GKL40" s="822"/>
      <c r="GKM40" s="822"/>
      <c r="GKN40" s="822"/>
      <c r="GKO40" s="822"/>
      <c r="GKP40" s="822"/>
      <c r="GKQ40" s="822"/>
      <c r="GKR40" s="822"/>
      <c r="GKS40" s="822"/>
      <c r="GKT40" s="822"/>
      <c r="GKU40" s="822"/>
      <c r="GKV40" s="822"/>
      <c r="GKW40" s="822"/>
      <c r="GKX40" s="822"/>
      <c r="GKY40" s="822"/>
      <c r="GKZ40" s="822"/>
      <c r="GLA40" s="822"/>
      <c r="GLB40" s="822"/>
      <c r="GLC40" s="822"/>
      <c r="GLD40" s="822"/>
      <c r="GLE40" s="822"/>
      <c r="GLF40" s="822"/>
      <c r="GLG40" s="822"/>
      <c r="GLH40" s="822"/>
      <c r="GLI40" s="822"/>
      <c r="GLJ40" s="822"/>
      <c r="GLK40" s="822"/>
      <c r="GLL40" s="822"/>
      <c r="GLM40" s="822"/>
      <c r="GLN40" s="822"/>
      <c r="GLO40" s="822"/>
      <c r="GLP40" s="822"/>
      <c r="GLQ40" s="822"/>
      <c r="GLR40" s="822"/>
      <c r="GLS40" s="822"/>
      <c r="GLT40" s="822"/>
      <c r="GLU40" s="822"/>
      <c r="GLV40" s="822"/>
      <c r="GLW40" s="822"/>
      <c r="GLX40" s="822"/>
      <c r="GLY40" s="822"/>
      <c r="GLZ40" s="822"/>
      <c r="GMA40" s="822"/>
      <c r="GMB40" s="822"/>
      <c r="GMC40" s="822"/>
      <c r="GMD40" s="822"/>
      <c r="GME40" s="822"/>
      <c r="GMF40" s="822"/>
      <c r="GMG40" s="822"/>
      <c r="GMH40" s="822"/>
      <c r="GMI40" s="822"/>
      <c r="GMJ40" s="822"/>
      <c r="GMK40" s="822"/>
      <c r="GML40" s="822"/>
      <c r="GMM40" s="822"/>
      <c r="GMN40" s="822"/>
      <c r="GMO40" s="822"/>
      <c r="GMP40" s="822"/>
      <c r="GMQ40" s="822"/>
      <c r="GMR40" s="822"/>
      <c r="GMS40" s="822"/>
      <c r="GMT40" s="822"/>
      <c r="GMU40" s="822"/>
      <c r="GMV40" s="822"/>
      <c r="GMW40" s="822"/>
      <c r="GMX40" s="822"/>
      <c r="GMY40" s="822"/>
      <c r="GMZ40" s="822"/>
      <c r="GNA40" s="822"/>
      <c r="GNB40" s="822"/>
      <c r="GNC40" s="822"/>
      <c r="GND40" s="822"/>
      <c r="GNE40" s="822"/>
      <c r="GNF40" s="822"/>
      <c r="GNG40" s="822"/>
      <c r="GNH40" s="822"/>
      <c r="GNI40" s="822"/>
      <c r="GNJ40" s="822"/>
      <c r="GNK40" s="822"/>
      <c r="GNL40" s="822"/>
      <c r="GNM40" s="822"/>
      <c r="GNN40" s="822"/>
      <c r="GNO40" s="822"/>
      <c r="GNP40" s="822"/>
      <c r="GNQ40" s="822"/>
      <c r="GNR40" s="822"/>
      <c r="GNS40" s="822"/>
      <c r="GNT40" s="822"/>
      <c r="GNU40" s="822"/>
      <c r="GNV40" s="822"/>
      <c r="GNW40" s="822"/>
      <c r="GNX40" s="822"/>
      <c r="GNY40" s="822"/>
      <c r="GNZ40" s="822"/>
      <c r="GOA40" s="822"/>
      <c r="GOB40" s="822"/>
      <c r="GOC40" s="822"/>
      <c r="GOD40" s="822"/>
      <c r="GOE40" s="822"/>
      <c r="GOF40" s="822"/>
      <c r="GOG40" s="822"/>
      <c r="GOH40" s="822"/>
      <c r="GOI40" s="822"/>
      <c r="GOJ40" s="822"/>
      <c r="GOK40" s="822"/>
      <c r="GOL40" s="822"/>
      <c r="GOM40" s="822"/>
      <c r="GON40" s="822"/>
      <c r="GOO40" s="822"/>
      <c r="GOP40" s="822"/>
      <c r="GOQ40" s="822"/>
      <c r="GOR40" s="822"/>
      <c r="GOS40" s="822"/>
      <c r="GOT40" s="822"/>
      <c r="GOU40" s="822"/>
      <c r="GOV40" s="822"/>
      <c r="GOW40" s="822"/>
      <c r="GOX40" s="822"/>
      <c r="GOY40" s="822"/>
      <c r="GOZ40" s="822"/>
      <c r="GPA40" s="822"/>
      <c r="GPB40" s="822"/>
      <c r="GPC40" s="822"/>
      <c r="GPD40" s="822"/>
      <c r="GPE40" s="822"/>
      <c r="GPF40" s="822"/>
      <c r="GPG40" s="822"/>
      <c r="GPH40" s="822"/>
      <c r="GPI40" s="822"/>
      <c r="GPJ40" s="822"/>
      <c r="GPK40" s="822"/>
      <c r="GPL40" s="822"/>
      <c r="GPM40" s="822"/>
      <c r="GPN40" s="822"/>
      <c r="GPO40" s="822"/>
      <c r="GPP40" s="822"/>
      <c r="GPQ40" s="822"/>
      <c r="GPR40" s="822"/>
      <c r="GPS40" s="822"/>
      <c r="GPT40" s="822"/>
      <c r="GPU40" s="822"/>
      <c r="GPV40" s="822"/>
      <c r="GPW40" s="822"/>
      <c r="GPX40" s="822"/>
      <c r="GPY40" s="822"/>
      <c r="GPZ40" s="822"/>
      <c r="GQA40" s="822"/>
      <c r="GQB40" s="822"/>
      <c r="GQC40" s="822"/>
      <c r="GQD40" s="822"/>
      <c r="GQE40" s="822"/>
      <c r="GQF40" s="822"/>
      <c r="GQG40" s="822"/>
      <c r="GQH40" s="822"/>
      <c r="GQI40" s="822"/>
      <c r="GQJ40" s="822"/>
      <c r="GQK40" s="822"/>
      <c r="GQL40" s="822"/>
      <c r="GQM40" s="822"/>
      <c r="GQN40" s="822"/>
      <c r="GQO40" s="822"/>
      <c r="GQP40" s="822"/>
      <c r="GQQ40" s="822"/>
      <c r="GQR40" s="822"/>
      <c r="GQS40" s="822"/>
      <c r="GQT40" s="822"/>
      <c r="GQU40" s="822"/>
      <c r="GQV40" s="822"/>
      <c r="GQW40" s="822"/>
      <c r="GQX40" s="822"/>
      <c r="GQY40" s="822"/>
      <c r="GQZ40" s="822"/>
      <c r="GRA40" s="822"/>
      <c r="GRB40" s="822"/>
      <c r="GRC40" s="822"/>
      <c r="GRD40" s="822"/>
      <c r="GRE40" s="822"/>
      <c r="GRF40" s="822"/>
      <c r="GRG40" s="822"/>
      <c r="GRH40" s="822"/>
      <c r="GRI40" s="822"/>
      <c r="GRJ40" s="822"/>
      <c r="GRK40" s="822"/>
      <c r="GRL40" s="822"/>
      <c r="GRM40" s="822"/>
      <c r="GRN40" s="822"/>
      <c r="GRO40" s="822"/>
      <c r="GRP40" s="822"/>
      <c r="GRQ40" s="822"/>
      <c r="GRR40" s="822"/>
      <c r="GRS40" s="822"/>
      <c r="GRT40" s="822"/>
      <c r="GRU40" s="822"/>
      <c r="GRV40" s="822"/>
      <c r="GRW40" s="822"/>
      <c r="GRX40" s="822"/>
      <c r="GRY40" s="822"/>
      <c r="GRZ40" s="822"/>
      <c r="GSA40" s="822"/>
      <c r="GSB40" s="822"/>
      <c r="GSC40" s="822"/>
      <c r="GSD40" s="822"/>
      <c r="GSE40" s="822"/>
      <c r="GSF40" s="822"/>
      <c r="GSG40" s="822"/>
      <c r="GSH40" s="822"/>
      <c r="GSI40" s="822"/>
      <c r="GSJ40" s="822"/>
      <c r="GSK40" s="822"/>
      <c r="GSL40" s="822"/>
      <c r="GSM40" s="822"/>
      <c r="GSN40" s="822"/>
      <c r="GSO40" s="822"/>
      <c r="GSP40" s="822"/>
      <c r="GSQ40" s="822"/>
      <c r="GSR40" s="822"/>
      <c r="GSS40" s="822"/>
      <c r="GST40" s="822"/>
      <c r="GSU40" s="822"/>
      <c r="GSV40" s="822"/>
      <c r="GSW40" s="822"/>
      <c r="GSX40" s="822"/>
      <c r="GSY40" s="822"/>
      <c r="GSZ40" s="822"/>
      <c r="GTA40" s="822"/>
      <c r="GTB40" s="822"/>
      <c r="GTC40" s="822"/>
      <c r="GTD40" s="822"/>
      <c r="GTE40" s="822"/>
      <c r="GTF40" s="822"/>
      <c r="GTG40" s="822"/>
      <c r="GTH40" s="822"/>
      <c r="GTI40" s="822"/>
      <c r="GTJ40" s="822"/>
      <c r="GTK40" s="822"/>
      <c r="GTL40" s="822"/>
      <c r="GTM40" s="822"/>
      <c r="GTN40" s="822"/>
      <c r="GTO40" s="822"/>
      <c r="GTP40" s="822"/>
      <c r="GTQ40" s="822"/>
      <c r="GTR40" s="822"/>
      <c r="GTS40" s="822"/>
      <c r="GTT40" s="822"/>
      <c r="GTU40" s="822"/>
      <c r="GTV40" s="822"/>
      <c r="GTW40" s="822"/>
      <c r="GTX40" s="822"/>
      <c r="GTY40" s="822"/>
      <c r="GTZ40" s="822"/>
      <c r="GUA40" s="822"/>
      <c r="GUB40" s="822"/>
      <c r="GUC40" s="822"/>
      <c r="GUD40" s="822"/>
      <c r="GUE40" s="822"/>
      <c r="GUF40" s="822"/>
      <c r="GUG40" s="822"/>
      <c r="GUH40" s="822"/>
      <c r="GUI40" s="822"/>
      <c r="GUJ40" s="822"/>
      <c r="GUK40" s="822"/>
      <c r="GUL40" s="822"/>
      <c r="GUM40" s="822"/>
      <c r="GUN40" s="822"/>
      <c r="GUO40" s="822"/>
      <c r="GUP40" s="822"/>
      <c r="GUQ40" s="822"/>
      <c r="GUR40" s="822"/>
      <c r="GUS40" s="822"/>
      <c r="GUT40" s="822"/>
      <c r="GUU40" s="822"/>
      <c r="GUV40" s="822"/>
      <c r="GUW40" s="822"/>
      <c r="GUX40" s="822"/>
      <c r="GUY40" s="822"/>
      <c r="GUZ40" s="822"/>
      <c r="GVA40" s="822"/>
      <c r="GVB40" s="822"/>
      <c r="GVC40" s="822"/>
      <c r="GVD40" s="822"/>
      <c r="GVE40" s="822"/>
      <c r="GVF40" s="822"/>
      <c r="GVG40" s="822"/>
      <c r="GVH40" s="822"/>
      <c r="GVI40" s="822"/>
      <c r="GVJ40" s="822"/>
      <c r="GVK40" s="822"/>
      <c r="GVL40" s="822"/>
      <c r="GVM40" s="822"/>
      <c r="GVN40" s="822"/>
      <c r="GVO40" s="822"/>
      <c r="GVP40" s="822"/>
      <c r="GVQ40" s="822"/>
      <c r="GVR40" s="822"/>
      <c r="GVS40" s="822"/>
      <c r="GVT40" s="822"/>
      <c r="GVU40" s="822"/>
      <c r="GVV40" s="822"/>
      <c r="GVW40" s="822"/>
      <c r="GVX40" s="822"/>
      <c r="GVY40" s="822"/>
      <c r="GVZ40" s="822"/>
      <c r="GWA40" s="822"/>
      <c r="GWB40" s="822"/>
      <c r="GWC40" s="822"/>
      <c r="GWD40" s="822"/>
      <c r="GWE40" s="822"/>
      <c r="GWF40" s="822"/>
      <c r="GWG40" s="822"/>
      <c r="GWH40" s="822"/>
      <c r="GWI40" s="822"/>
      <c r="GWJ40" s="822"/>
      <c r="GWK40" s="822"/>
      <c r="GWL40" s="822"/>
      <c r="GWM40" s="822"/>
      <c r="GWN40" s="822"/>
      <c r="GWO40" s="822"/>
      <c r="GWP40" s="822"/>
      <c r="GWQ40" s="822"/>
      <c r="GWR40" s="822"/>
      <c r="GWS40" s="822"/>
      <c r="GWT40" s="822"/>
      <c r="GWU40" s="822"/>
      <c r="GWV40" s="822"/>
      <c r="GWW40" s="822"/>
      <c r="GWX40" s="822"/>
      <c r="GWY40" s="822"/>
      <c r="GWZ40" s="822"/>
      <c r="GXA40" s="822"/>
      <c r="GXB40" s="822"/>
      <c r="GXC40" s="822"/>
      <c r="GXD40" s="822"/>
      <c r="GXE40" s="822"/>
      <c r="GXF40" s="822"/>
      <c r="GXG40" s="822"/>
      <c r="GXH40" s="822"/>
      <c r="GXI40" s="822"/>
      <c r="GXJ40" s="822"/>
      <c r="GXK40" s="822"/>
      <c r="GXL40" s="822"/>
      <c r="GXM40" s="822"/>
      <c r="GXN40" s="822"/>
      <c r="GXO40" s="822"/>
      <c r="GXP40" s="822"/>
      <c r="GXQ40" s="822"/>
      <c r="GXR40" s="822"/>
      <c r="GXS40" s="822"/>
      <c r="GXT40" s="822"/>
      <c r="GXU40" s="822"/>
      <c r="GXV40" s="822"/>
      <c r="GXW40" s="822"/>
      <c r="GXX40" s="822"/>
      <c r="GXY40" s="822"/>
      <c r="GXZ40" s="822"/>
      <c r="GYA40" s="822"/>
      <c r="GYB40" s="822"/>
      <c r="GYC40" s="822"/>
      <c r="GYD40" s="822"/>
      <c r="GYE40" s="822"/>
      <c r="GYF40" s="822"/>
      <c r="GYG40" s="822"/>
      <c r="GYH40" s="822"/>
      <c r="GYI40" s="822"/>
      <c r="GYJ40" s="822"/>
      <c r="GYK40" s="822"/>
      <c r="GYL40" s="822"/>
      <c r="GYM40" s="822"/>
      <c r="GYN40" s="822"/>
      <c r="GYO40" s="822"/>
      <c r="GYP40" s="822"/>
      <c r="GYQ40" s="822"/>
      <c r="GYR40" s="822"/>
      <c r="GYS40" s="822"/>
      <c r="GYT40" s="822"/>
      <c r="GYU40" s="822"/>
      <c r="GYV40" s="822"/>
      <c r="GYW40" s="822"/>
      <c r="GYX40" s="822"/>
      <c r="GYY40" s="822"/>
      <c r="GYZ40" s="822"/>
      <c r="GZA40" s="822"/>
      <c r="GZB40" s="822"/>
      <c r="GZC40" s="822"/>
      <c r="GZD40" s="822"/>
      <c r="GZE40" s="822"/>
      <c r="GZF40" s="822"/>
      <c r="GZG40" s="822"/>
      <c r="GZH40" s="822"/>
      <c r="GZI40" s="822"/>
      <c r="GZJ40" s="822"/>
      <c r="GZK40" s="822"/>
      <c r="GZL40" s="822"/>
      <c r="GZM40" s="822"/>
      <c r="GZN40" s="822"/>
      <c r="GZO40" s="822"/>
      <c r="GZP40" s="822"/>
      <c r="GZQ40" s="822"/>
      <c r="GZR40" s="822"/>
      <c r="GZS40" s="822"/>
      <c r="GZT40" s="822"/>
      <c r="GZU40" s="822"/>
      <c r="GZV40" s="822"/>
      <c r="GZW40" s="822"/>
      <c r="GZX40" s="822"/>
      <c r="GZY40" s="822"/>
      <c r="GZZ40" s="822"/>
      <c r="HAA40" s="822"/>
      <c r="HAB40" s="822"/>
      <c r="HAC40" s="822"/>
      <c r="HAD40" s="822"/>
      <c r="HAE40" s="822"/>
      <c r="HAF40" s="822"/>
      <c r="HAG40" s="822"/>
      <c r="HAH40" s="822"/>
      <c r="HAI40" s="822"/>
      <c r="HAJ40" s="822"/>
      <c r="HAK40" s="822"/>
      <c r="HAL40" s="822"/>
      <c r="HAM40" s="822"/>
      <c r="HAN40" s="822"/>
      <c r="HAO40" s="822"/>
      <c r="HAP40" s="822"/>
      <c r="HAQ40" s="822"/>
      <c r="HAR40" s="822"/>
      <c r="HAS40" s="822"/>
      <c r="HAT40" s="822"/>
      <c r="HAU40" s="822"/>
      <c r="HAV40" s="822"/>
      <c r="HAW40" s="822"/>
      <c r="HAX40" s="822"/>
      <c r="HAY40" s="822"/>
      <c r="HAZ40" s="822"/>
      <c r="HBA40" s="822"/>
      <c r="HBB40" s="822"/>
      <c r="HBC40" s="822"/>
      <c r="HBD40" s="822"/>
      <c r="HBE40" s="822"/>
      <c r="HBF40" s="822"/>
      <c r="HBG40" s="822"/>
      <c r="HBH40" s="822"/>
      <c r="HBI40" s="822"/>
      <c r="HBJ40" s="822"/>
      <c r="HBK40" s="822"/>
      <c r="HBL40" s="822"/>
      <c r="HBM40" s="822"/>
      <c r="HBN40" s="822"/>
      <c r="HBO40" s="822"/>
      <c r="HBP40" s="822"/>
      <c r="HBQ40" s="822"/>
      <c r="HBR40" s="822"/>
      <c r="HBS40" s="822"/>
      <c r="HBT40" s="822"/>
      <c r="HBU40" s="822"/>
      <c r="HBV40" s="822"/>
      <c r="HBW40" s="822"/>
      <c r="HBX40" s="822"/>
      <c r="HBY40" s="822"/>
      <c r="HBZ40" s="822"/>
      <c r="HCA40" s="822"/>
      <c r="HCB40" s="822"/>
      <c r="HCC40" s="822"/>
      <c r="HCD40" s="822"/>
      <c r="HCE40" s="822"/>
      <c r="HCF40" s="822"/>
      <c r="HCG40" s="822"/>
      <c r="HCH40" s="822"/>
      <c r="HCI40" s="822"/>
      <c r="HCJ40" s="822"/>
      <c r="HCK40" s="822"/>
      <c r="HCL40" s="822"/>
      <c r="HCM40" s="822"/>
      <c r="HCN40" s="822"/>
      <c r="HCO40" s="822"/>
      <c r="HCP40" s="822"/>
      <c r="HCQ40" s="822"/>
      <c r="HCR40" s="822"/>
      <c r="HCS40" s="822"/>
      <c r="HCT40" s="822"/>
      <c r="HCU40" s="822"/>
      <c r="HCV40" s="822"/>
      <c r="HCW40" s="822"/>
      <c r="HCX40" s="822"/>
      <c r="HCY40" s="822"/>
      <c r="HCZ40" s="822"/>
      <c r="HDA40" s="822"/>
      <c r="HDB40" s="822"/>
      <c r="HDC40" s="822"/>
      <c r="HDD40" s="822"/>
      <c r="HDE40" s="822"/>
      <c r="HDF40" s="822"/>
      <c r="HDG40" s="822"/>
      <c r="HDH40" s="822"/>
      <c r="HDI40" s="822"/>
      <c r="HDJ40" s="822"/>
      <c r="HDK40" s="822"/>
      <c r="HDL40" s="822"/>
      <c r="HDM40" s="822"/>
      <c r="HDN40" s="822"/>
      <c r="HDO40" s="822"/>
      <c r="HDP40" s="822"/>
      <c r="HDQ40" s="822"/>
      <c r="HDR40" s="822"/>
      <c r="HDS40" s="822"/>
      <c r="HDT40" s="822"/>
      <c r="HDU40" s="822"/>
      <c r="HDV40" s="822"/>
      <c r="HDW40" s="822"/>
      <c r="HDX40" s="822"/>
      <c r="HDY40" s="822"/>
      <c r="HDZ40" s="822"/>
      <c r="HEA40" s="822"/>
      <c r="HEB40" s="822"/>
      <c r="HEC40" s="822"/>
      <c r="HED40" s="822"/>
      <c r="HEE40" s="822"/>
      <c r="HEF40" s="822"/>
      <c r="HEG40" s="822"/>
      <c r="HEH40" s="822"/>
      <c r="HEI40" s="822"/>
      <c r="HEJ40" s="822"/>
      <c r="HEK40" s="822"/>
      <c r="HEL40" s="822"/>
      <c r="HEM40" s="822"/>
      <c r="HEN40" s="822"/>
      <c r="HEO40" s="822"/>
      <c r="HEP40" s="822"/>
      <c r="HEQ40" s="822"/>
      <c r="HER40" s="822"/>
      <c r="HES40" s="822"/>
      <c r="HET40" s="822"/>
      <c r="HEU40" s="822"/>
      <c r="HEV40" s="822"/>
      <c r="HEW40" s="822"/>
      <c r="HEX40" s="822"/>
      <c r="HEY40" s="822"/>
      <c r="HEZ40" s="822"/>
      <c r="HFA40" s="822"/>
      <c r="HFB40" s="822"/>
      <c r="HFC40" s="822"/>
      <c r="HFD40" s="822"/>
      <c r="HFE40" s="822"/>
      <c r="HFF40" s="822"/>
      <c r="HFG40" s="822"/>
      <c r="HFH40" s="822"/>
      <c r="HFI40" s="822"/>
      <c r="HFJ40" s="822"/>
      <c r="HFK40" s="822"/>
      <c r="HFL40" s="822"/>
      <c r="HFM40" s="822"/>
      <c r="HFN40" s="822"/>
      <c r="HFO40" s="822"/>
      <c r="HFP40" s="822"/>
      <c r="HFQ40" s="822"/>
      <c r="HFR40" s="822"/>
      <c r="HFS40" s="822"/>
      <c r="HFT40" s="822"/>
      <c r="HFU40" s="822"/>
      <c r="HFV40" s="822"/>
      <c r="HFW40" s="822"/>
      <c r="HFX40" s="822"/>
      <c r="HFY40" s="822"/>
      <c r="HFZ40" s="822"/>
      <c r="HGA40" s="822"/>
      <c r="HGB40" s="822"/>
      <c r="HGC40" s="822"/>
      <c r="HGD40" s="822"/>
      <c r="HGE40" s="822"/>
      <c r="HGF40" s="822"/>
      <c r="HGG40" s="822"/>
      <c r="HGH40" s="822"/>
      <c r="HGI40" s="822"/>
      <c r="HGJ40" s="822"/>
      <c r="HGK40" s="822"/>
      <c r="HGL40" s="822"/>
      <c r="HGM40" s="822"/>
      <c r="HGN40" s="822"/>
      <c r="HGO40" s="822"/>
      <c r="HGP40" s="822"/>
      <c r="HGQ40" s="822"/>
      <c r="HGR40" s="822"/>
      <c r="HGS40" s="822"/>
      <c r="HGT40" s="822"/>
      <c r="HGU40" s="822"/>
      <c r="HGV40" s="822"/>
      <c r="HGW40" s="822"/>
      <c r="HGX40" s="822"/>
      <c r="HGY40" s="822"/>
      <c r="HGZ40" s="822"/>
      <c r="HHA40" s="822"/>
      <c r="HHB40" s="822"/>
      <c r="HHC40" s="822"/>
      <c r="HHD40" s="822"/>
      <c r="HHE40" s="822"/>
      <c r="HHF40" s="822"/>
      <c r="HHG40" s="822"/>
      <c r="HHH40" s="822"/>
      <c r="HHI40" s="822"/>
      <c r="HHJ40" s="822"/>
      <c r="HHK40" s="822"/>
      <c r="HHL40" s="822"/>
      <c r="HHM40" s="822"/>
      <c r="HHN40" s="822"/>
      <c r="HHO40" s="822"/>
      <c r="HHP40" s="822"/>
      <c r="HHQ40" s="822"/>
      <c r="HHR40" s="822"/>
      <c r="HHS40" s="822"/>
      <c r="HHT40" s="822"/>
      <c r="HHU40" s="822"/>
      <c r="HHV40" s="822"/>
      <c r="HHW40" s="822"/>
      <c r="HHX40" s="822"/>
      <c r="HHY40" s="822"/>
      <c r="HHZ40" s="822"/>
      <c r="HIA40" s="822"/>
      <c r="HIB40" s="822"/>
      <c r="HIC40" s="822"/>
      <c r="HID40" s="822"/>
      <c r="HIE40" s="822"/>
      <c r="HIF40" s="822"/>
      <c r="HIG40" s="822"/>
      <c r="HIH40" s="822"/>
      <c r="HII40" s="822"/>
      <c r="HIJ40" s="822"/>
      <c r="HIK40" s="822"/>
      <c r="HIL40" s="822"/>
      <c r="HIM40" s="822"/>
      <c r="HIN40" s="822"/>
      <c r="HIO40" s="822"/>
      <c r="HIP40" s="822"/>
      <c r="HIQ40" s="822"/>
      <c r="HIR40" s="822"/>
      <c r="HIS40" s="822"/>
      <c r="HIT40" s="822"/>
      <c r="HIU40" s="822"/>
      <c r="HIV40" s="822"/>
      <c r="HIW40" s="822"/>
      <c r="HIX40" s="822"/>
      <c r="HIY40" s="822"/>
      <c r="HIZ40" s="822"/>
      <c r="HJA40" s="822"/>
      <c r="HJB40" s="822"/>
      <c r="HJC40" s="822"/>
      <c r="HJD40" s="822"/>
      <c r="HJE40" s="822"/>
      <c r="HJF40" s="822"/>
      <c r="HJG40" s="822"/>
      <c r="HJH40" s="822"/>
      <c r="HJI40" s="822"/>
      <c r="HJJ40" s="822"/>
      <c r="HJK40" s="822"/>
      <c r="HJL40" s="822"/>
      <c r="HJM40" s="822"/>
      <c r="HJN40" s="822"/>
      <c r="HJO40" s="822"/>
      <c r="HJP40" s="822"/>
      <c r="HJQ40" s="822"/>
      <c r="HJR40" s="822"/>
      <c r="HJS40" s="822"/>
      <c r="HJT40" s="822"/>
      <c r="HJU40" s="822"/>
      <c r="HJV40" s="822"/>
      <c r="HJW40" s="822"/>
      <c r="HJX40" s="822"/>
      <c r="HJY40" s="822"/>
      <c r="HJZ40" s="822"/>
      <c r="HKA40" s="822"/>
      <c r="HKB40" s="822"/>
      <c r="HKC40" s="822"/>
      <c r="HKD40" s="822"/>
      <c r="HKE40" s="822"/>
      <c r="HKF40" s="822"/>
      <c r="HKG40" s="822"/>
      <c r="HKH40" s="822"/>
      <c r="HKI40" s="822"/>
      <c r="HKJ40" s="822"/>
      <c r="HKK40" s="822"/>
      <c r="HKL40" s="822"/>
      <c r="HKM40" s="822"/>
      <c r="HKN40" s="822"/>
      <c r="HKO40" s="822"/>
      <c r="HKP40" s="822"/>
      <c r="HKQ40" s="822"/>
      <c r="HKR40" s="822"/>
      <c r="HKS40" s="822"/>
      <c r="HKT40" s="822"/>
      <c r="HKU40" s="822"/>
      <c r="HKV40" s="822"/>
      <c r="HKW40" s="822"/>
      <c r="HKX40" s="822"/>
      <c r="HKY40" s="822"/>
      <c r="HKZ40" s="822"/>
      <c r="HLA40" s="822"/>
      <c r="HLB40" s="822"/>
      <c r="HLC40" s="822"/>
      <c r="HLD40" s="822"/>
      <c r="HLE40" s="822"/>
      <c r="HLF40" s="822"/>
      <c r="HLG40" s="822"/>
      <c r="HLH40" s="822"/>
      <c r="HLI40" s="822"/>
      <c r="HLJ40" s="822"/>
      <c r="HLK40" s="822"/>
      <c r="HLL40" s="822"/>
      <c r="HLM40" s="822"/>
      <c r="HLN40" s="822"/>
      <c r="HLO40" s="822"/>
      <c r="HLP40" s="822"/>
      <c r="HLQ40" s="822"/>
      <c r="HLR40" s="822"/>
      <c r="HLS40" s="822"/>
      <c r="HLT40" s="822"/>
      <c r="HLU40" s="822"/>
      <c r="HLV40" s="822"/>
      <c r="HLW40" s="822"/>
      <c r="HLX40" s="822"/>
      <c r="HLY40" s="822"/>
      <c r="HLZ40" s="822"/>
      <c r="HMA40" s="822"/>
      <c r="HMB40" s="822"/>
      <c r="HMC40" s="822"/>
      <c r="HMD40" s="822"/>
      <c r="HME40" s="822"/>
      <c r="HMF40" s="822"/>
      <c r="HMG40" s="822"/>
      <c r="HMH40" s="822"/>
      <c r="HMI40" s="822"/>
      <c r="HMJ40" s="822"/>
      <c r="HMK40" s="822"/>
      <c r="HML40" s="822"/>
      <c r="HMM40" s="822"/>
      <c r="HMN40" s="822"/>
      <c r="HMO40" s="822"/>
      <c r="HMP40" s="822"/>
      <c r="HMQ40" s="822"/>
      <c r="HMR40" s="822"/>
      <c r="HMS40" s="822"/>
      <c r="HMT40" s="822"/>
      <c r="HMU40" s="822"/>
      <c r="HMV40" s="822"/>
      <c r="HMW40" s="822"/>
      <c r="HMX40" s="822"/>
      <c r="HMY40" s="822"/>
      <c r="HMZ40" s="822"/>
      <c r="HNA40" s="822"/>
      <c r="HNB40" s="822"/>
      <c r="HNC40" s="822"/>
      <c r="HND40" s="822"/>
      <c r="HNE40" s="822"/>
      <c r="HNF40" s="822"/>
      <c r="HNG40" s="822"/>
      <c r="HNH40" s="822"/>
      <c r="HNI40" s="822"/>
      <c r="HNJ40" s="822"/>
      <c r="HNK40" s="822"/>
      <c r="HNL40" s="822"/>
      <c r="HNM40" s="822"/>
      <c r="HNN40" s="822"/>
      <c r="HNO40" s="822"/>
      <c r="HNP40" s="822"/>
      <c r="HNQ40" s="822"/>
      <c r="HNR40" s="822"/>
      <c r="HNS40" s="822"/>
      <c r="HNT40" s="822"/>
      <c r="HNU40" s="822"/>
      <c r="HNV40" s="822"/>
      <c r="HNW40" s="822"/>
      <c r="HNX40" s="822"/>
      <c r="HNY40" s="822"/>
      <c r="HNZ40" s="822"/>
      <c r="HOA40" s="822"/>
      <c r="HOB40" s="822"/>
      <c r="HOC40" s="822"/>
      <c r="HOD40" s="822"/>
      <c r="HOE40" s="822"/>
      <c r="HOF40" s="822"/>
      <c r="HOG40" s="822"/>
      <c r="HOH40" s="822"/>
      <c r="HOI40" s="822"/>
      <c r="HOJ40" s="822"/>
      <c r="HOK40" s="822"/>
      <c r="HOL40" s="822"/>
      <c r="HOM40" s="822"/>
      <c r="HON40" s="822"/>
      <c r="HOO40" s="822"/>
      <c r="HOP40" s="822"/>
      <c r="HOQ40" s="822"/>
      <c r="HOR40" s="822"/>
      <c r="HOS40" s="822"/>
      <c r="HOT40" s="822"/>
      <c r="HOU40" s="822"/>
      <c r="HOV40" s="822"/>
      <c r="HOW40" s="822"/>
      <c r="HOX40" s="822"/>
      <c r="HOY40" s="822"/>
      <c r="HOZ40" s="822"/>
      <c r="HPA40" s="822"/>
      <c r="HPB40" s="822"/>
      <c r="HPC40" s="822"/>
      <c r="HPD40" s="822"/>
      <c r="HPE40" s="822"/>
      <c r="HPF40" s="822"/>
      <c r="HPG40" s="822"/>
      <c r="HPH40" s="822"/>
      <c r="HPI40" s="822"/>
      <c r="HPJ40" s="822"/>
      <c r="HPK40" s="822"/>
      <c r="HPL40" s="822"/>
      <c r="HPM40" s="822"/>
      <c r="HPN40" s="822"/>
      <c r="HPO40" s="822"/>
      <c r="HPP40" s="822"/>
      <c r="HPQ40" s="822"/>
      <c r="HPR40" s="822"/>
      <c r="HPS40" s="822"/>
      <c r="HPT40" s="822"/>
      <c r="HPU40" s="822"/>
      <c r="HPV40" s="822"/>
      <c r="HPW40" s="822"/>
      <c r="HPX40" s="822"/>
      <c r="HPY40" s="822"/>
      <c r="HPZ40" s="822"/>
      <c r="HQA40" s="822"/>
      <c r="HQB40" s="822"/>
      <c r="HQC40" s="822"/>
      <c r="HQD40" s="822"/>
      <c r="HQE40" s="822"/>
      <c r="HQF40" s="822"/>
      <c r="HQG40" s="822"/>
      <c r="HQH40" s="822"/>
      <c r="HQI40" s="822"/>
      <c r="HQJ40" s="822"/>
      <c r="HQK40" s="822"/>
      <c r="HQL40" s="822"/>
      <c r="HQM40" s="822"/>
      <c r="HQN40" s="822"/>
      <c r="HQO40" s="822"/>
      <c r="HQP40" s="822"/>
      <c r="HQQ40" s="822"/>
      <c r="HQR40" s="822"/>
      <c r="HQS40" s="822"/>
      <c r="HQT40" s="822"/>
      <c r="HQU40" s="822"/>
      <c r="HQV40" s="822"/>
      <c r="HQW40" s="822"/>
      <c r="HQX40" s="822"/>
      <c r="HQY40" s="822"/>
      <c r="HQZ40" s="822"/>
      <c r="HRA40" s="822"/>
      <c r="HRB40" s="822"/>
      <c r="HRC40" s="822"/>
      <c r="HRD40" s="822"/>
      <c r="HRE40" s="822"/>
      <c r="HRF40" s="822"/>
      <c r="HRG40" s="822"/>
      <c r="HRH40" s="822"/>
      <c r="HRI40" s="822"/>
      <c r="HRJ40" s="822"/>
      <c r="HRK40" s="822"/>
      <c r="HRL40" s="822"/>
      <c r="HRM40" s="822"/>
      <c r="HRN40" s="822"/>
      <c r="HRO40" s="822"/>
      <c r="HRP40" s="822"/>
      <c r="HRQ40" s="822"/>
      <c r="HRR40" s="822"/>
      <c r="HRS40" s="822"/>
      <c r="HRT40" s="822"/>
      <c r="HRU40" s="822"/>
      <c r="HRV40" s="822"/>
      <c r="HRW40" s="822"/>
      <c r="HRX40" s="822"/>
      <c r="HRY40" s="822"/>
      <c r="HRZ40" s="822"/>
      <c r="HSA40" s="822"/>
      <c r="HSB40" s="822"/>
      <c r="HSC40" s="822"/>
      <c r="HSD40" s="822"/>
      <c r="HSE40" s="822"/>
      <c r="HSF40" s="822"/>
      <c r="HSG40" s="822"/>
      <c r="HSH40" s="822"/>
      <c r="HSI40" s="822"/>
      <c r="HSJ40" s="822"/>
      <c r="HSK40" s="822"/>
      <c r="HSL40" s="822"/>
      <c r="HSM40" s="822"/>
      <c r="HSN40" s="822"/>
      <c r="HSO40" s="822"/>
      <c r="HSP40" s="822"/>
      <c r="HSQ40" s="822"/>
      <c r="HSR40" s="822"/>
      <c r="HSS40" s="822"/>
      <c r="HST40" s="822"/>
      <c r="HSU40" s="822"/>
      <c r="HSV40" s="822"/>
      <c r="HSW40" s="822"/>
      <c r="HSX40" s="822"/>
      <c r="HSY40" s="822"/>
      <c r="HSZ40" s="822"/>
      <c r="HTA40" s="822"/>
      <c r="HTB40" s="822"/>
      <c r="HTC40" s="822"/>
      <c r="HTD40" s="822"/>
      <c r="HTE40" s="822"/>
      <c r="HTF40" s="822"/>
      <c r="HTG40" s="822"/>
      <c r="HTH40" s="822"/>
      <c r="HTI40" s="822"/>
      <c r="HTJ40" s="822"/>
      <c r="HTK40" s="822"/>
      <c r="HTL40" s="822"/>
      <c r="HTM40" s="822"/>
      <c r="HTN40" s="822"/>
      <c r="HTO40" s="822"/>
      <c r="HTP40" s="822"/>
      <c r="HTQ40" s="822"/>
      <c r="HTR40" s="822"/>
      <c r="HTS40" s="822"/>
      <c r="HTT40" s="822"/>
      <c r="HTU40" s="822"/>
      <c r="HTV40" s="822"/>
      <c r="HTW40" s="822"/>
      <c r="HTX40" s="822"/>
      <c r="HTY40" s="822"/>
      <c r="HTZ40" s="822"/>
      <c r="HUA40" s="822"/>
      <c r="HUB40" s="822"/>
      <c r="HUC40" s="822"/>
      <c r="HUD40" s="822"/>
      <c r="HUE40" s="822"/>
      <c r="HUF40" s="822"/>
      <c r="HUG40" s="822"/>
      <c r="HUH40" s="822"/>
      <c r="HUI40" s="822"/>
      <c r="HUJ40" s="822"/>
      <c r="HUK40" s="822"/>
      <c r="HUL40" s="822"/>
      <c r="HUM40" s="822"/>
      <c r="HUN40" s="822"/>
      <c r="HUO40" s="822"/>
      <c r="HUP40" s="822"/>
      <c r="HUQ40" s="822"/>
      <c r="HUR40" s="822"/>
      <c r="HUS40" s="822"/>
      <c r="HUT40" s="822"/>
      <c r="HUU40" s="822"/>
      <c r="HUV40" s="822"/>
      <c r="HUW40" s="822"/>
      <c r="HUX40" s="822"/>
      <c r="HUY40" s="822"/>
      <c r="HUZ40" s="822"/>
      <c r="HVA40" s="822"/>
      <c r="HVB40" s="822"/>
      <c r="HVC40" s="822"/>
      <c r="HVD40" s="822"/>
      <c r="HVE40" s="822"/>
      <c r="HVF40" s="822"/>
      <c r="HVG40" s="822"/>
      <c r="HVH40" s="822"/>
      <c r="HVI40" s="822"/>
      <c r="HVJ40" s="822"/>
      <c r="HVK40" s="822"/>
      <c r="HVL40" s="822"/>
      <c r="HVM40" s="822"/>
      <c r="HVN40" s="822"/>
      <c r="HVO40" s="822"/>
      <c r="HVP40" s="822"/>
      <c r="HVQ40" s="822"/>
      <c r="HVR40" s="822"/>
      <c r="HVS40" s="822"/>
      <c r="HVT40" s="822"/>
      <c r="HVU40" s="822"/>
      <c r="HVV40" s="822"/>
      <c r="HVW40" s="822"/>
      <c r="HVX40" s="822"/>
      <c r="HVY40" s="822"/>
      <c r="HVZ40" s="822"/>
      <c r="HWA40" s="822"/>
      <c r="HWB40" s="822"/>
      <c r="HWC40" s="822"/>
      <c r="HWD40" s="822"/>
      <c r="HWE40" s="822"/>
      <c r="HWF40" s="822"/>
      <c r="HWG40" s="822"/>
      <c r="HWH40" s="822"/>
      <c r="HWI40" s="822"/>
      <c r="HWJ40" s="822"/>
      <c r="HWK40" s="822"/>
      <c r="HWL40" s="822"/>
      <c r="HWM40" s="822"/>
      <c r="HWN40" s="822"/>
      <c r="HWO40" s="822"/>
      <c r="HWP40" s="822"/>
      <c r="HWQ40" s="822"/>
      <c r="HWR40" s="822"/>
      <c r="HWS40" s="822"/>
      <c r="HWT40" s="822"/>
      <c r="HWU40" s="822"/>
      <c r="HWV40" s="822"/>
      <c r="HWW40" s="822"/>
      <c r="HWX40" s="822"/>
      <c r="HWY40" s="822"/>
      <c r="HWZ40" s="822"/>
      <c r="HXA40" s="822"/>
      <c r="HXB40" s="822"/>
      <c r="HXC40" s="822"/>
      <c r="HXD40" s="822"/>
      <c r="HXE40" s="822"/>
      <c r="HXF40" s="822"/>
      <c r="HXG40" s="822"/>
      <c r="HXH40" s="822"/>
      <c r="HXI40" s="822"/>
      <c r="HXJ40" s="822"/>
      <c r="HXK40" s="822"/>
      <c r="HXL40" s="822"/>
      <c r="HXM40" s="822"/>
      <c r="HXN40" s="822"/>
      <c r="HXO40" s="822"/>
      <c r="HXP40" s="822"/>
      <c r="HXQ40" s="822"/>
      <c r="HXR40" s="822"/>
      <c r="HXS40" s="822"/>
      <c r="HXT40" s="822"/>
      <c r="HXU40" s="822"/>
      <c r="HXV40" s="822"/>
      <c r="HXW40" s="822"/>
      <c r="HXX40" s="822"/>
      <c r="HXY40" s="822"/>
      <c r="HXZ40" s="822"/>
      <c r="HYA40" s="822"/>
      <c r="HYB40" s="822"/>
      <c r="HYC40" s="822"/>
      <c r="HYD40" s="822"/>
      <c r="HYE40" s="822"/>
      <c r="HYF40" s="822"/>
      <c r="HYG40" s="822"/>
      <c r="HYH40" s="822"/>
      <c r="HYI40" s="822"/>
      <c r="HYJ40" s="822"/>
      <c r="HYK40" s="822"/>
      <c r="HYL40" s="822"/>
      <c r="HYM40" s="822"/>
      <c r="HYN40" s="822"/>
      <c r="HYO40" s="822"/>
      <c r="HYP40" s="822"/>
      <c r="HYQ40" s="822"/>
      <c r="HYR40" s="822"/>
      <c r="HYS40" s="822"/>
      <c r="HYT40" s="822"/>
      <c r="HYU40" s="822"/>
      <c r="HYV40" s="822"/>
      <c r="HYW40" s="822"/>
      <c r="HYX40" s="822"/>
      <c r="HYY40" s="822"/>
      <c r="HYZ40" s="822"/>
      <c r="HZA40" s="822"/>
      <c r="HZB40" s="822"/>
      <c r="HZC40" s="822"/>
      <c r="HZD40" s="822"/>
      <c r="HZE40" s="822"/>
      <c r="HZF40" s="822"/>
      <c r="HZG40" s="822"/>
      <c r="HZH40" s="822"/>
      <c r="HZI40" s="822"/>
      <c r="HZJ40" s="822"/>
      <c r="HZK40" s="822"/>
      <c r="HZL40" s="822"/>
      <c r="HZM40" s="822"/>
      <c r="HZN40" s="822"/>
      <c r="HZO40" s="822"/>
      <c r="HZP40" s="822"/>
      <c r="HZQ40" s="822"/>
      <c r="HZR40" s="822"/>
      <c r="HZS40" s="822"/>
      <c r="HZT40" s="822"/>
      <c r="HZU40" s="822"/>
      <c r="HZV40" s="822"/>
      <c r="HZW40" s="822"/>
      <c r="HZX40" s="822"/>
      <c r="HZY40" s="822"/>
      <c r="HZZ40" s="822"/>
      <c r="IAA40" s="822"/>
      <c r="IAB40" s="822"/>
      <c r="IAC40" s="822"/>
      <c r="IAD40" s="822"/>
      <c r="IAE40" s="822"/>
      <c r="IAF40" s="822"/>
      <c r="IAG40" s="822"/>
      <c r="IAH40" s="822"/>
      <c r="IAI40" s="822"/>
      <c r="IAJ40" s="822"/>
      <c r="IAK40" s="822"/>
      <c r="IAL40" s="822"/>
      <c r="IAM40" s="822"/>
      <c r="IAN40" s="822"/>
      <c r="IAO40" s="822"/>
      <c r="IAP40" s="822"/>
      <c r="IAQ40" s="822"/>
      <c r="IAR40" s="822"/>
      <c r="IAS40" s="822"/>
      <c r="IAT40" s="822"/>
      <c r="IAU40" s="822"/>
      <c r="IAV40" s="822"/>
      <c r="IAW40" s="822"/>
      <c r="IAX40" s="822"/>
      <c r="IAY40" s="822"/>
      <c r="IAZ40" s="822"/>
      <c r="IBA40" s="822"/>
      <c r="IBB40" s="822"/>
      <c r="IBC40" s="822"/>
      <c r="IBD40" s="822"/>
      <c r="IBE40" s="822"/>
      <c r="IBF40" s="822"/>
      <c r="IBG40" s="822"/>
      <c r="IBH40" s="822"/>
      <c r="IBI40" s="822"/>
      <c r="IBJ40" s="822"/>
      <c r="IBK40" s="822"/>
      <c r="IBL40" s="822"/>
      <c r="IBM40" s="822"/>
      <c r="IBN40" s="822"/>
      <c r="IBO40" s="822"/>
      <c r="IBP40" s="822"/>
      <c r="IBQ40" s="822"/>
      <c r="IBR40" s="822"/>
      <c r="IBS40" s="822"/>
      <c r="IBT40" s="822"/>
      <c r="IBU40" s="822"/>
      <c r="IBV40" s="822"/>
      <c r="IBW40" s="822"/>
      <c r="IBX40" s="822"/>
      <c r="IBY40" s="822"/>
      <c r="IBZ40" s="822"/>
      <c r="ICA40" s="822"/>
      <c r="ICB40" s="822"/>
      <c r="ICC40" s="822"/>
      <c r="ICD40" s="822"/>
      <c r="ICE40" s="822"/>
      <c r="ICF40" s="822"/>
      <c r="ICG40" s="822"/>
      <c r="ICH40" s="822"/>
      <c r="ICI40" s="822"/>
      <c r="ICJ40" s="822"/>
      <c r="ICK40" s="822"/>
      <c r="ICL40" s="822"/>
      <c r="ICM40" s="822"/>
      <c r="ICN40" s="822"/>
      <c r="ICO40" s="822"/>
      <c r="ICP40" s="822"/>
      <c r="ICQ40" s="822"/>
      <c r="ICR40" s="822"/>
      <c r="ICS40" s="822"/>
      <c r="ICT40" s="822"/>
      <c r="ICU40" s="822"/>
      <c r="ICV40" s="822"/>
      <c r="ICW40" s="822"/>
      <c r="ICX40" s="822"/>
      <c r="ICY40" s="822"/>
      <c r="ICZ40" s="822"/>
      <c r="IDA40" s="822"/>
      <c r="IDB40" s="822"/>
      <c r="IDC40" s="822"/>
      <c r="IDD40" s="822"/>
      <c r="IDE40" s="822"/>
      <c r="IDF40" s="822"/>
      <c r="IDG40" s="822"/>
      <c r="IDH40" s="822"/>
      <c r="IDI40" s="822"/>
      <c r="IDJ40" s="822"/>
      <c r="IDK40" s="822"/>
      <c r="IDL40" s="822"/>
      <c r="IDM40" s="822"/>
      <c r="IDN40" s="822"/>
      <c r="IDO40" s="822"/>
      <c r="IDP40" s="822"/>
      <c r="IDQ40" s="822"/>
      <c r="IDR40" s="822"/>
      <c r="IDS40" s="822"/>
      <c r="IDT40" s="822"/>
      <c r="IDU40" s="822"/>
      <c r="IDV40" s="822"/>
      <c r="IDW40" s="822"/>
      <c r="IDX40" s="822"/>
      <c r="IDY40" s="822"/>
      <c r="IDZ40" s="822"/>
      <c r="IEA40" s="822"/>
      <c r="IEB40" s="822"/>
      <c r="IEC40" s="822"/>
      <c r="IED40" s="822"/>
      <c r="IEE40" s="822"/>
      <c r="IEF40" s="822"/>
      <c r="IEG40" s="822"/>
      <c r="IEH40" s="822"/>
      <c r="IEI40" s="822"/>
      <c r="IEJ40" s="822"/>
      <c r="IEK40" s="822"/>
      <c r="IEL40" s="822"/>
      <c r="IEM40" s="822"/>
      <c r="IEN40" s="822"/>
      <c r="IEO40" s="822"/>
      <c r="IEP40" s="822"/>
      <c r="IEQ40" s="822"/>
      <c r="IER40" s="822"/>
      <c r="IES40" s="822"/>
      <c r="IET40" s="822"/>
      <c r="IEU40" s="822"/>
      <c r="IEV40" s="822"/>
      <c r="IEW40" s="822"/>
      <c r="IEX40" s="822"/>
      <c r="IEY40" s="822"/>
      <c r="IEZ40" s="822"/>
      <c r="IFA40" s="822"/>
      <c r="IFB40" s="822"/>
      <c r="IFC40" s="822"/>
      <c r="IFD40" s="822"/>
      <c r="IFE40" s="822"/>
      <c r="IFF40" s="822"/>
      <c r="IFG40" s="822"/>
      <c r="IFH40" s="822"/>
      <c r="IFI40" s="822"/>
      <c r="IFJ40" s="822"/>
      <c r="IFK40" s="822"/>
      <c r="IFL40" s="822"/>
      <c r="IFM40" s="822"/>
      <c r="IFN40" s="822"/>
      <c r="IFO40" s="822"/>
      <c r="IFP40" s="822"/>
      <c r="IFQ40" s="822"/>
      <c r="IFR40" s="822"/>
      <c r="IFS40" s="822"/>
      <c r="IFT40" s="822"/>
      <c r="IFU40" s="822"/>
      <c r="IFV40" s="822"/>
      <c r="IFW40" s="822"/>
      <c r="IFX40" s="822"/>
      <c r="IFY40" s="822"/>
      <c r="IFZ40" s="822"/>
      <c r="IGA40" s="822"/>
      <c r="IGB40" s="822"/>
      <c r="IGC40" s="822"/>
      <c r="IGD40" s="822"/>
      <c r="IGE40" s="822"/>
      <c r="IGF40" s="822"/>
      <c r="IGG40" s="822"/>
      <c r="IGH40" s="822"/>
      <c r="IGI40" s="822"/>
      <c r="IGJ40" s="822"/>
      <c r="IGK40" s="822"/>
      <c r="IGL40" s="822"/>
      <c r="IGM40" s="822"/>
      <c r="IGN40" s="822"/>
      <c r="IGO40" s="822"/>
      <c r="IGP40" s="822"/>
      <c r="IGQ40" s="822"/>
      <c r="IGR40" s="822"/>
      <c r="IGS40" s="822"/>
      <c r="IGT40" s="822"/>
      <c r="IGU40" s="822"/>
      <c r="IGV40" s="822"/>
      <c r="IGW40" s="822"/>
      <c r="IGX40" s="822"/>
      <c r="IGY40" s="822"/>
      <c r="IGZ40" s="822"/>
      <c r="IHA40" s="822"/>
      <c r="IHB40" s="822"/>
      <c r="IHC40" s="822"/>
      <c r="IHD40" s="822"/>
      <c r="IHE40" s="822"/>
      <c r="IHF40" s="822"/>
      <c r="IHG40" s="822"/>
      <c r="IHH40" s="822"/>
      <c r="IHI40" s="822"/>
      <c r="IHJ40" s="822"/>
      <c r="IHK40" s="822"/>
      <c r="IHL40" s="822"/>
      <c r="IHM40" s="822"/>
      <c r="IHN40" s="822"/>
      <c r="IHO40" s="822"/>
      <c r="IHP40" s="822"/>
      <c r="IHQ40" s="822"/>
      <c r="IHR40" s="822"/>
      <c r="IHS40" s="822"/>
      <c r="IHT40" s="822"/>
      <c r="IHU40" s="822"/>
      <c r="IHV40" s="822"/>
      <c r="IHW40" s="822"/>
      <c r="IHX40" s="822"/>
      <c r="IHY40" s="822"/>
      <c r="IHZ40" s="822"/>
      <c r="IIA40" s="822"/>
      <c r="IIB40" s="822"/>
      <c r="IIC40" s="822"/>
      <c r="IID40" s="822"/>
      <c r="IIE40" s="822"/>
      <c r="IIF40" s="822"/>
      <c r="IIG40" s="822"/>
      <c r="IIH40" s="822"/>
      <c r="III40" s="822"/>
      <c r="IIJ40" s="822"/>
      <c r="IIK40" s="822"/>
      <c r="IIL40" s="822"/>
      <c r="IIM40" s="822"/>
      <c r="IIN40" s="822"/>
      <c r="IIO40" s="822"/>
      <c r="IIP40" s="822"/>
      <c r="IIQ40" s="822"/>
      <c r="IIR40" s="822"/>
      <c r="IIS40" s="822"/>
      <c r="IIT40" s="822"/>
      <c r="IIU40" s="822"/>
      <c r="IIV40" s="822"/>
      <c r="IIW40" s="822"/>
      <c r="IIX40" s="822"/>
      <c r="IIY40" s="822"/>
      <c r="IIZ40" s="822"/>
      <c r="IJA40" s="822"/>
      <c r="IJB40" s="822"/>
      <c r="IJC40" s="822"/>
      <c r="IJD40" s="822"/>
      <c r="IJE40" s="822"/>
      <c r="IJF40" s="822"/>
      <c r="IJG40" s="822"/>
      <c r="IJH40" s="822"/>
      <c r="IJI40" s="822"/>
      <c r="IJJ40" s="822"/>
      <c r="IJK40" s="822"/>
      <c r="IJL40" s="822"/>
      <c r="IJM40" s="822"/>
      <c r="IJN40" s="822"/>
      <c r="IJO40" s="822"/>
      <c r="IJP40" s="822"/>
      <c r="IJQ40" s="822"/>
      <c r="IJR40" s="822"/>
      <c r="IJS40" s="822"/>
      <c r="IJT40" s="822"/>
      <c r="IJU40" s="822"/>
      <c r="IJV40" s="822"/>
      <c r="IJW40" s="822"/>
      <c r="IJX40" s="822"/>
      <c r="IJY40" s="822"/>
      <c r="IJZ40" s="822"/>
      <c r="IKA40" s="822"/>
      <c r="IKB40" s="822"/>
      <c r="IKC40" s="822"/>
      <c r="IKD40" s="822"/>
      <c r="IKE40" s="822"/>
      <c r="IKF40" s="822"/>
      <c r="IKG40" s="822"/>
      <c r="IKH40" s="822"/>
      <c r="IKI40" s="822"/>
      <c r="IKJ40" s="822"/>
      <c r="IKK40" s="822"/>
      <c r="IKL40" s="822"/>
      <c r="IKM40" s="822"/>
      <c r="IKN40" s="822"/>
      <c r="IKO40" s="822"/>
      <c r="IKP40" s="822"/>
      <c r="IKQ40" s="822"/>
      <c r="IKR40" s="822"/>
      <c r="IKS40" s="822"/>
      <c r="IKT40" s="822"/>
      <c r="IKU40" s="822"/>
      <c r="IKV40" s="822"/>
      <c r="IKW40" s="822"/>
      <c r="IKX40" s="822"/>
      <c r="IKY40" s="822"/>
      <c r="IKZ40" s="822"/>
      <c r="ILA40" s="822"/>
      <c r="ILB40" s="822"/>
      <c r="ILC40" s="822"/>
      <c r="ILD40" s="822"/>
      <c r="ILE40" s="822"/>
      <c r="ILF40" s="822"/>
      <c r="ILG40" s="822"/>
      <c r="ILH40" s="822"/>
      <c r="ILI40" s="822"/>
      <c r="ILJ40" s="822"/>
      <c r="ILK40" s="822"/>
      <c r="ILL40" s="822"/>
      <c r="ILM40" s="822"/>
      <c r="ILN40" s="822"/>
      <c r="ILO40" s="822"/>
      <c r="ILP40" s="822"/>
      <c r="ILQ40" s="822"/>
      <c r="ILR40" s="822"/>
      <c r="ILS40" s="822"/>
      <c r="ILT40" s="822"/>
      <c r="ILU40" s="822"/>
      <c r="ILV40" s="822"/>
      <c r="ILW40" s="822"/>
      <c r="ILX40" s="822"/>
      <c r="ILY40" s="822"/>
      <c r="ILZ40" s="822"/>
      <c r="IMA40" s="822"/>
      <c r="IMB40" s="822"/>
      <c r="IMC40" s="822"/>
      <c r="IMD40" s="822"/>
      <c r="IME40" s="822"/>
      <c r="IMF40" s="822"/>
      <c r="IMG40" s="822"/>
      <c r="IMH40" s="822"/>
      <c r="IMI40" s="822"/>
      <c r="IMJ40" s="822"/>
      <c r="IMK40" s="822"/>
      <c r="IML40" s="822"/>
      <c r="IMM40" s="822"/>
      <c r="IMN40" s="822"/>
      <c r="IMO40" s="822"/>
      <c r="IMP40" s="822"/>
      <c r="IMQ40" s="822"/>
      <c r="IMR40" s="822"/>
      <c r="IMS40" s="822"/>
      <c r="IMT40" s="822"/>
      <c r="IMU40" s="822"/>
      <c r="IMV40" s="822"/>
      <c r="IMW40" s="822"/>
      <c r="IMX40" s="822"/>
      <c r="IMY40" s="822"/>
      <c r="IMZ40" s="822"/>
      <c r="INA40" s="822"/>
      <c r="INB40" s="822"/>
      <c r="INC40" s="822"/>
      <c r="IND40" s="822"/>
      <c r="INE40" s="822"/>
      <c r="INF40" s="822"/>
      <c r="ING40" s="822"/>
      <c r="INH40" s="822"/>
      <c r="INI40" s="822"/>
      <c r="INJ40" s="822"/>
      <c r="INK40" s="822"/>
      <c r="INL40" s="822"/>
      <c r="INM40" s="822"/>
      <c r="INN40" s="822"/>
      <c r="INO40" s="822"/>
      <c r="INP40" s="822"/>
      <c r="INQ40" s="822"/>
      <c r="INR40" s="822"/>
      <c r="INS40" s="822"/>
      <c r="INT40" s="822"/>
      <c r="INU40" s="822"/>
      <c r="INV40" s="822"/>
      <c r="INW40" s="822"/>
      <c r="INX40" s="822"/>
      <c r="INY40" s="822"/>
      <c r="INZ40" s="822"/>
      <c r="IOA40" s="822"/>
      <c r="IOB40" s="822"/>
      <c r="IOC40" s="822"/>
      <c r="IOD40" s="822"/>
      <c r="IOE40" s="822"/>
      <c r="IOF40" s="822"/>
      <c r="IOG40" s="822"/>
      <c r="IOH40" s="822"/>
      <c r="IOI40" s="822"/>
      <c r="IOJ40" s="822"/>
      <c r="IOK40" s="822"/>
      <c r="IOL40" s="822"/>
      <c r="IOM40" s="822"/>
      <c r="ION40" s="822"/>
      <c r="IOO40" s="822"/>
      <c r="IOP40" s="822"/>
      <c r="IOQ40" s="822"/>
      <c r="IOR40" s="822"/>
      <c r="IOS40" s="822"/>
      <c r="IOT40" s="822"/>
      <c r="IOU40" s="822"/>
      <c r="IOV40" s="822"/>
      <c r="IOW40" s="822"/>
      <c r="IOX40" s="822"/>
      <c r="IOY40" s="822"/>
      <c r="IOZ40" s="822"/>
      <c r="IPA40" s="822"/>
      <c r="IPB40" s="822"/>
      <c r="IPC40" s="822"/>
      <c r="IPD40" s="822"/>
      <c r="IPE40" s="822"/>
      <c r="IPF40" s="822"/>
      <c r="IPG40" s="822"/>
      <c r="IPH40" s="822"/>
      <c r="IPI40" s="822"/>
      <c r="IPJ40" s="822"/>
      <c r="IPK40" s="822"/>
      <c r="IPL40" s="822"/>
      <c r="IPM40" s="822"/>
      <c r="IPN40" s="822"/>
      <c r="IPO40" s="822"/>
      <c r="IPP40" s="822"/>
      <c r="IPQ40" s="822"/>
      <c r="IPR40" s="822"/>
      <c r="IPS40" s="822"/>
      <c r="IPT40" s="822"/>
      <c r="IPU40" s="822"/>
      <c r="IPV40" s="822"/>
      <c r="IPW40" s="822"/>
      <c r="IPX40" s="822"/>
      <c r="IPY40" s="822"/>
      <c r="IPZ40" s="822"/>
      <c r="IQA40" s="822"/>
      <c r="IQB40" s="822"/>
      <c r="IQC40" s="822"/>
      <c r="IQD40" s="822"/>
      <c r="IQE40" s="822"/>
      <c r="IQF40" s="822"/>
      <c r="IQG40" s="822"/>
      <c r="IQH40" s="822"/>
      <c r="IQI40" s="822"/>
      <c r="IQJ40" s="822"/>
      <c r="IQK40" s="822"/>
      <c r="IQL40" s="822"/>
      <c r="IQM40" s="822"/>
      <c r="IQN40" s="822"/>
      <c r="IQO40" s="822"/>
      <c r="IQP40" s="822"/>
      <c r="IQQ40" s="822"/>
      <c r="IQR40" s="822"/>
      <c r="IQS40" s="822"/>
      <c r="IQT40" s="822"/>
      <c r="IQU40" s="822"/>
      <c r="IQV40" s="822"/>
      <c r="IQW40" s="822"/>
      <c r="IQX40" s="822"/>
      <c r="IQY40" s="822"/>
      <c r="IQZ40" s="822"/>
      <c r="IRA40" s="822"/>
      <c r="IRB40" s="822"/>
      <c r="IRC40" s="822"/>
      <c r="IRD40" s="822"/>
      <c r="IRE40" s="822"/>
      <c r="IRF40" s="822"/>
      <c r="IRG40" s="822"/>
      <c r="IRH40" s="822"/>
      <c r="IRI40" s="822"/>
      <c r="IRJ40" s="822"/>
      <c r="IRK40" s="822"/>
      <c r="IRL40" s="822"/>
      <c r="IRM40" s="822"/>
      <c r="IRN40" s="822"/>
      <c r="IRO40" s="822"/>
      <c r="IRP40" s="822"/>
      <c r="IRQ40" s="822"/>
      <c r="IRR40" s="822"/>
      <c r="IRS40" s="822"/>
      <c r="IRT40" s="822"/>
      <c r="IRU40" s="822"/>
      <c r="IRV40" s="822"/>
      <c r="IRW40" s="822"/>
      <c r="IRX40" s="822"/>
      <c r="IRY40" s="822"/>
      <c r="IRZ40" s="822"/>
      <c r="ISA40" s="822"/>
      <c r="ISB40" s="822"/>
      <c r="ISC40" s="822"/>
      <c r="ISD40" s="822"/>
      <c r="ISE40" s="822"/>
      <c r="ISF40" s="822"/>
      <c r="ISG40" s="822"/>
      <c r="ISH40" s="822"/>
      <c r="ISI40" s="822"/>
      <c r="ISJ40" s="822"/>
      <c r="ISK40" s="822"/>
      <c r="ISL40" s="822"/>
      <c r="ISM40" s="822"/>
      <c r="ISN40" s="822"/>
      <c r="ISO40" s="822"/>
      <c r="ISP40" s="822"/>
      <c r="ISQ40" s="822"/>
      <c r="ISR40" s="822"/>
      <c r="ISS40" s="822"/>
      <c r="IST40" s="822"/>
      <c r="ISU40" s="822"/>
      <c r="ISV40" s="822"/>
      <c r="ISW40" s="822"/>
      <c r="ISX40" s="822"/>
      <c r="ISY40" s="822"/>
      <c r="ISZ40" s="822"/>
      <c r="ITA40" s="822"/>
      <c r="ITB40" s="822"/>
      <c r="ITC40" s="822"/>
      <c r="ITD40" s="822"/>
      <c r="ITE40" s="822"/>
      <c r="ITF40" s="822"/>
      <c r="ITG40" s="822"/>
      <c r="ITH40" s="822"/>
      <c r="ITI40" s="822"/>
      <c r="ITJ40" s="822"/>
      <c r="ITK40" s="822"/>
      <c r="ITL40" s="822"/>
      <c r="ITM40" s="822"/>
      <c r="ITN40" s="822"/>
      <c r="ITO40" s="822"/>
      <c r="ITP40" s="822"/>
      <c r="ITQ40" s="822"/>
      <c r="ITR40" s="822"/>
      <c r="ITS40" s="822"/>
      <c r="ITT40" s="822"/>
      <c r="ITU40" s="822"/>
      <c r="ITV40" s="822"/>
      <c r="ITW40" s="822"/>
      <c r="ITX40" s="822"/>
      <c r="ITY40" s="822"/>
      <c r="ITZ40" s="822"/>
      <c r="IUA40" s="822"/>
      <c r="IUB40" s="822"/>
      <c r="IUC40" s="822"/>
      <c r="IUD40" s="822"/>
      <c r="IUE40" s="822"/>
      <c r="IUF40" s="822"/>
      <c r="IUG40" s="822"/>
      <c r="IUH40" s="822"/>
      <c r="IUI40" s="822"/>
      <c r="IUJ40" s="822"/>
      <c r="IUK40" s="822"/>
      <c r="IUL40" s="822"/>
      <c r="IUM40" s="822"/>
      <c r="IUN40" s="822"/>
      <c r="IUO40" s="822"/>
      <c r="IUP40" s="822"/>
      <c r="IUQ40" s="822"/>
      <c r="IUR40" s="822"/>
      <c r="IUS40" s="822"/>
      <c r="IUT40" s="822"/>
      <c r="IUU40" s="822"/>
      <c r="IUV40" s="822"/>
      <c r="IUW40" s="822"/>
      <c r="IUX40" s="822"/>
      <c r="IUY40" s="822"/>
      <c r="IUZ40" s="822"/>
      <c r="IVA40" s="822"/>
      <c r="IVB40" s="822"/>
      <c r="IVC40" s="822"/>
      <c r="IVD40" s="822"/>
      <c r="IVE40" s="822"/>
      <c r="IVF40" s="822"/>
      <c r="IVG40" s="822"/>
      <c r="IVH40" s="822"/>
      <c r="IVI40" s="822"/>
      <c r="IVJ40" s="822"/>
      <c r="IVK40" s="822"/>
      <c r="IVL40" s="822"/>
      <c r="IVM40" s="822"/>
      <c r="IVN40" s="822"/>
      <c r="IVO40" s="822"/>
      <c r="IVP40" s="822"/>
      <c r="IVQ40" s="822"/>
      <c r="IVR40" s="822"/>
      <c r="IVS40" s="822"/>
      <c r="IVT40" s="822"/>
      <c r="IVU40" s="822"/>
      <c r="IVV40" s="822"/>
      <c r="IVW40" s="822"/>
      <c r="IVX40" s="822"/>
      <c r="IVY40" s="822"/>
      <c r="IVZ40" s="822"/>
      <c r="IWA40" s="822"/>
      <c r="IWB40" s="822"/>
      <c r="IWC40" s="822"/>
      <c r="IWD40" s="822"/>
      <c r="IWE40" s="822"/>
      <c r="IWF40" s="822"/>
      <c r="IWG40" s="822"/>
      <c r="IWH40" s="822"/>
      <c r="IWI40" s="822"/>
      <c r="IWJ40" s="822"/>
      <c r="IWK40" s="822"/>
      <c r="IWL40" s="822"/>
      <c r="IWM40" s="822"/>
      <c r="IWN40" s="822"/>
      <c r="IWO40" s="822"/>
      <c r="IWP40" s="822"/>
      <c r="IWQ40" s="822"/>
      <c r="IWR40" s="822"/>
      <c r="IWS40" s="822"/>
      <c r="IWT40" s="822"/>
      <c r="IWU40" s="822"/>
      <c r="IWV40" s="822"/>
      <c r="IWW40" s="822"/>
      <c r="IWX40" s="822"/>
      <c r="IWY40" s="822"/>
      <c r="IWZ40" s="822"/>
      <c r="IXA40" s="822"/>
      <c r="IXB40" s="822"/>
      <c r="IXC40" s="822"/>
      <c r="IXD40" s="822"/>
      <c r="IXE40" s="822"/>
      <c r="IXF40" s="822"/>
      <c r="IXG40" s="822"/>
      <c r="IXH40" s="822"/>
      <c r="IXI40" s="822"/>
      <c r="IXJ40" s="822"/>
      <c r="IXK40" s="822"/>
      <c r="IXL40" s="822"/>
      <c r="IXM40" s="822"/>
      <c r="IXN40" s="822"/>
      <c r="IXO40" s="822"/>
      <c r="IXP40" s="822"/>
      <c r="IXQ40" s="822"/>
      <c r="IXR40" s="822"/>
      <c r="IXS40" s="822"/>
      <c r="IXT40" s="822"/>
      <c r="IXU40" s="822"/>
      <c r="IXV40" s="822"/>
      <c r="IXW40" s="822"/>
      <c r="IXX40" s="822"/>
      <c r="IXY40" s="822"/>
      <c r="IXZ40" s="822"/>
      <c r="IYA40" s="822"/>
      <c r="IYB40" s="822"/>
      <c r="IYC40" s="822"/>
      <c r="IYD40" s="822"/>
      <c r="IYE40" s="822"/>
      <c r="IYF40" s="822"/>
      <c r="IYG40" s="822"/>
      <c r="IYH40" s="822"/>
      <c r="IYI40" s="822"/>
      <c r="IYJ40" s="822"/>
      <c r="IYK40" s="822"/>
      <c r="IYL40" s="822"/>
      <c r="IYM40" s="822"/>
      <c r="IYN40" s="822"/>
      <c r="IYO40" s="822"/>
      <c r="IYP40" s="822"/>
      <c r="IYQ40" s="822"/>
      <c r="IYR40" s="822"/>
      <c r="IYS40" s="822"/>
      <c r="IYT40" s="822"/>
      <c r="IYU40" s="822"/>
      <c r="IYV40" s="822"/>
      <c r="IYW40" s="822"/>
      <c r="IYX40" s="822"/>
      <c r="IYY40" s="822"/>
      <c r="IYZ40" s="822"/>
      <c r="IZA40" s="822"/>
      <c r="IZB40" s="822"/>
      <c r="IZC40" s="822"/>
      <c r="IZD40" s="822"/>
      <c r="IZE40" s="822"/>
      <c r="IZF40" s="822"/>
      <c r="IZG40" s="822"/>
      <c r="IZH40" s="822"/>
      <c r="IZI40" s="822"/>
      <c r="IZJ40" s="822"/>
      <c r="IZK40" s="822"/>
      <c r="IZL40" s="822"/>
      <c r="IZM40" s="822"/>
      <c r="IZN40" s="822"/>
      <c r="IZO40" s="822"/>
      <c r="IZP40" s="822"/>
      <c r="IZQ40" s="822"/>
      <c r="IZR40" s="822"/>
      <c r="IZS40" s="822"/>
      <c r="IZT40" s="822"/>
      <c r="IZU40" s="822"/>
      <c r="IZV40" s="822"/>
      <c r="IZW40" s="822"/>
      <c r="IZX40" s="822"/>
      <c r="IZY40" s="822"/>
      <c r="IZZ40" s="822"/>
      <c r="JAA40" s="822"/>
      <c r="JAB40" s="822"/>
      <c r="JAC40" s="822"/>
      <c r="JAD40" s="822"/>
      <c r="JAE40" s="822"/>
      <c r="JAF40" s="822"/>
      <c r="JAG40" s="822"/>
      <c r="JAH40" s="822"/>
      <c r="JAI40" s="822"/>
      <c r="JAJ40" s="822"/>
      <c r="JAK40" s="822"/>
      <c r="JAL40" s="822"/>
      <c r="JAM40" s="822"/>
      <c r="JAN40" s="822"/>
      <c r="JAO40" s="822"/>
      <c r="JAP40" s="822"/>
      <c r="JAQ40" s="822"/>
      <c r="JAR40" s="822"/>
      <c r="JAS40" s="822"/>
      <c r="JAT40" s="822"/>
      <c r="JAU40" s="822"/>
      <c r="JAV40" s="822"/>
      <c r="JAW40" s="822"/>
      <c r="JAX40" s="822"/>
      <c r="JAY40" s="822"/>
      <c r="JAZ40" s="822"/>
      <c r="JBA40" s="822"/>
      <c r="JBB40" s="822"/>
      <c r="JBC40" s="822"/>
      <c r="JBD40" s="822"/>
      <c r="JBE40" s="822"/>
      <c r="JBF40" s="822"/>
      <c r="JBG40" s="822"/>
      <c r="JBH40" s="822"/>
      <c r="JBI40" s="822"/>
      <c r="JBJ40" s="822"/>
      <c r="JBK40" s="822"/>
      <c r="JBL40" s="822"/>
      <c r="JBM40" s="822"/>
      <c r="JBN40" s="822"/>
      <c r="JBO40" s="822"/>
      <c r="JBP40" s="822"/>
      <c r="JBQ40" s="822"/>
      <c r="JBR40" s="822"/>
      <c r="JBS40" s="822"/>
      <c r="JBT40" s="822"/>
      <c r="JBU40" s="822"/>
      <c r="JBV40" s="822"/>
      <c r="JBW40" s="822"/>
      <c r="JBX40" s="822"/>
      <c r="JBY40" s="822"/>
      <c r="JBZ40" s="822"/>
      <c r="JCA40" s="822"/>
      <c r="JCB40" s="822"/>
      <c r="JCC40" s="822"/>
      <c r="JCD40" s="822"/>
      <c r="JCE40" s="822"/>
      <c r="JCF40" s="822"/>
      <c r="JCG40" s="822"/>
      <c r="JCH40" s="822"/>
      <c r="JCI40" s="822"/>
      <c r="JCJ40" s="822"/>
      <c r="JCK40" s="822"/>
      <c r="JCL40" s="822"/>
      <c r="JCM40" s="822"/>
      <c r="JCN40" s="822"/>
      <c r="JCO40" s="822"/>
      <c r="JCP40" s="822"/>
      <c r="JCQ40" s="822"/>
      <c r="JCR40" s="822"/>
      <c r="JCS40" s="822"/>
      <c r="JCT40" s="822"/>
      <c r="JCU40" s="822"/>
      <c r="JCV40" s="822"/>
      <c r="JCW40" s="822"/>
      <c r="JCX40" s="822"/>
      <c r="JCY40" s="822"/>
      <c r="JCZ40" s="822"/>
      <c r="JDA40" s="822"/>
      <c r="JDB40" s="822"/>
      <c r="JDC40" s="822"/>
      <c r="JDD40" s="822"/>
      <c r="JDE40" s="822"/>
      <c r="JDF40" s="822"/>
      <c r="JDG40" s="822"/>
      <c r="JDH40" s="822"/>
      <c r="JDI40" s="822"/>
      <c r="JDJ40" s="822"/>
      <c r="JDK40" s="822"/>
      <c r="JDL40" s="822"/>
      <c r="JDM40" s="822"/>
      <c r="JDN40" s="822"/>
      <c r="JDO40" s="822"/>
      <c r="JDP40" s="822"/>
      <c r="JDQ40" s="822"/>
      <c r="JDR40" s="822"/>
      <c r="JDS40" s="822"/>
      <c r="JDT40" s="822"/>
      <c r="JDU40" s="822"/>
      <c r="JDV40" s="822"/>
      <c r="JDW40" s="822"/>
      <c r="JDX40" s="822"/>
      <c r="JDY40" s="822"/>
      <c r="JDZ40" s="822"/>
      <c r="JEA40" s="822"/>
      <c r="JEB40" s="822"/>
      <c r="JEC40" s="822"/>
      <c r="JED40" s="822"/>
      <c r="JEE40" s="822"/>
      <c r="JEF40" s="822"/>
      <c r="JEG40" s="822"/>
      <c r="JEH40" s="822"/>
      <c r="JEI40" s="822"/>
      <c r="JEJ40" s="822"/>
      <c r="JEK40" s="822"/>
      <c r="JEL40" s="822"/>
      <c r="JEM40" s="822"/>
      <c r="JEN40" s="822"/>
      <c r="JEO40" s="822"/>
      <c r="JEP40" s="822"/>
      <c r="JEQ40" s="822"/>
      <c r="JER40" s="822"/>
      <c r="JES40" s="822"/>
      <c r="JET40" s="822"/>
      <c r="JEU40" s="822"/>
      <c r="JEV40" s="822"/>
      <c r="JEW40" s="822"/>
      <c r="JEX40" s="822"/>
      <c r="JEY40" s="822"/>
      <c r="JEZ40" s="822"/>
      <c r="JFA40" s="822"/>
      <c r="JFB40" s="822"/>
      <c r="JFC40" s="822"/>
      <c r="JFD40" s="822"/>
      <c r="JFE40" s="822"/>
      <c r="JFF40" s="822"/>
      <c r="JFG40" s="822"/>
      <c r="JFH40" s="822"/>
      <c r="JFI40" s="822"/>
      <c r="JFJ40" s="822"/>
      <c r="JFK40" s="822"/>
      <c r="JFL40" s="822"/>
      <c r="JFM40" s="822"/>
      <c r="JFN40" s="822"/>
      <c r="JFO40" s="822"/>
      <c r="JFP40" s="822"/>
      <c r="JFQ40" s="822"/>
      <c r="JFR40" s="822"/>
      <c r="JFS40" s="822"/>
      <c r="JFT40" s="822"/>
      <c r="JFU40" s="822"/>
      <c r="JFV40" s="822"/>
      <c r="JFW40" s="822"/>
      <c r="JFX40" s="822"/>
      <c r="JFY40" s="822"/>
      <c r="JFZ40" s="822"/>
      <c r="JGA40" s="822"/>
      <c r="JGB40" s="822"/>
      <c r="JGC40" s="822"/>
      <c r="JGD40" s="822"/>
      <c r="JGE40" s="822"/>
      <c r="JGF40" s="822"/>
      <c r="JGG40" s="822"/>
      <c r="JGH40" s="822"/>
      <c r="JGI40" s="822"/>
      <c r="JGJ40" s="822"/>
      <c r="JGK40" s="822"/>
      <c r="JGL40" s="822"/>
      <c r="JGM40" s="822"/>
      <c r="JGN40" s="822"/>
      <c r="JGO40" s="822"/>
      <c r="JGP40" s="822"/>
      <c r="JGQ40" s="822"/>
      <c r="JGR40" s="822"/>
      <c r="JGS40" s="822"/>
      <c r="JGT40" s="822"/>
      <c r="JGU40" s="822"/>
      <c r="JGV40" s="822"/>
      <c r="JGW40" s="822"/>
      <c r="JGX40" s="822"/>
      <c r="JGY40" s="822"/>
      <c r="JGZ40" s="822"/>
      <c r="JHA40" s="822"/>
      <c r="JHB40" s="822"/>
      <c r="JHC40" s="822"/>
      <c r="JHD40" s="822"/>
      <c r="JHE40" s="822"/>
      <c r="JHF40" s="822"/>
      <c r="JHG40" s="822"/>
      <c r="JHH40" s="822"/>
      <c r="JHI40" s="822"/>
      <c r="JHJ40" s="822"/>
      <c r="JHK40" s="822"/>
      <c r="JHL40" s="822"/>
      <c r="JHM40" s="822"/>
      <c r="JHN40" s="822"/>
      <c r="JHO40" s="822"/>
      <c r="JHP40" s="822"/>
      <c r="JHQ40" s="822"/>
      <c r="JHR40" s="822"/>
      <c r="JHS40" s="822"/>
      <c r="JHT40" s="822"/>
      <c r="JHU40" s="822"/>
      <c r="JHV40" s="822"/>
      <c r="JHW40" s="822"/>
      <c r="JHX40" s="822"/>
      <c r="JHY40" s="822"/>
      <c r="JHZ40" s="822"/>
      <c r="JIA40" s="822"/>
      <c r="JIB40" s="822"/>
      <c r="JIC40" s="822"/>
      <c r="JID40" s="822"/>
      <c r="JIE40" s="822"/>
      <c r="JIF40" s="822"/>
      <c r="JIG40" s="822"/>
      <c r="JIH40" s="822"/>
      <c r="JII40" s="822"/>
      <c r="JIJ40" s="822"/>
      <c r="JIK40" s="822"/>
      <c r="JIL40" s="822"/>
      <c r="JIM40" s="822"/>
      <c r="JIN40" s="822"/>
      <c r="JIO40" s="822"/>
      <c r="JIP40" s="822"/>
      <c r="JIQ40" s="822"/>
      <c r="JIR40" s="822"/>
      <c r="JIS40" s="822"/>
      <c r="JIT40" s="822"/>
      <c r="JIU40" s="822"/>
      <c r="JIV40" s="822"/>
      <c r="JIW40" s="822"/>
      <c r="JIX40" s="822"/>
      <c r="JIY40" s="822"/>
      <c r="JIZ40" s="822"/>
      <c r="JJA40" s="822"/>
      <c r="JJB40" s="822"/>
      <c r="JJC40" s="822"/>
      <c r="JJD40" s="822"/>
      <c r="JJE40" s="822"/>
      <c r="JJF40" s="822"/>
      <c r="JJG40" s="822"/>
      <c r="JJH40" s="822"/>
      <c r="JJI40" s="822"/>
      <c r="JJJ40" s="822"/>
      <c r="JJK40" s="822"/>
      <c r="JJL40" s="822"/>
      <c r="JJM40" s="822"/>
      <c r="JJN40" s="822"/>
      <c r="JJO40" s="822"/>
      <c r="JJP40" s="822"/>
      <c r="JJQ40" s="822"/>
      <c r="JJR40" s="822"/>
      <c r="JJS40" s="822"/>
      <c r="JJT40" s="822"/>
      <c r="JJU40" s="822"/>
      <c r="JJV40" s="822"/>
      <c r="JJW40" s="822"/>
      <c r="JJX40" s="822"/>
      <c r="JJY40" s="822"/>
      <c r="JJZ40" s="822"/>
      <c r="JKA40" s="822"/>
      <c r="JKB40" s="822"/>
      <c r="JKC40" s="822"/>
      <c r="JKD40" s="822"/>
      <c r="JKE40" s="822"/>
      <c r="JKF40" s="822"/>
      <c r="JKG40" s="822"/>
      <c r="JKH40" s="822"/>
      <c r="JKI40" s="822"/>
      <c r="JKJ40" s="822"/>
      <c r="JKK40" s="822"/>
      <c r="JKL40" s="822"/>
      <c r="JKM40" s="822"/>
      <c r="JKN40" s="822"/>
      <c r="JKO40" s="822"/>
      <c r="JKP40" s="822"/>
      <c r="JKQ40" s="822"/>
      <c r="JKR40" s="822"/>
      <c r="JKS40" s="822"/>
      <c r="JKT40" s="822"/>
      <c r="JKU40" s="822"/>
      <c r="JKV40" s="822"/>
      <c r="JKW40" s="822"/>
      <c r="JKX40" s="822"/>
      <c r="JKY40" s="822"/>
      <c r="JKZ40" s="822"/>
      <c r="JLA40" s="822"/>
      <c r="JLB40" s="822"/>
      <c r="JLC40" s="822"/>
      <c r="JLD40" s="822"/>
      <c r="JLE40" s="822"/>
      <c r="JLF40" s="822"/>
      <c r="JLG40" s="822"/>
      <c r="JLH40" s="822"/>
      <c r="JLI40" s="822"/>
      <c r="JLJ40" s="822"/>
      <c r="JLK40" s="822"/>
      <c r="JLL40" s="822"/>
      <c r="JLM40" s="822"/>
      <c r="JLN40" s="822"/>
      <c r="JLO40" s="822"/>
      <c r="JLP40" s="822"/>
      <c r="JLQ40" s="822"/>
      <c r="JLR40" s="822"/>
      <c r="JLS40" s="822"/>
      <c r="JLT40" s="822"/>
      <c r="JLU40" s="822"/>
      <c r="JLV40" s="822"/>
      <c r="JLW40" s="822"/>
      <c r="JLX40" s="822"/>
      <c r="JLY40" s="822"/>
      <c r="JLZ40" s="822"/>
      <c r="JMA40" s="822"/>
      <c r="JMB40" s="822"/>
      <c r="JMC40" s="822"/>
      <c r="JMD40" s="822"/>
      <c r="JME40" s="822"/>
      <c r="JMF40" s="822"/>
      <c r="JMG40" s="822"/>
      <c r="JMH40" s="822"/>
      <c r="JMI40" s="822"/>
      <c r="JMJ40" s="822"/>
      <c r="JMK40" s="822"/>
      <c r="JML40" s="822"/>
      <c r="JMM40" s="822"/>
      <c r="JMN40" s="822"/>
      <c r="JMO40" s="822"/>
      <c r="JMP40" s="822"/>
      <c r="JMQ40" s="822"/>
      <c r="JMR40" s="822"/>
      <c r="JMS40" s="822"/>
      <c r="JMT40" s="822"/>
      <c r="JMU40" s="822"/>
      <c r="JMV40" s="822"/>
      <c r="JMW40" s="822"/>
      <c r="JMX40" s="822"/>
      <c r="JMY40" s="822"/>
      <c r="JMZ40" s="822"/>
      <c r="JNA40" s="822"/>
      <c r="JNB40" s="822"/>
      <c r="JNC40" s="822"/>
      <c r="JND40" s="822"/>
      <c r="JNE40" s="822"/>
      <c r="JNF40" s="822"/>
      <c r="JNG40" s="822"/>
      <c r="JNH40" s="822"/>
      <c r="JNI40" s="822"/>
      <c r="JNJ40" s="822"/>
      <c r="JNK40" s="822"/>
      <c r="JNL40" s="822"/>
      <c r="JNM40" s="822"/>
      <c r="JNN40" s="822"/>
      <c r="JNO40" s="822"/>
      <c r="JNP40" s="822"/>
      <c r="JNQ40" s="822"/>
      <c r="JNR40" s="822"/>
      <c r="JNS40" s="822"/>
      <c r="JNT40" s="822"/>
      <c r="JNU40" s="822"/>
      <c r="JNV40" s="822"/>
      <c r="JNW40" s="822"/>
      <c r="JNX40" s="822"/>
      <c r="JNY40" s="822"/>
      <c r="JNZ40" s="822"/>
      <c r="JOA40" s="822"/>
      <c r="JOB40" s="822"/>
      <c r="JOC40" s="822"/>
      <c r="JOD40" s="822"/>
      <c r="JOE40" s="822"/>
      <c r="JOF40" s="822"/>
      <c r="JOG40" s="822"/>
      <c r="JOH40" s="822"/>
      <c r="JOI40" s="822"/>
      <c r="JOJ40" s="822"/>
      <c r="JOK40" s="822"/>
      <c r="JOL40" s="822"/>
      <c r="JOM40" s="822"/>
      <c r="JON40" s="822"/>
      <c r="JOO40" s="822"/>
      <c r="JOP40" s="822"/>
      <c r="JOQ40" s="822"/>
      <c r="JOR40" s="822"/>
      <c r="JOS40" s="822"/>
      <c r="JOT40" s="822"/>
      <c r="JOU40" s="822"/>
      <c r="JOV40" s="822"/>
      <c r="JOW40" s="822"/>
      <c r="JOX40" s="822"/>
      <c r="JOY40" s="822"/>
      <c r="JOZ40" s="822"/>
      <c r="JPA40" s="822"/>
      <c r="JPB40" s="822"/>
      <c r="JPC40" s="822"/>
      <c r="JPD40" s="822"/>
      <c r="JPE40" s="822"/>
      <c r="JPF40" s="822"/>
      <c r="JPG40" s="822"/>
      <c r="JPH40" s="822"/>
      <c r="JPI40" s="822"/>
      <c r="JPJ40" s="822"/>
      <c r="JPK40" s="822"/>
      <c r="JPL40" s="822"/>
      <c r="JPM40" s="822"/>
      <c r="JPN40" s="822"/>
      <c r="JPO40" s="822"/>
      <c r="JPP40" s="822"/>
      <c r="JPQ40" s="822"/>
      <c r="JPR40" s="822"/>
      <c r="JPS40" s="822"/>
      <c r="JPT40" s="822"/>
      <c r="JPU40" s="822"/>
      <c r="JPV40" s="822"/>
      <c r="JPW40" s="822"/>
      <c r="JPX40" s="822"/>
      <c r="JPY40" s="822"/>
      <c r="JPZ40" s="822"/>
      <c r="JQA40" s="822"/>
      <c r="JQB40" s="822"/>
      <c r="JQC40" s="822"/>
      <c r="JQD40" s="822"/>
      <c r="JQE40" s="822"/>
      <c r="JQF40" s="822"/>
      <c r="JQG40" s="822"/>
      <c r="JQH40" s="822"/>
      <c r="JQI40" s="822"/>
      <c r="JQJ40" s="822"/>
      <c r="JQK40" s="822"/>
      <c r="JQL40" s="822"/>
      <c r="JQM40" s="822"/>
      <c r="JQN40" s="822"/>
      <c r="JQO40" s="822"/>
      <c r="JQP40" s="822"/>
      <c r="JQQ40" s="822"/>
      <c r="JQR40" s="822"/>
      <c r="JQS40" s="822"/>
      <c r="JQT40" s="822"/>
      <c r="JQU40" s="822"/>
      <c r="JQV40" s="822"/>
      <c r="JQW40" s="822"/>
      <c r="JQX40" s="822"/>
      <c r="JQY40" s="822"/>
      <c r="JQZ40" s="822"/>
      <c r="JRA40" s="822"/>
      <c r="JRB40" s="822"/>
      <c r="JRC40" s="822"/>
      <c r="JRD40" s="822"/>
      <c r="JRE40" s="822"/>
      <c r="JRF40" s="822"/>
      <c r="JRG40" s="822"/>
      <c r="JRH40" s="822"/>
      <c r="JRI40" s="822"/>
      <c r="JRJ40" s="822"/>
      <c r="JRK40" s="822"/>
      <c r="JRL40" s="822"/>
      <c r="JRM40" s="822"/>
      <c r="JRN40" s="822"/>
      <c r="JRO40" s="822"/>
      <c r="JRP40" s="822"/>
      <c r="JRQ40" s="822"/>
      <c r="JRR40" s="822"/>
      <c r="JRS40" s="822"/>
      <c r="JRT40" s="822"/>
      <c r="JRU40" s="822"/>
      <c r="JRV40" s="822"/>
      <c r="JRW40" s="822"/>
      <c r="JRX40" s="822"/>
      <c r="JRY40" s="822"/>
      <c r="JRZ40" s="822"/>
      <c r="JSA40" s="822"/>
      <c r="JSB40" s="822"/>
      <c r="JSC40" s="822"/>
      <c r="JSD40" s="822"/>
      <c r="JSE40" s="822"/>
      <c r="JSF40" s="822"/>
      <c r="JSG40" s="822"/>
      <c r="JSH40" s="822"/>
      <c r="JSI40" s="822"/>
      <c r="JSJ40" s="822"/>
      <c r="JSK40" s="822"/>
      <c r="JSL40" s="822"/>
      <c r="JSM40" s="822"/>
      <c r="JSN40" s="822"/>
      <c r="JSO40" s="822"/>
      <c r="JSP40" s="822"/>
      <c r="JSQ40" s="822"/>
      <c r="JSR40" s="822"/>
      <c r="JSS40" s="822"/>
      <c r="JST40" s="822"/>
      <c r="JSU40" s="822"/>
      <c r="JSV40" s="822"/>
      <c r="JSW40" s="822"/>
      <c r="JSX40" s="822"/>
      <c r="JSY40" s="822"/>
      <c r="JSZ40" s="822"/>
      <c r="JTA40" s="822"/>
      <c r="JTB40" s="822"/>
      <c r="JTC40" s="822"/>
      <c r="JTD40" s="822"/>
      <c r="JTE40" s="822"/>
      <c r="JTF40" s="822"/>
      <c r="JTG40" s="822"/>
      <c r="JTH40" s="822"/>
      <c r="JTI40" s="822"/>
      <c r="JTJ40" s="822"/>
      <c r="JTK40" s="822"/>
      <c r="JTL40" s="822"/>
      <c r="JTM40" s="822"/>
      <c r="JTN40" s="822"/>
      <c r="JTO40" s="822"/>
      <c r="JTP40" s="822"/>
      <c r="JTQ40" s="822"/>
      <c r="JTR40" s="822"/>
      <c r="JTS40" s="822"/>
      <c r="JTT40" s="822"/>
      <c r="JTU40" s="822"/>
      <c r="JTV40" s="822"/>
      <c r="JTW40" s="822"/>
      <c r="JTX40" s="822"/>
      <c r="JTY40" s="822"/>
      <c r="JTZ40" s="822"/>
      <c r="JUA40" s="822"/>
      <c r="JUB40" s="822"/>
      <c r="JUC40" s="822"/>
      <c r="JUD40" s="822"/>
      <c r="JUE40" s="822"/>
      <c r="JUF40" s="822"/>
      <c r="JUG40" s="822"/>
      <c r="JUH40" s="822"/>
      <c r="JUI40" s="822"/>
      <c r="JUJ40" s="822"/>
      <c r="JUK40" s="822"/>
      <c r="JUL40" s="822"/>
      <c r="JUM40" s="822"/>
      <c r="JUN40" s="822"/>
      <c r="JUO40" s="822"/>
      <c r="JUP40" s="822"/>
      <c r="JUQ40" s="822"/>
      <c r="JUR40" s="822"/>
      <c r="JUS40" s="822"/>
      <c r="JUT40" s="822"/>
      <c r="JUU40" s="822"/>
      <c r="JUV40" s="822"/>
      <c r="JUW40" s="822"/>
      <c r="JUX40" s="822"/>
      <c r="JUY40" s="822"/>
      <c r="JUZ40" s="822"/>
      <c r="JVA40" s="822"/>
      <c r="JVB40" s="822"/>
      <c r="JVC40" s="822"/>
      <c r="JVD40" s="822"/>
      <c r="JVE40" s="822"/>
      <c r="JVF40" s="822"/>
      <c r="JVG40" s="822"/>
      <c r="JVH40" s="822"/>
      <c r="JVI40" s="822"/>
      <c r="JVJ40" s="822"/>
      <c r="JVK40" s="822"/>
      <c r="JVL40" s="822"/>
      <c r="JVM40" s="822"/>
      <c r="JVN40" s="822"/>
      <c r="JVO40" s="822"/>
      <c r="JVP40" s="822"/>
      <c r="JVQ40" s="822"/>
      <c r="JVR40" s="822"/>
      <c r="JVS40" s="822"/>
      <c r="JVT40" s="822"/>
      <c r="JVU40" s="822"/>
      <c r="JVV40" s="822"/>
      <c r="JVW40" s="822"/>
      <c r="JVX40" s="822"/>
      <c r="JVY40" s="822"/>
      <c r="JVZ40" s="822"/>
      <c r="JWA40" s="822"/>
      <c r="JWB40" s="822"/>
      <c r="JWC40" s="822"/>
      <c r="JWD40" s="822"/>
      <c r="JWE40" s="822"/>
      <c r="JWF40" s="822"/>
      <c r="JWG40" s="822"/>
      <c r="JWH40" s="822"/>
      <c r="JWI40" s="822"/>
      <c r="JWJ40" s="822"/>
      <c r="JWK40" s="822"/>
      <c r="JWL40" s="822"/>
      <c r="JWM40" s="822"/>
      <c r="JWN40" s="822"/>
      <c r="JWO40" s="822"/>
      <c r="JWP40" s="822"/>
      <c r="JWQ40" s="822"/>
      <c r="JWR40" s="822"/>
      <c r="JWS40" s="822"/>
      <c r="JWT40" s="822"/>
      <c r="JWU40" s="822"/>
      <c r="JWV40" s="822"/>
      <c r="JWW40" s="822"/>
      <c r="JWX40" s="822"/>
      <c r="JWY40" s="822"/>
      <c r="JWZ40" s="822"/>
      <c r="JXA40" s="822"/>
      <c r="JXB40" s="822"/>
      <c r="JXC40" s="822"/>
      <c r="JXD40" s="822"/>
      <c r="JXE40" s="822"/>
      <c r="JXF40" s="822"/>
      <c r="JXG40" s="822"/>
      <c r="JXH40" s="822"/>
      <c r="JXI40" s="822"/>
      <c r="JXJ40" s="822"/>
      <c r="JXK40" s="822"/>
      <c r="JXL40" s="822"/>
      <c r="JXM40" s="822"/>
      <c r="JXN40" s="822"/>
      <c r="JXO40" s="822"/>
      <c r="JXP40" s="822"/>
      <c r="JXQ40" s="822"/>
      <c r="JXR40" s="822"/>
      <c r="JXS40" s="822"/>
      <c r="JXT40" s="822"/>
      <c r="JXU40" s="822"/>
      <c r="JXV40" s="822"/>
      <c r="JXW40" s="822"/>
      <c r="JXX40" s="822"/>
      <c r="JXY40" s="822"/>
      <c r="JXZ40" s="822"/>
      <c r="JYA40" s="822"/>
      <c r="JYB40" s="822"/>
      <c r="JYC40" s="822"/>
      <c r="JYD40" s="822"/>
      <c r="JYE40" s="822"/>
      <c r="JYF40" s="822"/>
      <c r="JYG40" s="822"/>
      <c r="JYH40" s="822"/>
      <c r="JYI40" s="822"/>
      <c r="JYJ40" s="822"/>
      <c r="JYK40" s="822"/>
      <c r="JYL40" s="822"/>
      <c r="JYM40" s="822"/>
      <c r="JYN40" s="822"/>
      <c r="JYO40" s="822"/>
      <c r="JYP40" s="822"/>
      <c r="JYQ40" s="822"/>
      <c r="JYR40" s="822"/>
      <c r="JYS40" s="822"/>
      <c r="JYT40" s="822"/>
      <c r="JYU40" s="822"/>
      <c r="JYV40" s="822"/>
      <c r="JYW40" s="822"/>
      <c r="JYX40" s="822"/>
      <c r="JYY40" s="822"/>
      <c r="JYZ40" s="822"/>
      <c r="JZA40" s="822"/>
      <c r="JZB40" s="822"/>
      <c r="JZC40" s="822"/>
      <c r="JZD40" s="822"/>
      <c r="JZE40" s="822"/>
      <c r="JZF40" s="822"/>
      <c r="JZG40" s="822"/>
      <c r="JZH40" s="822"/>
      <c r="JZI40" s="822"/>
      <c r="JZJ40" s="822"/>
      <c r="JZK40" s="822"/>
      <c r="JZL40" s="822"/>
      <c r="JZM40" s="822"/>
      <c r="JZN40" s="822"/>
      <c r="JZO40" s="822"/>
      <c r="JZP40" s="822"/>
      <c r="JZQ40" s="822"/>
      <c r="JZR40" s="822"/>
      <c r="JZS40" s="822"/>
      <c r="JZT40" s="822"/>
      <c r="JZU40" s="822"/>
      <c r="JZV40" s="822"/>
      <c r="JZW40" s="822"/>
      <c r="JZX40" s="822"/>
      <c r="JZY40" s="822"/>
      <c r="JZZ40" s="822"/>
      <c r="KAA40" s="822"/>
      <c r="KAB40" s="822"/>
      <c r="KAC40" s="822"/>
      <c r="KAD40" s="822"/>
      <c r="KAE40" s="822"/>
      <c r="KAF40" s="822"/>
      <c r="KAG40" s="822"/>
      <c r="KAH40" s="822"/>
      <c r="KAI40" s="822"/>
      <c r="KAJ40" s="822"/>
      <c r="KAK40" s="822"/>
      <c r="KAL40" s="822"/>
      <c r="KAM40" s="822"/>
      <c r="KAN40" s="822"/>
      <c r="KAO40" s="822"/>
      <c r="KAP40" s="822"/>
      <c r="KAQ40" s="822"/>
      <c r="KAR40" s="822"/>
      <c r="KAS40" s="822"/>
      <c r="KAT40" s="822"/>
      <c r="KAU40" s="822"/>
      <c r="KAV40" s="822"/>
      <c r="KAW40" s="822"/>
      <c r="KAX40" s="822"/>
      <c r="KAY40" s="822"/>
      <c r="KAZ40" s="822"/>
      <c r="KBA40" s="822"/>
      <c r="KBB40" s="822"/>
      <c r="KBC40" s="822"/>
      <c r="KBD40" s="822"/>
      <c r="KBE40" s="822"/>
      <c r="KBF40" s="822"/>
      <c r="KBG40" s="822"/>
      <c r="KBH40" s="822"/>
      <c r="KBI40" s="822"/>
      <c r="KBJ40" s="822"/>
      <c r="KBK40" s="822"/>
      <c r="KBL40" s="822"/>
      <c r="KBM40" s="822"/>
      <c r="KBN40" s="822"/>
      <c r="KBO40" s="822"/>
      <c r="KBP40" s="822"/>
      <c r="KBQ40" s="822"/>
      <c r="KBR40" s="822"/>
      <c r="KBS40" s="822"/>
      <c r="KBT40" s="822"/>
      <c r="KBU40" s="822"/>
      <c r="KBV40" s="822"/>
      <c r="KBW40" s="822"/>
      <c r="KBX40" s="822"/>
      <c r="KBY40" s="822"/>
      <c r="KBZ40" s="822"/>
      <c r="KCA40" s="822"/>
      <c r="KCB40" s="822"/>
      <c r="KCC40" s="822"/>
      <c r="KCD40" s="822"/>
      <c r="KCE40" s="822"/>
      <c r="KCF40" s="822"/>
      <c r="KCG40" s="822"/>
      <c r="KCH40" s="822"/>
      <c r="KCI40" s="822"/>
      <c r="KCJ40" s="822"/>
      <c r="KCK40" s="822"/>
      <c r="KCL40" s="822"/>
      <c r="KCM40" s="822"/>
      <c r="KCN40" s="822"/>
      <c r="KCO40" s="822"/>
      <c r="KCP40" s="822"/>
      <c r="KCQ40" s="822"/>
      <c r="KCR40" s="822"/>
      <c r="KCS40" s="822"/>
      <c r="KCT40" s="822"/>
      <c r="KCU40" s="822"/>
      <c r="KCV40" s="822"/>
      <c r="KCW40" s="822"/>
      <c r="KCX40" s="822"/>
      <c r="KCY40" s="822"/>
      <c r="KCZ40" s="822"/>
      <c r="KDA40" s="822"/>
      <c r="KDB40" s="822"/>
      <c r="KDC40" s="822"/>
      <c r="KDD40" s="822"/>
      <c r="KDE40" s="822"/>
      <c r="KDF40" s="822"/>
      <c r="KDG40" s="822"/>
      <c r="KDH40" s="822"/>
      <c r="KDI40" s="822"/>
      <c r="KDJ40" s="822"/>
      <c r="KDK40" s="822"/>
      <c r="KDL40" s="822"/>
      <c r="KDM40" s="822"/>
      <c r="KDN40" s="822"/>
      <c r="KDO40" s="822"/>
      <c r="KDP40" s="822"/>
      <c r="KDQ40" s="822"/>
      <c r="KDR40" s="822"/>
      <c r="KDS40" s="822"/>
      <c r="KDT40" s="822"/>
      <c r="KDU40" s="822"/>
      <c r="KDV40" s="822"/>
      <c r="KDW40" s="822"/>
      <c r="KDX40" s="822"/>
      <c r="KDY40" s="822"/>
      <c r="KDZ40" s="822"/>
      <c r="KEA40" s="822"/>
      <c r="KEB40" s="822"/>
      <c r="KEC40" s="822"/>
      <c r="KED40" s="822"/>
      <c r="KEE40" s="822"/>
      <c r="KEF40" s="822"/>
      <c r="KEG40" s="822"/>
      <c r="KEH40" s="822"/>
      <c r="KEI40" s="822"/>
      <c r="KEJ40" s="822"/>
      <c r="KEK40" s="822"/>
      <c r="KEL40" s="822"/>
      <c r="KEM40" s="822"/>
      <c r="KEN40" s="822"/>
      <c r="KEO40" s="822"/>
      <c r="KEP40" s="822"/>
      <c r="KEQ40" s="822"/>
      <c r="KER40" s="822"/>
      <c r="KES40" s="822"/>
      <c r="KET40" s="822"/>
      <c r="KEU40" s="822"/>
      <c r="KEV40" s="822"/>
      <c r="KEW40" s="822"/>
      <c r="KEX40" s="822"/>
      <c r="KEY40" s="822"/>
      <c r="KEZ40" s="822"/>
      <c r="KFA40" s="822"/>
      <c r="KFB40" s="822"/>
      <c r="KFC40" s="822"/>
      <c r="KFD40" s="822"/>
      <c r="KFE40" s="822"/>
      <c r="KFF40" s="822"/>
      <c r="KFG40" s="822"/>
      <c r="KFH40" s="822"/>
      <c r="KFI40" s="822"/>
      <c r="KFJ40" s="822"/>
      <c r="KFK40" s="822"/>
      <c r="KFL40" s="822"/>
      <c r="KFM40" s="822"/>
      <c r="KFN40" s="822"/>
      <c r="KFO40" s="822"/>
      <c r="KFP40" s="822"/>
      <c r="KFQ40" s="822"/>
      <c r="KFR40" s="822"/>
      <c r="KFS40" s="822"/>
      <c r="KFT40" s="822"/>
      <c r="KFU40" s="822"/>
      <c r="KFV40" s="822"/>
      <c r="KFW40" s="822"/>
      <c r="KFX40" s="822"/>
      <c r="KFY40" s="822"/>
      <c r="KFZ40" s="822"/>
      <c r="KGA40" s="822"/>
      <c r="KGB40" s="822"/>
      <c r="KGC40" s="822"/>
      <c r="KGD40" s="822"/>
      <c r="KGE40" s="822"/>
      <c r="KGF40" s="822"/>
      <c r="KGG40" s="822"/>
      <c r="KGH40" s="822"/>
      <c r="KGI40" s="822"/>
      <c r="KGJ40" s="822"/>
      <c r="KGK40" s="822"/>
      <c r="KGL40" s="822"/>
      <c r="KGM40" s="822"/>
      <c r="KGN40" s="822"/>
      <c r="KGO40" s="822"/>
      <c r="KGP40" s="822"/>
      <c r="KGQ40" s="822"/>
      <c r="KGR40" s="822"/>
      <c r="KGS40" s="822"/>
      <c r="KGT40" s="822"/>
      <c r="KGU40" s="822"/>
      <c r="KGV40" s="822"/>
      <c r="KGW40" s="822"/>
      <c r="KGX40" s="822"/>
      <c r="KGY40" s="822"/>
      <c r="KGZ40" s="822"/>
      <c r="KHA40" s="822"/>
      <c r="KHB40" s="822"/>
      <c r="KHC40" s="822"/>
      <c r="KHD40" s="822"/>
      <c r="KHE40" s="822"/>
      <c r="KHF40" s="822"/>
      <c r="KHG40" s="822"/>
      <c r="KHH40" s="822"/>
      <c r="KHI40" s="822"/>
      <c r="KHJ40" s="822"/>
      <c r="KHK40" s="822"/>
      <c r="KHL40" s="822"/>
      <c r="KHM40" s="822"/>
      <c r="KHN40" s="822"/>
      <c r="KHO40" s="822"/>
      <c r="KHP40" s="822"/>
      <c r="KHQ40" s="822"/>
      <c r="KHR40" s="822"/>
      <c r="KHS40" s="822"/>
      <c r="KHT40" s="822"/>
      <c r="KHU40" s="822"/>
      <c r="KHV40" s="822"/>
      <c r="KHW40" s="822"/>
      <c r="KHX40" s="822"/>
      <c r="KHY40" s="822"/>
      <c r="KHZ40" s="822"/>
      <c r="KIA40" s="822"/>
      <c r="KIB40" s="822"/>
      <c r="KIC40" s="822"/>
      <c r="KID40" s="822"/>
      <c r="KIE40" s="822"/>
      <c r="KIF40" s="822"/>
      <c r="KIG40" s="822"/>
      <c r="KIH40" s="822"/>
      <c r="KII40" s="822"/>
      <c r="KIJ40" s="822"/>
      <c r="KIK40" s="822"/>
      <c r="KIL40" s="822"/>
      <c r="KIM40" s="822"/>
      <c r="KIN40" s="822"/>
      <c r="KIO40" s="822"/>
      <c r="KIP40" s="822"/>
      <c r="KIQ40" s="822"/>
      <c r="KIR40" s="822"/>
      <c r="KIS40" s="822"/>
      <c r="KIT40" s="822"/>
      <c r="KIU40" s="822"/>
      <c r="KIV40" s="822"/>
      <c r="KIW40" s="822"/>
      <c r="KIX40" s="822"/>
      <c r="KIY40" s="822"/>
      <c r="KIZ40" s="822"/>
      <c r="KJA40" s="822"/>
      <c r="KJB40" s="822"/>
      <c r="KJC40" s="822"/>
      <c r="KJD40" s="822"/>
      <c r="KJE40" s="822"/>
      <c r="KJF40" s="822"/>
      <c r="KJG40" s="822"/>
      <c r="KJH40" s="822"/>
      <c r="KJI40" s="822"/>
      <c r="KJJ40" s="822"/>
      <c r="KJK40" s="822"/>
      <c r="KJL40" s="822"/>
      <c r="KJM40" s="822"/>
      <c r="KJN40" s="822"/>
      <c r="KJO40" s="822"/>
      <c r="KJP40" s="822"/>
      <c r="KJQ40" s="822"/>
      <c r="KJR40" s="822"/>
      <c r="KJS40" s="822"/>
      <c r="KJT40" s="822"/>
      <c r="KJU40" s="822"/>
      <c r="KJV40" s="822"/>
      <c r="KJW40" s="822"/>
      <c r="KJX40" s="822"/>
      <c r="KJY40" s="822"/>
      <c r="KJZ40" s="822"/>
      <c r="KKA40" s="822"/>
      <c r="KKB40" s="822"/>
      <c r="KKC40" s="822"/>
      <c r="KKD40" s="822"/>
      <c r="KKE40" s="822"/>
      <c r="KKF40" s="822"/>
      <c r="KKG40" s="822"/>
      <c r="KKH40" s="822"/>
      <c r="KKI40" s="822"/>
      <c r="KKJ40" s="822"/>
      <c r="KKK40" s="822"/>
      <c r="KKL40" s="822"/>
      <c r="KKM40" s="822"/>
      <c r="KKN40" s="822"/>
      <c r="KKO40" s="822"/>
      <c r="KKP40" s="822"/>
      <c r="KKQ40" s="822"/>
      <c r="KKR40" s="822"/>
      <c r="KKS40" s="822"/>
      <c r="KKT40" s="822"/>
      <c r="KKU40" s="822"/>
      <c r="KKV40" s="822"/>
      <c r="KKW40" s="822"/>
      <c r="KKX40" s="822"/>
      <c r="KKY40" s="822"/>
      <c r="KKZ40" s="822"/>
      <c r="KLA40" s="822"/>
      <c r="KLB40" s="822"/>
      <c r="KLC40" s="822"/>
      <c r="KLD40" s="822"/>
      <c r="KLE40" s="822"/>
      <c r="KLF40" s="822"/>
      <c r="KLG40" s="822"/>
      <c r="KLH40" s="822"/>
      <c r="KLI40" s="822"/>
      <c r="KLJ40" s="822"/>
      <c r="KLK40" s="822"/>
      <c r="KLL40" s="822"/>
      <c r="KLM40" s="822"/>
      <c r="KLN40" s="822"/>
      <c r="KLO40" s="822"/>
      <c r="KLP40" s="822"/>
      <c r="KLQ40" s="822"/>
      <c r="KLR40" s="822"/>
      <c r="KLS40" s="822"/>
      <c r="KLT40" s="822"/>
      <c r="KLU40" s="822"/>
      <c r="KLV40" s="822"/>
      <c r="KLW40" s="822"/>
      <c r="KLX40" s="822"/>
      <c r="KLY40" s="822"/>
      <c r="KLZ40" s="822"/>
      <c r="KMA40" s="822"/>
      <c r="KMB40" s="822"/>
      <c r="KMC40" s="822"/>
      <c r="KMD40" s="822"/>
      <c r="KME40" s="822"/>
      <c r="KMF40" s="822"/>
      <c r="KMG40" s="822"/>
      <c r="KMH40" s="822"/>
      <c r="KMI40" s="822"/>
      <c r="KMJ40" s="822"/>
      <c r="KMK40" s="822"/>
      <c r="KML40" s="822"/>
      <c r="KMM40" s="822"/>
      <c r="KMN40" s="822"/>
      <c r="KMO40" s="822"/>
      <c r="KMP40" s="822"/>
      <c r="KMQ40" s="822"/>
      <c r="KMR40" s="822"/>
      <c r="KMS40" s="822"/>
      <c r="KMT40" s="822"/>
      <c r="KMU40" s="822"/>
      <c r="KMV40" s="822"/>
      <c r="KMW40" s="822"/>
      <c r="KMX40" s="822"/>
      <c r="KMY40" s="822"/>
      <c r="KMZ40" s="822"/>
      <c r="KNA40" s="822"/>
      <c r="KNB40" s="822"/>
      <c r="KNC40" s="822"/>
      <c r="KND40" s="822"/>
      <c r="KNE40" s="822"/>
      <c r="KNF40" s="822"/>
      <c r="KNG40" s="822"/>
      <c r="KNH40" s="822"/>
      <c r="KNI40" s="822"/>
      <c r="KNJ40" s="822"/>
      <c r="KNK40" s="822"/>
      <c r="KNL40" s="822"/>
      <c r="KNM40" s="822"/>
      <c r="KNN40" s="822"/>
      <c r="KNO40" s="822"/>
      <c r="KNP40" s="822"/>
      <c r="KNQ40" s="822"/>
      <c r="KNR40" s="822"/>
      <c r="KNS40" s="822"/>
      <c r="KNT40" s="822"/>
      <c r="KNU40" s="822"/>
      <c r="KNV40" s="822"/>
      <c r="KNW40" s="822"/>
      <c r="KNX40" s="822"/>
      <c r="KNY40" s="822"/>
      <c r="KNZ40" s="822"/>
      <c r="KOA40" s="822"/>
      <c r="KOB40" s="822"/>
      <c r="KOC40" s="822"/>
      <c r="KOD40" s="822"/>
      <c r="KOE40" s="822"/>
      <c r="KOF40" s="822"/>
      <c r="KOG40" s="822"/>
      <c r="KOH40" s="822"/>
      <c r="KOI40" s="822"/>
      <c r="KOJ40" s="822"/>
      <c r="KOK40" s="822"/>
      <c r="KOL40" s="822"/>
      <c r="KOM40" s="822"/>
      <c r="KON40" s="822"/>
      <c r="KOO40" s="822"/>
      <c r="KOP40" s="822"/>
      <c r="KOQ40" s="822"/>
      <c r="KOR40" s="822"/>
      <c r="KOS40" s="822"/>
      <c r="KOT40" s="822"/>
      <c r="KOU40" s="822"/>
      <c r="KOV40" s="822"/>
      <c r="KOW40" s="822"/>
      <c r="KOX40" s="822"/>
      <c r="KOY40" s="822"/>
      <c r="KOZ40" s="822"/>
      <c r="KPA40" s="822"/>
      <c r="KPB40" s="822"/>
      <c r="KPC40" s="822"/>
      <c r="KPD40" s="822"/>
      <c r="KPE40" s="822"/>
      <c r="KPF40" s="822"/>
      <c r="KPG40" s="822"/>
      <c r="KPH40" s="822"/>
      <c r="KPI40" s="822"/>
      <c r="KPJ40" s="822"/>
      <c r="KPK40" s="822"/>
      <c r="KPL40" s="822"/>
      <c r="KPM40" s="822"/>
      <c r="KPN40" s="822"/>
      <c r="KPO40" s="822"/>
      <c r="KPP40" s="822"/>
      <c r="KPQ40" s="822"/>
      <c r="KPR40" s="822"/>
      <c r="KPS40" s="822"/>
      <c r="KPT40" s="822"/>
      <c r="KPU40" s="822"/>
      <c r="KPV40" s="822"/>
      <c r="KPW40" s="822"/>
      <c r="KPX40" s="822"/>
      <c r="KPY40" s="822"/>
      <c r="KPZ40" s="822"/>
      <c r="KQA40" s="822"/>
      <c r="KQB40" s="822"/>
      <c r="KQC40" s="822"/>
      <c r="KQD40" s="822"/>
      <c r="KQE40" s="822"/>
      <c r="KQF40" s="822"/>
      <c r="KQG40" s="822"/>
      <c r="KQH40" s="822"/>
      <c r="KQI40" s="822"/>
      <c r="KQJ40" s="822"/>
      <c r="KQK40" s="822"/>
      <c r="KQL40" s="822"/>
      <c r="KQM40" s="822"/>
      <c r="KQN40" s="822"/>
      <c r="KQO40" s="822"/>
      <c r="KQP40" s="822"/>
      <c r="KQQ40" s="822"/>
      <c r="KQR40" s="822"/>
      <c r="KQS40" s="822"/>
      <c r="KQT40" s="822"/>
      <c r="KQU40" s="822"/>
      <c r="KQV40" s="822"/>
      <c r="KQW40" s="822"/>
      <c r="KQX40" s="822"/>
      <c r="KQY40" s="822"/>
      <c r="KQZ40" s="822"/>
      <c r="KRA40" s="822"/>
      <c r="KRB40" s="822"/>
      <c r="KRC40" s="822"/>
      <c r="KRD40" s="822"/>
      <c r="KRE40" s="822"/>
      <c r="KRF40" s="822"/>
      <c r="KRG40" s="822"/>
      <c r="KRH40" s="822"/>
      <c r="KRI40" s="822"/>
      <c r="KRJ40" s="822"/>
      <c r="KRK40" s="822"/>
      <c r="KRL40" s="822"/>
      <c r="KRM40" s="822"/>
      <c r="KRN40" s="822"/>
      <c r="KRO40" s="822"/>
      <c r="KRP40" s="822"/>
      <c r="KRQ40" s="822"/>
      <c r="KRR40" s="822"/>
      <c r="KRS40" s="822"/>
      <c r="KRT40" s="822"/>
      <c r="KRU40" s="822"/>
      <c r="KRV40" s="822"/>
      <c r="KRW40" s="822"/>
      <c r="KRX40" s="822"/>
      <c r="KRY40" s="822"/>
      <c r="KRZ40" s="822"/>
      <c r="KSA40" s="822"/>
      <c r="KSB40" s="822"/>
      <c r="KSC40" s="822"/>
      <c r="KSD40" s="822"/>
      <c r="KSE40" s="822"/>
      <c r="KSF40" s="822"/>
      <c r="KSG40" s="822"/>
      <c r="KSH40" s="822"/>
      <c r="KSI40" s="822"/>
      <c r="KSJ40" s="822"/>
      <c r="KSK40" s="822"/>
      <c r="KSL40" s="822"/>
      <c r="KSM40" s="822"/>
      <c r="KSN40" s="822"/>
      <c r="KSO40" s="822"/>
      <c r="KSP40" s="822"/>
      <c r="KSQ40" s="822"/>
      <c r="KSR40" s="822"/>
      <c r="KSS40" s="822"/>
      <c r="KST40" s="822"/>
      <c r="KSU40" s="822"/>
      <c r="KSV40" s="822"/>
      <c r="KSW40" s="822"/>
      <c r="KSX40" s="822"/>
      <c r="KSY40" s="822"/>
      <c r="KSZ40" s="822"/>
      <c r="KTA40" s="822"/>
      <c r="KTB40" s="822"/>
      <c r="KTC40" s="822"/>
      <c r="KTD40" s="822"/>
      <c r="KTE40" s="822"/>
      <c r="KTF40" s="822"/>
      <c r="KTG40" s="822"/>
      <c r="KTH40" s="822"/>
      <c r="KTI40" s="822"/>
      <c r="KTJ40" s="822"/>
      <c r="KTK40" s="822"/>
      <c r="KTL40" s="822"/>
      <c r="KTM40" s="822"/>
      <c r="KTN40" s="822"/>
      <c r="KTO40" s="822"/>
      <c r="KTP40" s="822"/>
      <c r="KTQ40" s="822"/>
      <c r="KTR40" s="822"/>
      <c r="KTS40" s="822"/>
      <c r="KTT40" s="822"/>
      <c r="KTU40" s="822"/>
      <c r="KTV40" s="822"/>
      <c r="KTW40" s="822"/>
      <c r="KTX40" s="822"/>
      <c r="KTY40" s="822"/>
      <c r="KTZ40" s="822"/>
      <c r="KUA40" s="822"/>
      <c r="KUB40" s="822"/>
      <c r="KUC40" s="822"/>
      <c r="KUD40" s="822"/>
      <c r="KUE40" s="822"/>
      <c r="KUF40" s="822"/>
      <c r="KUG40" s="822"/>
      <c r="KUH40" s="822"/>
      <c r="KUI40" s="822"/>
      <c r="KUJ40" s="822"/>
      <c r="KUK40" s="822"/>
      <c r="KUL40" s="822"/>
      <c r="KUM40" s="822"/>
      <c r="KUN40" s="822"/>
      <c r="KUO40" s="822"/>
      <c r="KUP40" s="822"/>
      <c r="KUQ40" s="822"/>
      <c r="KUR40" s="822"/>
      <c r="KUS40" s="822"/>
      <c r="KUT40" s="822"/>
      <c r="KUU40" s="822"/>
      <c r="KUV40" s="822"/>
      <c r="KUW40" s="822"/>
      <c r="KUX40" s="822"/>
      <c r="KUY40" s="822"/>
      <c r="KUZ40" s="822"/>
      <c r="KVA40" s="822"/>
      <c r="KVB40" s="822"/>
      <c r="KVC40" s="822"/>
      <c r="KVD40" s="822"/>
      <c r="KVE40" s="822"/>
      <c r="KVF40" s="822"/>
      <c r="KVG40" s="822"/>
      <c r="KVH40" s="822"/>
      <c r="KVI40" s="822"/>
      <c r="KVJ40" s="822"/>
      <c r="KVK40" s="822"/>
      <c r="KVL40" s="822"/>
      <c r="KVM40" s="822"/>
      <c r="KVN40" s="822"/>
      <c r="KVO40" s="822"/>
      <c r="KVP40" s="822"/>
      <c r="KVQ40" s="822"/>
      <c r="KVR40" s="822"/>
      <c r="KVS40" s="822"/>
      <c r="KVT40" s="822"/>
      <c r="KVU40" s="822"/>
      <c r="KVV40" s="822"/>
      <c r="KVW40" s="822"/>
      <c r="KVX40" s="822"/>
      <c r="KVY40" s="822"/>
      <c r="KVZ40" s="822"/>
      <c r="KWA40" s="822"/>
      <c r="KWB40" s="822"/>
      <c r="KWC40" s="822"/>
      <c r="KWD40" s="822"/>
      <c r="KWE40" s="822"/>
      <c r="KWF40" s="822"/>
      <c r="KWG40" s="822"/>
      <c r="KWH40" s="822"/>
      <c r="KWI40" s="822"/>
      <c r="KWJ40" s="822"/>
      <c r="KWK40" s="822"/>
      <c r="KWL40" s="822"/>
      <c r="KWM40" s="822"/>
      <c r="KWN40" s="822"/>
      <c r="KWO40" s="822"/>
      <c r="KWP40" s="822"/>
      <c r="KWQ40" s="822"/>
      <c r="KWR40" s="822"/>
      <c r="KWS40" s="822"/>
      <c r="KWT40" s="822"/>
      <c r="KWU40" s="822"/>
      <c r="KWV40" s="822"/>
      <c r="KWW40" s="822"/>
      <c r="KWX40" s="822"/>
      <c r="KWY40" s="822"/>
      <c r="KWZ40" s="822"/>
      <c r="KXA40" s="822"/>
      <c r="KXB40" s="822"/>
      <c r="KXC40" s="822"/>
      <c r="KXD40" s="822"/>
      <c r="KXE40" s="822"/>
      <c r="KXF40" s="822"/>
      <c r="KXG40" s="822"/>
      <c r="KXH40" s="822"/>
      <c r="KXI40" s="822"/>
      <c r="KXJ40" s="822"/>
      <c r="KXK40" s="822"/>
      <c r="KXL40" s="822"/>
      <c r="KXM40" s="822"/>
      <c r="KXN40" s="822"/>
      <c r="KXO40" s="822"/>
      <c r="KXP40" s="822"/>
      <c r="KXQ40" s="822"/>
      <c r="KXR40" s="822"/>
      <c r="KXS40" s="822"/>
      <c r="KXT40" s="822"/>
      <c r="KXU40" s="822"/>
      <c r="KXV40" s="822"/>
      <c r="KXW40" s="822"/>
      <c r="KXX40" s="822"/>
      <c r="KXY40" s="822"/>
      <c r="KXZ40" s="822"/>
      <c r="KYA40" s="822"/>
      <c r="KYB40" s="822"/>
      <c r="KYC40" s="822"/>
      <c r="KYD40" s="822"/>
      <c r="KYE40" s="822"/>
      <c r="KYF40" s="822"/>
      <c r="KYG40" s="822"/>
      <c r="KYH40" s="822"/>
      <c r="KYI40" s="822"/>
      <c r="KYJ40" s="822"/>
      <c r="KYK40" s="822"/>
      <c r="KYL40" s="822"/>
      <c r="KYM40" s="822"/>
      <c r="KYN40" s="822"/>
      <c r="KYO40" s="822"/>
      <c r="KYP40" s="822"/>
      <c r="KYQ40" s="822"/>
      <c r="KYR40" s="822"/>
      <c r="KYS40" s="822"/>
      <c r="KYT40" s="822"/>
      <c r="KYU40" s="822"/>
      <c r="KYV40" s="822"/>
      <c r="KYW40" s="822"/>
      <c r="KYX40" s="822"/>
      <c r="KYY40" s="822"/>
      <c r="KYZ40" s="822"/>
      <c r="KZA40" s="822"/>
      <c r="KZB40" s="822"/>
      <c r="KZC40" s="822"/>
      <c r="KZD40" s="822"/>
      <c r="KZE40" s="822"/>
      <c r="KZF40" s="822"/>
      <c r="KZG40" s="822"/>
      <c r="KZH40" s="822"/>
      <c r="KZI40" s="822"/>
      <c r="KZJ40" s="822"/>
      <c r="KZK40" s="822"/>
      <c r="KZL40" s="822"/>
      <c r="KZM40" s="822"/>
      <c r="KZN40" s="822"/>
      <c r="KZO40" s="822"/>
      <c r="KZP40" s="822"/>
      <c r="KZQ40" s="822"/>
      <c r="KZR40" s="822"/>
      <c r="KZS40" s="822"/>
      <c r="KZT40" s="822"/>
      <c r="KZU40" s="822"/>
      <c r="KZV40" s="822"/>
      <c r="KZW40" s="822"/>
      <c r="KZX40" s="822"/>
      <c r="KZY40" s="822"/>
      <c r="KZZ40" s="822"/>
      <c r="LAA40" s="822"/>
      <c r="LAB40" s="822"/>
      <c r="LAC40" s="822"/>
      <c r="LAD40" s="822"/>
      <c r="LAE40" s="822"/>
      <c r="LAF40" s="822"/>
      <c r="LAG40" s="822"/>
      <c r="LAH40" s="822"/>
      <c r="LAI40" s="822"/>
      <c r="LAJ40" s="822"/>
      <c r="LAK40" s="822"/>
      <c r="LAL40" s="822"/>
      <c r="LAM40" s="822"/>
      <c r="LAN40" s="822"/>
      <c r="LAO40" s="822"/>
      <c r="LAP40" s="822"/>
      <c r="LAQ40" s="822"/>
      <c r="LAR40" s="822"/>
      <c r="LAS40" s="822"/>
      <c r="LAT40" s="822"/>
      <c r="LAU40" s="822"/>
      <c r="LAV40" s="822"/>
      <c r="LAW40" s="822"/>
      <c r="LAX40" s="822"/>
      <c r="LAY40" s="822"/>
      <c r="LAZ40" s="822"/>
      <c r="LBA40" s="822"/>
      <c r="LBB40" s="822"/>
      <c r="LBC40" s="822"/>
      <c r="LBD40" s="822"/>
      <c r="LBE40" s="822"/>
      <c r="LBF40" s="822"/>
      <c r="LBG40" s="822"/>
      <c r="LBH40" s="822"/>
      <c r="LBI40" s="822"/>
      <c r="LBJ40" s="822"/>
      <c r="LBK40" s="822"/>
      <c r="LBL40" s="822"/>
      <c r="LBM40" s="822"/>
      <c r="LBN40" s="822"/>
      <c r="LBO40" s="822"/>
      <c r="LBP40" s="822"/>
      <c r="LBQ40" s="822"/>
      <c r="LBR40" s="822"/>
      <c r="LBS40" s="822"/>
      <c r="LBT40" s="822"/>
      <c r="LBU40" s="822"/>
      <c r="LBV40" s="822"/>
      <c r="LBW40" s="822"/>
      <c r="LBX40" s="822"/>
      <c r="LBY40" s="822"/>
      <c r="LBZ40" s="822"/>
      <c r="LCA40" s="822"/>
      <c r="LCB40" s="822"/>
      <c r="LCC40" s="822"/>
      <c r="LCD40" s="822"/>
      <c r="LCE40" s="822"/>
      <c r="LCF40" s="822"/>
      <c r="LCG40" s="822"/>
      <c r="LCH40" s="822"/>
      <c r="LCI40" s="822"/>
      <c r="LCJ40" s="822"/>
      <c r="LCK40" s="822"/>
      <c r="LCL40" s="822"/>
      <c r="LCM40" s="822"/>
      <c r="LCN40" s="822"/>
      <c r="LCO40" s="822"/>
      <c r="LCP40" s="822"/>
      <c r="LCQ40" s="822"/>
      <c r="LCR40" s="822"/>
      <c r="LCS40" s="822"/>
      <c r="LCT40" s="822"/>
      <c r="LCU40" s="822"/>
      <c r="LCV40" s="822"/>
      <c r="LCW40" s="822"/>
      <c r="LCX40" s="822"/>
      <c r="LCY40" s="822"/>
      <c r="LCZ40" s="822"/>
      <c r="LDA40" s="822"/>
      <c r="LDB40" s="822"/>
      <c r="LDC40" s="822"/>
      <c r="LDD40" s="822"/>
      <c r="LDE40" s="822"/>
      <c r="LDF40" s="822"/>
      <c r="LDG40" s="822"/>
      <c r="LDH40" s="822"/>
      <c r="LDI40" s="822"/>
      <c r="LDJ40" s="822"/>
      <c r="LDK40" s="822"/>
      <c r="LDL40" s="822"/>
      <c r="LDM40" s="822"/>
      <c r="LDN40" s="822"/>
      <c r="LDO40" s="822"/>
      <c r="LDP40" s="822"/>
      <c r="LDQ40" s="822"/>
      <c r="LDR40" s="822"/>
      <c r="LDS40" s="822"/>
      <c r="LDT40" s="822"/>
      <c r="LDU40" s="822"/>
      <c r="LDV40" s="822"/>
      <c r="LDW40" s="822"/>
      <c r="LDX40" s="822"/>
      <c r="LDY40" s="822"/>
      <c r="LDZ40" s="822"/>
      <c r="LEA40" s="822"/>
      <c r="LEB40" s="822"/>
      <c r="LEC40" s="822"/>
      <c r="LED40" s="822"/>
      <c r="LEE40" s="822"/>
      <c r="LEF40" s="822"/>
      <c r="LEG40" s="822"/>
      <c r="LEH40" s="822"/>
      <c r="LEI40" s="822"/>
      <c r="LEJ40" s="822"/>
      <c r="LEK40" s="822"/>
      <c r="LEL40" s="822"/>
      <c r="LEM40" s="822"/>
      <c r="LEN40" s="822"/>
      <c r="LEO40" s="822"/>
      <c r="LEP40" s="822"/>
      <c r="LEQ40" s="822"/>
      <c r="LER40" s="822"/>
      <c r="LES40" s="822"/>
      <c r="LET40" s="822"/>
      <c r="LEU40" s="822"/>
      <c r="LEV40" s="822"/>
      <c r="LEW40" s="822"/>
      <c r="LEX40" s="822"/>
      <c r="LEY40" s="822"/>
      <c r="LEZ40" s="822"/>
      <c r="LFA40" s="822"/>
      <c r="LFB40" s="822"/>
      <c r="LFC40" s="822"/>
      <c r="LFD40" s="822"/>
      <c r="LFE40" s="822"/>
      <c r="LFF40" s="822"/>
      <c r="LFG40" s="822"/>
      <c r="LFH40" s="822"/>
      <c r="LFI40" s="822"/>
      <c r="LFJ40" s="822"/>
      <c r="LFK40" s="822"/>
      <c r="LFL40" s="822"/>
      <c r="LFM40" s="822"/>
      <c r="LFN40" s="822"/>
      <c r="LFO40" s="822"/>
      <c r="LFP40" s="822"/>
      <c r="LFQ40" s="822"/>
      <c r="LFR40" s="822"/>
      <c r="LFS40" s="822"/>
      <c r="LFT40" s="822"/>
      <c r="LFU40" s="822"/>
      <c r="LFV40" s="822"/>
      <c r="LFW40" s="822"/>
      <c r="LFX40" s="822"/>
      <c r="LFY40" s="822"/>
      <c r="LFZ40" s="822"/>
      <c r="LGA40" s="822"/>
      <c r="LGB40" s="822"/>
      <c r="LGC40" s="822"/>
      <c r="LGD40" s="822"/>
      <c r="LGE40" s="822"/>
      <c r="LGF40" s="822"/>
      <c r="LGG40" s="822"/>
      <c r="LGH40" s="822"/>
      <c r="LGI40" s="822"/>
      <c r="LGJ40" s="822"/>
      <c r="LGK40" s="822"/>
      <c r="LGL40" s="822"/>
      <c r="LGM40" s="822"/>
      <c r="LGN40" s="822"/>
      <c r="LGO40" s="822"/>
      <c r="LGP40" s="822"/>
      <c r="LGQ40" s="822"/>
      <c r="LGR40" s="822"/>
      <c r="LGS40" s="822"/>
      <c r="LGT40" s="822"/>
      <c r="LGU40" s="822"/>
      <c r="LGV40" s="822"/>
      <c r="LGW40" s="822"/>
      <c r="LGX40" s="822"/>
      <c r="LGY40" s="822"/>
      <c r="LGZ40" s="822"/>
      <c r="LHA40" s="822"/>
      <c r="LHB40" s="822"/>
      <c r="LHC40" s="822"/>
      <c r="LHD40" s="822"/>
      <c r="LHE40" s="822"/>
      <c r="LHF40" s="822"/>
      <c r="LHG40" s="822"/>
      <c r="LHH40" s="822"/>
      <c r="LHI40" s="822"/>
      <c r="LHJ40" s="822"/>
      <c r="LHK40" s="822"/>
      <c r="LHL40" s="822"/>
      <c r="LHM40" s="822"/>
      <c r="LHN40" s="822"/>
      <c r="LHO40" s="822"/>
      <c r="LHP40" s="822"/>
      <c r="LHQ40" s="822"/>
      <c r="LHR40" s="822"/>
      <c r="LHS40" s="822"/>
      <c r="LHT40" s="822"/>
      <c r="LHU40" s="822"/>
      <c r="LHV40" s="822"/>
      <c r="LHW40" s="822"/>
      <c r="LHX40" s="822"/>
      <c r="LHY40" s="822"/>
      <c r="LHZ40" s="822"/>
      <c r="LIA40" s="822"/>
      <c r="LIB40" s="822"/>
      <c r="LIC40" s="822"/>
      <c r="LID40" s="822"/>
      <c r="LIE40" s="822"/>
      <c r="LIF40" s="822"/>
      <c r="LIG40" s="822"/>
      <c r="LIH40" s="822"/>
      <c r="LII40" s="822"/>
      <c r="LIJ40" s="822"/>
      <c r="LIK40" s="822"/>
      <c r="LIL40" s="822"/>
      <c r="LIM40" s="822"/>
      <c r="LIN40" s="822"/>
      <c r="LIO40" s="822"/>
      <c r="LIP40" s="822"/>
      <c r="LIQ40" s="822"/>
      <c r="LIR40" s="822"/>
      <c r="LIS40" s="822"/>
      <c r="LIT40" s="822"/>
      <c r="LIU40" s="822"/>
      <c r="LIV40" s="822"/>
      <c r="LIW40" s="822"/>
      <c r="LIX40" s="822"/>
      <c r="LIY40" s="822"/>
      <c r="LIZ40" s="822"/>
      <c r="LJA40" s="822"/>
      <c r="LJB40" s="822"/>
      <c r="LJC40" s="822"/>
      <c r="LJD40" s="822"/>
      <c r="LJE40" s="822"/>
      <c r="LJF40" s="822"/>
      <c r="LJG40" s="822"/>
      <c r="LJH40" s="822"/>
      <c r="LJI40" s="822"/>
      <c r="LJJ40" s="822"/>
      <c r="LJK40" s="822"/>
      <c r="LJL40" s="822"/>
      <c r="LJM40" s="822"/>
      <c r="LJN40" s="822"/>
      <c r="LJO40" s="822"/>
      <c r="LJP40" s="822"/>
      <c r="LJQ40" s="822"/>
      <c r="LJR40" s="822"/>
      <c r="LJS40" s="822"/>
      <c r="LJT40" s="822"/>
      <c r="LJU40" s="822"/>
      <c r="LJV40" s="822"/>
      <c r="LJW40" s="822"/>
      <c r="LJX40" s="822"/>
      <c r="LJY40" s="822"/>
      <c r="LJZ40" s="822"/>
      <c r="LKA40" s="822"/>
      <c r="LKB40" s="822"/>
      <c r="LKC40" s="822"/>
      <c r="LKD40" s="822"/>
      <c r="LKE40" s="822"/>
      <c r="LKF40" s="822"/>
      <c r="LKG40" s="822"/>
      <c r="LKH40" s="822"/>
      <c r="LKI40" s="822"/>
      <c r="LKJ40" s="822"/>
      <c r="LKK40" s="822"/>
      <c r="LKL40" s="822"/>
      <c r="LKM40" s="822"/>
      <c r="LKN40" s="822"/>
      <c r="LKO40" s="822"/>
      <c r="LKP40" s="822"/>
      <c r="LKQ40" s="822"/>
      <c r="LKR40" s="822"/>
      <c r="LKS40" s="822"/>
      <c r="LKT40" s="822"/>
      <c r="LKU40" s="822"/>
      <c r="LKV40" s="822"/>
      <c r="LKW40" s="822"/>
      <c r="LKX40" s="822"/>
      <c r="LKY40" s="822"/>
      <c r="LKZ40" s="822"/>
      <c r="LLA40" s="822"/>
      <c r="LLB40" s="822"/>
      <c r="LLC40" s="822"/>
      <c r="LLD40" s="822"/>
      <c r="LLE40" s="822"/>
      <c r="LLF40" s="822"/>
      <c r="LLG40" s="822"/>
      <c r="LLH40" s="822"/>
      <c r="LLI40" s="822"/>
      <c r="LLJ40" s="822"/>
      <c r="LLK40" s="822"/>
      <c r="LLL40" s="822"/>
      <c r="LLM40" s="822"/>
      <c r="LLN40" s="822"/>
      <c r="LLO40" s="822"/>
      <c r="LLP40" s="822"/>
      <c r="LLQ40" s="822"/>
      <c r="LLR40" s="822"/>
      <c r="LLS40" s="822"/>
      <c r="LLT40" s="822"/>
      <c r="LLU40" s="822"/>
      <c r="LLV40" s="822"/>
      <c r="LLW40" s="822"/>
      <c r="LLX40" s="822"/>
      <c r="LLY40" s="822"/>
      <c r="LLZ40" s="822"/>
      <c r="LMA40" s="822"/>
      <c r="LMB40" s="822"/>
      <c r="LMC40" s="822"/>
      <c r="LMD40" s="822"/>
      <c r="LME40" s="822"/>
      <c r="LMF40" s="822"/>
      <c r="LMG40" s="822"/>
      <c r="LMH40" s="822"/>
      <c r="LMI40" s="822"/>
      <c r="LMJ40" s="822"/>
      <c r="LMK40" s="822"/>
      <c r="LML40" s="822"/>
      <c r="LMM40" s="822"/>
      <c r="LMN40" s="822"/>
      <c r="LMO40" s="822"/>
      <c r="LMP40" s="822"/>
      <c r="LMQ40" s="822"/>
      <c r="LMR40" s="822"/>
      <c r="LMS40" s="822"/>
      <c r="LMT40" s="822"/>
      <c r="LMU40" s="822"/>
      <c r="LMV40" s="822"/>
      <c r="LMW40" s="822"/>
      <c r="LMX40" s="822"/>
      <c r="LMY40" s="822"/>
      <c r="LMZ40" s="822"/>
      <c r="LNA40" s="822"/>
      <c r="LNB40" s="822"/>
      <c r="LNC40" s="822"/>
      <c r="LND40" s="822"/>
      <c r="LNE40" s="822"/>
      <c r="LNF40" s="822"/>
      <c r="LNG40" s="822"/>
      <c r="LNH40" s="822"/>
      <c r="LNI40" s="822"/>
      <c r="LNJ40" s="822"/>
      <c r="LNK40" s="822"/>
      <c r="LNL40" s="822"/>
      <c r="LNM40" s="822"/>
      <c r="LNN40" s="822"/>
      <c r="LNO40" s="822"/>
      <c r="LNP40" s="822"/>
      <c r="LNQ40" s="822"/>
      <c r="LNR40" s="822"/>
      <c r="LNS40" s="822"/>
      <c r="LNT40" s="822"/>
      <c r="LNU40" s="822"/>
      <c r="LNV40" s="822"/>
      <c r="LNW40" s="822"/>
      <c r="LNX40" s="822"/>
      <c r="LNY40" s="822"/>
      <c r="LNZ40" s="822"/>
      <c r="LOA40" s="822"/>
      <c r="LOB40" s="822"/>
      <c r="LOC40" s="822"/>
      <c r="LOD40" s="822"/>
      <c r="LOE40" s="822"/>
      <c r="LOF40" s="822"/>
      <c r="LOG40" s="822"/>
      <c r="LOH40" s="822"/>
      <c r="LOI40" s="822"/>
      <c r="LOJ40" s="822"/>
      <c r="LOK40" s="822"/>
      <c r="LOL40" s="822"/>
      <c r="LOM40" s="822"/>
      <c r="LON40" s="822"/>
      <c r="LOO40" s="822"/>
      <c r="LOP40" s="822"/>
      <c r="LOQ40" s="822"/>
      <c r="LOR40" s="822"/>
      <c r="LOS40" s="822"/>
      <c r="LOT40" s="822"/>
      <c r="LOU40" s="822"/>
      <c r="LOV40" s="822"/>
      <c r="LOW40" s="822"/>
      <c r="LOX40" s="822"/>
      <c r="LOY40" s="822"/>
      <c r="LOZ40" s="822"/>
      <c r="LPA40" s="822"/>
      <c r="LPB40" s="822"/>
      <c r="LPC40" s="822"/>
      <c r="LPD40" s="822"/>
      <c r="LPE40" s="822"/>
      <c r="LPF40" s="822"/>
      <c r="LPG40" s="822"/>
      <c r="LPH40" s="822"/>
      <c r="LPI40" s="822"/>
      <c r="LPJ40" s="822"/>
      <c r="LPK40" s="822"/>
      <c r="LPL40" s="822"/>
      <c r="LPM40" s="822"/>
      <c r="LPN40" s="822"/>
      <c r="LPO40" s="822"/>
      <c r="LPP40" s="822"/>
      <c r="LPQ40" s="822"/>
      <c r="LPR40" s="822"/>
      <c r="LPS40" s="822"/>
      <c r="LPT40" s="822"/>
      <c r="LPU40" s="822"/>
      <c r="LPV40" s="822"/>
      <c r="LPW40" s="822"/>
      <c r="LPX40" s="822"/>
      <c r="LPY40" s="822"/>
      <c r="LPZ40" s="822"/>
      <c r="LQA40" s="822"/>
      <c r="LQB40" s="822"/>
      <c r="LQC40" s="822"/>
      <c r="LQD40" s="822"/>
      <c r="LQE40" s="822"/>
      <c r="LQF40" s="822"/>
      <c r="LQG40" s="822"/>
      <c r="LQH40" s="822"/>
      <c r="LQI40" s="822"/>
      <c r="LQJ40" s="822"/>
      <c r="LQK40" s="822"/>
      <c r="LQL40" s="822"/>
      <c r="LQM40" s="822"/>
      <c r="LQN40" s="822"/>
      <c r="LQO40" s="822"/>
      <c r="LQP40" s="822"/>
      <c r="LQQ40" s="822"/>
      <c r="LQR40" s="822"/>
      <c r="LQS40" s="822"/>
      <c r="LQT40" s="822"/>
      <c r="LQU40" s="822"/>
      <c r="LQV40" s="822"/>
      <c r="LQW40" s="822"/>
      <c r="LQX40" s="822"/>
      <c r="LQY40" s="822"/>
      <c r="LQZ40" s="822"/>
      <c r="LRA40" s="822"/>
      <c r="LRB40" s="822"/>
      <c r="LRC40" s="822"/>
      <c r="LRD40" s="822"/>
      <c r="LRE40" s="822"/>
      <c r="LRF40" s="822"/>
      <c r="LRG40" s="822"/>
      <c r="LRH40" s="822"/>
      <c r="LRI40" s="822"/>
      <c r="LRJ40" s="822"/>
      <c r="LRK40" s="822"/>
      <c r="LRL40" s="822"/>
      <c r="LRM40" s="822"/>
      <c r="LRN40" s="822"/>
      <c r="LRO40" s="822"/>
      <c r="LRP40" s="822"/>
      <c r="LRQ40" s="822"/>
      <c r="LRR40" s="822"/>
      <c r="LRS40" s="822"/>
      <c r="LRT40" s="822"/>
      <c r="LRU40" s="822"/>
      <c r="LRV40" s="822"/>
      <c r="LRW40" s="822"/>
      <c r="LRX40" s="822"/>
      <c r="LRY40" s="822"/>
      <c r="LRZ40" s="822"/>
      <c r="LSA40" s="822"/>
      <c r="LSB40" s="822"/>
      <c r="LSC40" s="822"/>
      <c r="LSD40" s="822"/>
      <c r="LSE40" s="822"/>
      <c r="LSF40" s="822"/>
      <c r="LSG40" s="822"/>
      <c r="LSH40" s="822"/>
      <c r="LSI40" s="822"/>
      <c r="LSJ40" s="822"/>
      <c r="LSK40" s="822"/>
      <c r="LSL40" s="822"/>
      <c r="LSM40" s="822"/>
      <c r="LSN40" s="822"/>
      <c r="LSO40" s="822"/>
      <c r="LSP40" s="822"/>
      <c r="LSQ40" s="822"/>
      <c r="LSR40" s="822"/>
      <c r="LSS40" s="822"/>
      <c r="LST40" s="822"/>
      <c r="LSU40" s="822"/>
      <c r="LSV40" s="822"/>
      <c r="LSW40" s="822"/>
      <c r="LSX40" s="822"/>
      <c r="LSY40" s="822"/>
      <c r="LSZ40" s="822"/>
      <c r="LTA40" s="822"/>
      <c r="LTB40" s="822"/>
      <c r="LTC40" s="822"/>
      <c r="LTD40" s="822"/>
      <c r="LTE40" s="822"/>
      <c r="LTF40" s="822"/>
      <c r="LTG40" s="822"/>
      <c r="LTH40" s="822"/>
      <c r="LTI40" s="822"/>
      <c r="LTJ40" s="822"/>
      <c r="LTK40" s="822"/>
      <c r="LTL40" s="822"/>
      <c r="LTM40" s="822"/>
      <c r="LTN40" s="822"/>
      <c r="LTO40" s="822"/>
      <c r="LTP40" s="822"/>
      <c r="LTQ40" s="822"/>
      <c r="LTR40" s="822"/>
      <c r="LTS40" s="822"/>
      <c r="LTT40" s="822"/>
      <c r="LTU40" s="822"/>
      <c r="LTV40" s="822"/>
      <c r="LTW40" s="822"/>
      <c r="LTX40" s="822"/>
      <c r="LTY40" s="822"/>
      <c r="LTZ40" s="822"/>
      <c r="LUA40" s="822"/>
      <c r="LUB40" s="822"/>
      <c r="LUC40" s="822"/>
      <c r="LUD40" s="822"/>
      <c r="LUE40" s="822"/>
      <c r="LUF40" s="822"/>
      <c r="LUG40" s="822"/>
      <c r="LUH40" s="822"/>
      <c r="LUI40" s="822"/>
      <c r="LUJ40" s="822"/>
      <c r="LUK40" s="822"/>
      <c r="LUL40" s="822"/>
      <c r="LUM40" s="822"/>
      <c r="LUN40" s="822"/>
      <c r="LUO40" s="822"/>
      <c r="LUP40" s="822"/>
      <c r="LUQ40" s="822"/>
      <c r="LUR40" s="822"/>
      <c r="LUS40" s="822"/>
      <c r="LUT40" s="822"/>
      <c r="LUU40" s="822"/>
      <c r="LUV40" s="822"/>
      <c r="LUW40" s="822"/>
      <c r="LUX40" s="822"/>
      <c r="LUY40" s="822"/>
      <c r="LUZ40" s="822"/>
      <c r="LVA40" s="822"/>
      <c r="LVB40" s="822"/>
      <c r="LVC40" s="822"/>
      <c r="LVD40" s="822"/>
      <c r="LVE40" s="822"/>
      <c r="LVF40" s="822"/>
      <c r="LVG40" s="822"/>
      <c r="LVH40" s="822"/>
      <c r="LVI40" s="822"/>
      <c r="LVJ40" s="822"/>
      <c r="LVK40" s="822"/>
      <c r="LVL40" s="822"/>
      <c r="LVM40" s="822"/>
      <c r="LVN40" s="822"/>
      <c r="LVO40" s="822"/>
      <c r="LVP40" s="822"/>
      <c r="LVQ40" s="822"/>
      <c r="LVR40" s="822"/>
      <c r="LVS40" s="822"/>
      <c r="LVT40" s="822"/>
      <c r="LVU40" s="822"/>
      <c r="LVV40" s="822"/>
      <c r="LVW40" s="822"/>
      <c r="LVX40" s="822"/>
      <c r="LVY40" s="822"/>
      <c r="LVZ40" s="822"/>
      <c r="LWA40" s="822"/>
      <c r="LWB40" s="822"/>
      <c r="LWC40" s="822"/>
      <c r="LWD40" s="822"/>
      <c r="LWE40" s="822"/>
      <c r="LWF40" s="822"/>
      <c r="LWG40" s="822"/>
      <c r="LWH40" s="822"/>
      <c r="LWI40" s="822"/>
      <c r="LWJ40" s="822"/>
      <c r="LWK40" s="822"/>
      <c r="LWL40" s="822"/>
      <c r="LWM40" s="822"/>
      <c r="LWN40" s="822"/>
      <c r="LWO40" s="822"/>
      <c r="LWP40" s="822"/>
      <c r="LWQ40" s="822"/>
      <c r="LWR40" s="822"/>
      <c r="LWS40" s="822"/>
      <c r="LWT40" s="822"/>
      <c r="LWU40" s="822"/>
      <c r="LWV40" s="822"/>
      <c r="LWW40" s="822"/>
      <c r="LWX40" s="822"/>
      <c r="LWY40" s="822"/>
      <c r="LWZ40" s="822"/>
      <c r="LXA40" s="822"/>
      <c r="LXB40" s="822"/>
      <c r="LXC40" s="822"/>
      <c r="LXD40" s="822"/>
      <c r="LXE40" s="822"/>
      <c r="LXF40" s="822"/>
      <c r="LXG40" s="822"/>
      <c r="LXH40" s="822"/>
      <c r="LXI40" s="822"/>
      <c r="LXJ40" s="822"/>
      <c r="LXK40" s="822"/>
      <c r="LXL40" s="822"/>
      <c r="LXM40" s="822"/>
      <c r="LXN40" s="822"/>
      <c r="LXO40" s="822"/>
      <c r="LXP40" s="822"/>
      <c r="LXQ40" s="822"/>
      <c r="LXR40" s="822"/>
      <c r="LXS40" s="822"/>
      <c r="LXT40" s="822"/>
      <c r="LXU40" s="822"/>
      <c r="LXV40" s="822"/>
      <c r="LXW40" s="822"/>
      <c r="LXX40" s="822"/>
      <c r="LXY40" s="822"/>
      <c r="LXZ40" s="822"/>
      <c r="LYA40" s="822"/>
      <c r="LYB40" s="822"/>
      <c r="LYC40" s="822"/>
      <c r="LYD40" s="822"/>
      <c r="LYE40" s="822"/>
      <c r="LYF40" s="822"/>
      <c r="LYG40" s="822"/>
      <c r="LYH40" s="822"/>
      <c r="LYI40" s="822"/>
      <c r="LYJ40" s="822"/>
      <c r="LYK40" s="822"/>
      <c r="LYL40" s="822"/>
      <c r="LYM40" s="822"/>
      <c r="LYN40" s="822"/>
      <c r="LYO40" s="822"/>
      <c r="LYP40" s="822"/>
      <c r="LYQ40" s="822"/>
      <c r="LYR40" s="822"/>
      <c r="LYS40" s="822"/>
      <c r="LYT40" s="822"/>
      <c r="LYU40" s="822"/>
      <c r="LYV40" s="822"/>
      <c r="LYW40" s="822"/>
      <c r="LYX40" s="822"/>
      <c r="LYY40" s="822"/>
      <c r="LYZ40" s="822"/>
      <c r="LZA40" s="822"/>
      <c r="LZB40" s="822"/>
      <c r="LZC40" s="822"/>
      <c r="LZD40" s="822"/>
      <c r="LZE40" s="822"/>
      <c r="LZF40" s="822"/>
      <c r="LZG40" s="822"/>
      <c r="LZH40" s="822"/>
      <c r="LZI40" s="822"/>
      <c r="LZJ40" s="822"/>
      <c r="LZK40" s="822"/>
      <c r="LZL40" s="822"/>
      <c r="LZM40" s="822"/>
      <c r="LZN40" s="822"/>
      <c r="LZO40" s="822"/>
      <c r="LZP40" s="822"/>
      <c r="LZQ40" s="822"/>
      <c r="LZR40" s="822"/>
      <c r="LZS40" s="822"/>
      <c r="LZT40" s="822"/>
      <c r="LZU40" s="822"/>
      <c r="LZV40" s="822"/>
      <c r="LZW40" s="822"/>
      <c r="LZX40" s="822"/>
      <c r="LZY40" s="822"/>
      <c r="LZZ40" s="822"/>
      <c r="MAA40" s="822"/>
      <c r="MAB40" s="822"/>
      <c r="MAC40" s="822"/>
      <c r="MAD40" s="822"/>
      <c r="MAE40" s="822"/>
      <c r="MAF40" s="822"/>
      <c r="MAG40" s="822"/>
      <c r="MAH40" s="822"/>
      <c r="MAI40" s="822"/>
      <c r="MAJ40" s="822"/>
      <c r="MAK40" s="822"/>
      <c r="MAL40" s="822"/>
      <c r="MAM40" s="822"/>
      <c r="MAN40" s="822"/>
      <c r="MAO40" s="822"/>
      <c r="MAP40" s="822"/>
      <c r="MAQ40" s="822"/>
      <c r="MAR40" s="822"/>
      <c r="MAS40" s="822"/>
      <c r="MAT40" s="822"/>
      <c r="MAU40" s="822"/>
      <c r="MAV40" s="822"/>
      <c r="MAW40" s="822"/>
      <c r="MAX40" s="822"/>
      <c r="MAY40" s="822"/>
      <c r="MAZ40" s="822"/>
      <c r="MBA40" s="822"/>
      <c r="MBB40" s="822"/>
      <c r="MBC40" s="822"/>
      <c r="MBD40" s="822"/>
      <c r="MBE40" s="822"/>
      <c r="MBF40" s="822"/>
      <c r="MBG40" s="822"/>
      <c r="MBH40" s="822"/>
      <c r="MBI40" s="822"/>
      <c r="MBJ40" s="822"/>
      <c r="MBK40" s="822"/>
      <c r="MBL40" s="822"/>
      <c r="MBM40" s="822"/>
      <c r="MBN40" s="822"/>
      <c r="MBO40" s="822"/>
      <c r="MBP40" s="822"/>
      <c r="MBQ40" s="822"/>
      <c r="MBR40" s="822"/>
      <c r="MBS40" s="822"/>
      <c r="MBT40" s="822"/>
      <c r="MBU40" s="822"/>
      <c r="MBV40" s="822"/>
      <c r="MBW40" s="822"/>
      <c r="MBX40" s="822"/>
      <c r="MBY40" s="822"/>
      <c r="MBZ40" s="822"/>
      <c r="MCA40" s="822"/>
      <c r="MCB40" s="822"/>
      <c r="MCC40" s="822"/>
      <c r="MCD40" s="822"/>
      <c r="MCE40" s="822"/>
      <c r="MCF40" s="822"/>
      <c r="MCG40" s="822"/>
      <c r="MCH40" s="822"/>
      <c r="MCI40" s="822"/>
      <c r="MCJ40" s="822"/>
      <c r="MCK40" s="822"/>
      <c r="MCL40" s="822"/>
      <c r="MCM40" s="822"/>
      <c r="MCN40" s="822"/>
      <c r="MCO40" s="822"/>
      <c r="MCP40" s="822"/>
      <c r="MCQ40" s="822"/>
      <c r="MCR40" s="822"/>
      <c r="MCS40" s="822"/>
      <c r="MCT40" s="822"/>
      <c r="MCU40" s="822"/>
      <c r="MCV40" s="822"/>
      <c r="MCW40" s="822"/>
      <c r="MCX40" s="822"/>
      <c r="MCY40" s="822"/>
      <c r="MCZ40" s="822"/>
      <c r="MDA40" s="822"/>
      <c r="MDB40" s="822"/>
      <c r="MDC40" s="822"/>
      <c r="MDD40" s="822"/>
      <c r="MDE40" s="822"/>
      <c r="MDF40" s="822"/>
      <c r="MDG40" s="822"/>
      <c r="MDH40" s="822"/>
      <c r="MDI40" s="822"/>
      <c r="MDJ40" s="822"/>
      <c r="MDK40" s="822"/>
      <c r="MDL40" s="822"/>
      <c r="MDM40" s="822"/>
      <c r="MDN40" s="822"/>
      <c r="MDO40" s="822"/>
      <c r="MDP40" s="822"/>
      <c r="MDQ40" s="822"/>
      <c r="MDR40" s="822"/>
      <c r="MDS40" s="822"/>
      <c r="MDT40" s="822"/>
      <c r="MDU40" s="822"/>
      <c r="MDV40" s="822"/>
      <c r="MDW40" s="822"/>
      <c r="MDX40" s="822"/>
      <c r="MDY40" s="822"/>
      <c r="MDZ40" s="822"/>
      <c r="MEA40" s="822"/>
      <c r="MEB40" s="822"/>
      <c r="MEC40" s="822"/>
      <c r="MED40" s="822"/>
      <c r="MEE40" s="822"/>
      <c r="MEF40" s="822"/>
      <c r="MEG40" s="822"/>
      <c r="MEH40" s="822"/>
      <c r="MEI40" s="822"/>
      <c r="MEJ40" s="822"/>
      <c r="MEK40" s="822"/>
      <c r="MEL40" s="822"/>
      <c r="MEM40" s="822"/>
      <c r="MEN40" s="822"/>
      <c r="MEO40" s="822"/>
      <c r="MEP40" s="822"/>
      <c r="MEQ40" s="822"/>
      <c r="MER40" s="822"/>
      <c r="MES40" s="822"/>
      <c r="MET40" s="822"/>
      <c r="MEU40" s="822"/>
      <c r="MEV40" s="822"/>
      <c r="MEW40" s="822"/>
      <c r="MEX40" s="822"/>
      <c r="MEY40" s="822"/>
      <c r="MEZ40" s="822"/>
      <c r="MFA40" s="822"/>
      <c r="MFB40" s="822"/>
      <c r="MFC40" s="822"/>
      <c r="MFD40" s="822"/>
      <c r="MFE40" s="822"/>
      <c r="MFF40" s="822"/>
      <c r="MFG40" s="822"/>
      <c r="MFH40" s="822"/>
      <c r="MFI40" s="822"/>
      <c r="MFJ40" s="822"/>
      <c r="MFK40" s="822"/>
      <c r="MFL40" s="822"/>
      <c r="MFM40" s="822"/>
      <c r="MFN40" s="822"/>
      <c r="MFO40" s="822"/>
      <c r="MFP40" s="822"/>
      <c r="MFQ40" s="822"/>
      <c r="MFR40" s="822"/>
      <c r="MFS40" s="822"/>
      <c r="MFT40" s="822"/>
      <c r="MFU40" s="822"/>
      <c r="MFV40" s="822"/>
      <c r="MFW40" s="822"/>
      <c r="MFX40" s="822"/>
      <c r="MFY40" s="822"/>
      <c r="MFZ40" s="822"/>
      <c r="MGA40" s="822"/>
      <c r="MGB40" s="822"/>
      <c r="MGC40" s="822"/>
      <c r="MGD40" s="822"/>
      <c r="MGE40" s="822"/>
      <c r="MGF40" s="822"/>
      <c r="MGG40" s="822"/>
      <c r="MGH40" s="822"/>
      <c r="MGI40" s="822"/>
      <c r="MGJ40" s="822"/>
      <c r="MGK40" s="822"/>
      <c r="MGL40" s="822"/>
      <c r="MGM40" s="822"/>
      <c r="MGN40" s="822"/>
      <c r="MGO40" s="822"/>
      <c r="MGP40" s="822"/>
      <c r="MGQ40" s="822"/>
      <c r="MGR40" s="822"/>
      <c r="MGS40" s="822"/>
      <c r="MGT40" s="822"/>
      <c r="MGU40" s="822"/>
      <c r="MGV40" s="822"/>
      <c r="MGW40" s="822"/>
      <c r="MGX40" s="822"/>
      <c r="MGY40" s="822"/>
      <c r="MGZ40" s="822"/>
      <c r="MHA40" s="822"/>
      <c r="MHB40" s="822"/>
      <c r="MHC40" s="822"/>
      <c r="MHD40" s="822"/>
      <c r="MHE40" s="822"/>
      <c r="MHF40" s="822"/>
      <c r="MHG40" s="822"/>
      <c r="MHH40" s="822"/>
      <c r="MHI40" s="822"/>
      <c r="MHJ40" s="822"/>
      <c r="MHK40" s="822"/>
      <c r="MHL40" s="822"/>
      <c r="MHM40" s="822"/>
      <c r="MHN40" s="822"/>
      <c r="MHO40" s="822"/>
      <c r="MHP40" s="822"/>
      <c r="MHQ40" s="822"/>
      <c r="MHR40" s="822"/>
      <c r="MHS40" s="822"/>
      <c r="MHT40" s="822"/>
      <c r="MHU40" s="822"/>
      <c r="MHV40" s="822"/>
      <c r="MHW40" s="822"/>
      <c r="MHX40" s="822"/>
      <c r="MHY40" s="822"/>
      <c r="MHZ40" s="822"/>
      <c r="MIA40" s="822"/>
      <c r="MIB40" s="822"/>
      <c r="MIC40" s="822"/>
      <c r="MID40" s="822"/>
      <c r="MIE40" s="822"/>
      <c r="MIF40" s="822"/>
      <c r="MIG40" s="822"/>
      <c r="MIH40" s="822"/>
      <c r="MII40" s="822"/>
      <c r="MIJ40" s="822"/>
      <c r="MIK40" s="822"/>
      <c r="MIL40" s="822"/>
      <c r="MIM40" s="822"/>
      <c r="MIN40" s="822"/>
      <c r="MIO40" s="822"/>
      <c r="MIP40" s="822"/>
      <c r="MIQ40" s="822"/>
      <c r="MIR40" s="822"/>
      <c r="MIS40" s="822"/>
      <c r="MIT40" s="822"/>
      <c r="MIU40" s="822"/>
      <c r="MIV40" s="822"/>
      <c r="MIW40" s="822"/>
      <c r="MIX40" s="822"/>
      <c r="MIY40" s="822"/>
      <c r="MIZ40" s="822"/>
      <c r="MJA40" s="822"/>
      <c r="MJB40" s="822"/>
      <c r="MJC40" s="822"/>
      <c r="MJD40" s="822"/>
      <c r="MJE40" s="822"/>
      <c r="MJF40" s="822"/>
      <c r="MJG40" s="822"/>
      <c r="MJH40" s="822"/>
      <c r="MJI40" s="822"/>
      <c r="MJJ40" s="822"/>
      <c r="MJK40" s="822"/>
      <c r="MJL40" s="822"/>
      <c r="MJM40" s="822"/>
      <c r="MJN40" s="822"/>
      <c r="MJO40" s="822"/>
      <c r="MJP40" s="822"/>
      <c r="MJQ40" s="822"/>
      <c r="MJR40" s="822"/>
      <c r="MJS40" s="822"/>
      <c r="MJT40" s="822"/>
      <c r="MJU40" s="822"/>
      <c r="MJV40" s="822"/>
      <c r="MJW40" s="822"/>
      <c r="MJX40" s="822"/>
      <c r="MJY40" s="822"/>
      <c r="MJZ40" s="822"/>
      <c r="MKA40" s="822"/>
      <c r="MKB40" s="822"/>
      <c r="MKC40" s="822"/>
      <c r="MKD40" s="822"/>
      <c r="MKE40" s="822"/>
      <c r="MKF40" s="822"/>
      <c r="MKG40" s="822"/>
      <c r="MKH40" s="822"/>
      <c r="MKI40" s="822"/>
      <c r="MKJ40" s="822"/>
      <c r="MKK40" s="822"/>
      <c r="MKL40" s="822"/>
      <c r="MKM40" s="822"/>
      <c r="MKN40" s="822"/>
      <c r="MKO40" s="822"/>
      <c r="MKP40" s="822"/>
      <c r="MKQ40" s="822"/>
      <c r="MKR40" s="822"/>
      <c r="MKS40" s="822"/>
      <c r="MKT40" s="822"/>
      <c r="MKU40" s="822"/>
      <c r="MKV40" s="822"/>
      <c r="MKW40" s="822"/>
      <c r="MKX40" s="822"/>
      <c r="MKY40" s="822"/>
      <c r="MKZ40" s="822"/>
      <c r="MLA40" s="822"/>
      <c r="MLB40" s="822"/>
      <c r="MLC40" s="822"/>
      <c r="MLD40" s="822"/>
      <c r="MLE40" s="822"/>
      <c r="MLF40" s="822"/>
      <c r="MLG40" s="822"/>
      <c r="MLH40" s="822"/>
      <c r="MLI40" s="822"/>
      <c r="MLJ40" s="822"/>
      <c r="MLK40" s="822"/>
      <c r="MLL40" s="822"/>
      <c r="MLM40" s="822"/>
      <c r="MLN40" s="822"/>
      <c r="MLO40" s="822"/>
      <c r="MLP40" s="822"/>
      <c r="MLQ40" s="822"/>
      <c r="MLR40" s="822"/>
      <c r="MLS40" s="822"/>
      <c r="MLT40" s="822"/>
      <c r="MLU40" s="822"/>
      <c r="MLV40" s="822"/>
      <c r="MLW40" s="822"/>
      <c r="MLX40" s="822"/>
      <c r="MLY40" s="822"/>
      <c r="MLZ40" s="822"/>
      <c r="MMA40" s="822"/>
      <c r="MMB40" s="822"/>
      <c r="MMC40" s="822"/>
      <c r="MMD40" s="822"/>
      <c r="MME40" s="822"/>
      <c r="MMF40" s="822"/>
      <c r="MMG40" s="822"/>
      <c r="MMH40" s="822"/>
      <c r="MMI40" s="822"/>
      <c r="MMJ40" s="822"/>
      <c r="MMK40" s="822"/>
      <c r="MML40" s="822"/>
      <c r="MMM40" s="822"/>
      <c r="MMN40" s="822"/>
      <c r="MMO40" s="822"/>
      <c r="MMP40" s="822"/>
      <c r="MMQ40" s="822"/>
      <c r="MMR40" s="822"/>
      <c r="MMS40" s="822"/>
      <c r="MMT40" s="822"/>
      <c r="MMU40" s="822"/>
      <c r="MMV40" s="822"/>
      <c r="MMW40" s="822"/>
      <c r="MMX40" s="822"/>
      <c r="MMY40" s="822"/>
      <c r="MMZ40" s="822"/>
      <c r="MNA40" s="822"/>
      <c r="MNB40" s="822"/>
      <c r="MNC40" s="822"/>
      <c r="MND40" s="822"/>
      <c r="MNE40" s="822"/>
      <c r="MNF40" s="822"/>
      <c r="MNG40" s="822"/>
      <c r="MNH40" s="822"/>
      <c r="MNI40" s="822"/>
      <c r="MNJ40" s="822"/>
      <c r="MNK40" s="822"/>
      <c r="MNL40" s="822"/>
      <c r="MNM40" s="822"/>
      <c r="MNN40" s="822"/>
      <c r="MNO40" s="822"/>
      <c r="MNP40" s="822"/>
      <c r="MNQ40" s="822"/>
      <c r="MNR40" s="822"/>
      <c r="MNS40" s="822"/>
      <c r="MNT40" s="822"/>
      <c r="MNU40" s="822"/>
      <c r="MNV40" s="822"/>
      <c r="MNW40" s="822"/>
      <c r="MNX40" s="822"/>
      <c r="MNY40" s="822"/>
      <c r="MNZ40" s="822"/>
      <c r="MOA40" s="822"/>
      <c r="MOB40" s="822"/>
      <c r="MOC40" s="822"/>
      <c r="MOD40" s="822"/>
      <c r="MOE40" s="822"/>
      <c r="MOF40" s="822"/>
      <c r="MOG40" s="822"/>
      <c r="MOH40" s="822"/>
      <c r="MOI40" s="822"/>
      <c r="MOJ40" s="822"/>
      <c r="MOK40" s="822"/>
      <c r="MOL40" s="822"/>
      <c r="MOM40" s="822"/>
      <c r="MON40" s="822"/>
      <c r="MOO40" s="822"/>
      <c r="MOP40" s="822"/>
      <c r="MOQ40" s="822"/>
      <c r="MOR40" s="822"/>
      <c r="MOS40" s="822"/>
      <c r="MOT40" s="822"/>
      <c r="MOU40" s="822"/>
      <c r="MOV40" s="822"/>
      <c r="MOW40" s="822"/>
      <c r="MOX40" s="822"/>
      <c r="MOY40" s="822"/>
      <c r="MOZ40" s="822"/>
      <c r="MPA40" s="822"/>
      <c r="MPB40" s="822"/>
      <c r="MPC40" s="822"/>
      <c r="MPD40" s="822"/>
      <c r="MPE40" s="822"/>
      <c r="MPF40" s="822"/>
      <c r="MPG40" s="822"/>
      <c r="MPH40" s="822"/>
      <c r="MPI40" s="822"/>
      <c r="MPJ40" s="822"/>
      <c r="MPK40" s="822"/>
      <c r="MPL40" s="822"/>
      <c r="MPM40" s="822"/>
      <c r="MPN40" s="822"/>
      <c r="MPO40" s="822"/>
      <c r="MPP40" s="822"/>
      <c r="MPQ40" s="822"/>
      <c r="MPR40" s="822"/>
      <c r="MPS40" s="822"/>
      <c r="MPT40" s="822"/>
      <c r="MPU40" s="822"/>
      <c r="MPV40" s="822"/>
      <c r="MPW40" s="822"/>
      <c r="MPX40" s="822"/>
      <c r="MPY40" s="822"/>
      <c r="MPZ40" s="822"/>
      <c r="MQA40" s="822"/>
      <c r="MQB40" s="822"/>
      <c r="MQC40" s="822"/>
      <c r="MQD40" s="822"/>
      <c r="MQE40" s="822"/>
      <c r="MQF40" s="822"/>
      <c r="MQG40" s="822"/>
      <c r="MQH40" s="822"/>
      <c r="MQI40" s="822"/>
      <c r="MQJ40" s="822"/>
      <c r="MQK40" s="822"/>
      <c r="MQL40" s="822"/>
      <c r="MQM40" s="822"/>
      <c r="MQN40" s="822"/>
      <c r="MQO40" s="822"/>
      <c r="MQP40" s="822"/>
      <c r="MQQ40" s="822"/>
      <c r="MQR40" s="822"/>
      <c r="MQS40" s="822"/>
      <c r="MQT40" s="822"/>
      <c r="MQU40" s="822"/>
      <c r="MQV40" s="822"/>
      <c r="MQW40" s="822"/>
      <c r="MQX40" s="822"/>
      <c r="MQY40" s="822"/>
      <c r="MQZ40" s="822"/>
      <c r="MRA40" s="822"/>
      <c r="MRB40" s="822"/>
      <c r="MRC40" s="822"/>
      <c r="MRD40" s="822"/>
      <c r="MRE40" s="822"/>
      <c r="MRF40" s="822"/>
      <c r="MRG40" s="822"/>
      <c r="MRH40" s="822"/>
      <c r="MRI40" s="822"/>
      <c r="MRJ40" s="822"/>
      <c r="MRK40" s="822"/>
      <c r="MRL40" s="822"/>
      <c r="MRM40" s="822"/>
      <c r="MRN40" s="822"/>
      <c r="MRO40" s="822"/>
      <c r="MRP40" s="822"/>
      <c r="MRQ40" s="822"/>
      <c r="MRR40" s="822"/>
      <c r="MRS40" s="822"/>
      <c r="MRT40" s="822"/>
      <c r="MRU40" s="822"/>
      <c r="MRV40" s="822"/>
      <c r="MRW40" s="822"/>
      <c r="MRX40" s="822"/>
      <c r="MRY40" s="822"/>
      <c r="MRZ40" s="822"/>
      <c r="MSA40" s="822"/>
      <c r="MSB40" s="822"/>
      <c r="MSC40" s="822"/>
      <c r="MSD40" s="822"/>
      <c r="MSE40" s="822"/>
      <c r="MSF40" s="822"/>
      <c r="MSG40" s="822"/>
      <c r="MSH40" s="822"/>
      <c r="MSI40" s="822"/>
      <c r="MSJ40" s="822"/>
      <c r="MSK40" s="822"/>
      <c r="MSL40" s="822"/>
      <c r="MSM40" s="822"/>
      <c r="MSN40" s="822"/>
      <c r="MSO40" s="822"/>
      <c r="MSP40" s="822"/>
      <c r="MSQ40" s="822"/>
      <c r="MSR40" s="822"/>
      <c r="MSS40" s="822"/>
      <c r="MST40" s="822"/>
      <c r="MSU40" s="822"/>
      <c r="MSV40" s="822"/>
      <c r="MSW40" s="822"/>
      <c r="MSX40" s="822"/>
      <c r="MSY40" s="822"/>
      <c r="MSZ40" s="822"/>
      <c r="MTA40" s="822"/>
      <c r="MTB40" s="822"/>
      <c r="MTC40" s="822"/>
      <c r="MTD40" s="822"/>
      <c r="MTE40" s="822"/>
      <c r="MTF40" s="822"/>
      <c r="MTG40" s="822"/>
      <c r="MTH40" s="822"/>
      <c r="MTI40" s="822"/>
      <c r="MTJ40" s="822"/>
      <c r="MTK40" s="822"/>
      <c r="MTL40" s="822"/>
      <c r="MTM40" s="822"/>
      <c r="MTN40" s="822"/>
      <c r="MTO40" s="822"/>
      <c r="MTP40" s="822"/>
      <c r="MTQ40" s="822"/>
      <c r="MTR40" s="822"/>
      <c r="MTS40" s="822"/>
      <c r="MTT40" s="822"/>
      <c r="MTU40" s="822"/>
      <c r="MTV40" s="822"/>
      <c r="MTW40" s="822"/>
      <c r="MTX40" s="822"/>
      <c r="MTY40" s="822"/>
      <c r="MTZ40" s="822"/>
      <c r="MUA40" s="822"/>
      <c r="MUB40" s="822"/>
      <c r="MUC40" s="822"/>
      <c r="MUD40" s="822"/>
      <c r="MUE40" s="822"/>
      <c r="MUF40" s="822"/>
      <c r="MUG40" s="822"/>
      <c r="MUH40" s="822"/>
      <c r="MUI40" s="822"/>
      <c r="MUJ40" s="822"/>
      <c r="MUK40" s="822"/>
      <c r="MUL40" s="822"/>
      <c r="MUM40" s="822"/>
      <c r="MUN40" s="822"/>
      <c r="MUO40" s="822"/>
      <c r="MUP40" s="822"/>
      <c r="MUQ40" s="822"/>
      <c r="MUR40" s="822"/>
      <c r="MUS40" s="822"/>
      <c r="MUT40" s="822"/>
      <c r="MUU40" s="822"/>
      <c r="MUV40" s="822"/>
      <c r="MUW40" s="822"/>
      <c r="MUX40" s="822"/>
      <c r="MUY40" s="822"/>
      <c r="MUZ40" s="822"/>
      <c r="MVA40" s="822"/>
      <c r="MVB40" s="822"/>
      <c r="MVC40" s="822"/>
      <c r="MVD40" s="822"/>
      <c r="MVE40" s="822"/>
      <c r="MVF40" s="822"/>
      <c r="MVG40" s="822"/>
      <c r="MVH40" s="822"/>
      <c r="MVI40" s="822"/>
      <c r="MVJ40" s="822"/>
      <c r="MVK40" s="822"/>
      <c r="MVL40" s="822"/>
      <c r="MVM40" s="822"/>
      <c r="MVN40" s="822"/>
      <c r="MVO40" s="822"/>
      <c r="MVP40" s="822"/>
      <c r="MVQ40" s="822"/>
      <c r="MVR40" s="822"/>
      <c r="MVS40" s="822"/>
      <c r="MVT40" s="822"/>
      <c r="MVU40" s="822"/>
      <c r="MVV40" s="822"/>
      <c r="MVW40" s="822"/>
      <c r="MVX40" s="822"/>
      <c r="MVY40" s="822"/>
      <c r="MVZ40" s="822"/>
      <c r="MWA40" s="822"/>
      <c r="MWB40" s="822"/>
      <c r="MWC40" s="822"/>
      <c r="MWD40" s="822"/>
      <c r="MWE40" s="822"/>
      <c r="MWF40" s="822"/>
      <c r="MWG40" s="822"/>
      <c r="MWH40" s="822"/>
      <c r="MWI40" s="822"/>
      <c r="MWJ40" s="822"/>
      <c r="MWK40" s="822"/>
      <c r="MWL40" s="822"/>
      <c r="MWM40" s="822"/>
      <c r="MWN40" s="822"/>
      <c r="MWO40" s="822"/>
      <c r="MWP40" s="822"/>
      <c r="MWQ40" s="822"/>
      <c r="MWR40" s="822"/>
      <c r="MWS40" s="822"/>
      <c r="MWT40" s="822"/>
      <c r="MWU40" s="822"/>
      <c r="MWV40" s="822"/>
      <c r="MWW40" s="822"/>
      <c r="MWX40" s="822"/>
      <c r="MWY40" s="822"/>
      <c r="MWZ40" s="822"/>
      <c r="MXA40" s="822"/>
      <c r="MXB40" s="822"/>
      <c r="MXC40" s="822"/>
      <c r="MXD40" s="822"/>
      <c r="MXE40" s="822"/>
      <c r="MXF40" s="822"/>
      <c r="MXG40" s="822"/>
      <c r="MXH40" s="822"/>
      <c r="MXI40" s="822"/>
      <c r="MXJ40" s="822"/>
      <c r="MXK40" s="822"/>
      <c r="MXL40" s="822"/>
      <c r="MXM40" s="822"/>
      <c r="MXN40" s="822"/>
      <c r="MXO40" s="822"/>
      <c r="MXP40" s="822"/>
      <c r="MXQ40" s="822"/>
      <c r="MXR40" s="822"/>
      <c r="MXS40" s="822"/>
      <c r="MXT40" s="822"/>
      <c r="MXU40" s="822"/>
      <c r="MXV40" s="822"/>
      <c r="MXW40" s="822"/>
      <c r="MXX40" s="822"/>
      <c r="MXY40" s="822"/>
      <c r="MXZ40" s="822"/>
      <c r="MYA40" s="822"/>
      <c r="MYB40" s="822"/>
      <c r="MYC40" s="822"/>
      <c r="MYD40" s="822"/>
      <c r="MYE40" s="822"/>
      <c r="MYF40" s="822"/>
      <c r="MYG40" s="822"/>
      <c r="MYH40" s="822"/>
      <c r="MYI40" s="822"/>
      <c r="MYJ40" s="822"/>
      <c r="MYK40" s="822"/>
      <c r="MYL40" s="822"/>
      <c r="MYM40" s="822"/>
      <c r="MYN40" s="822"/>
      <c r="MYO40" s="822"/>
      <c r="MYP40" s="822"/>
      <c r="MYQ40" s="822"/>
      <c r="MYR40" s="822"/>
      <c r="MYS40" s="822"/>
      <c r="MYT40" s="822"/>
      <c r="MYU40" s="822"/>
      <c r="MYV40" s="822"/>
      <c r="MYW40" s="822"/>
      <c r="MYX40" s="822"/>
      <c r="MYY40" s="822"/>
      <c r="MYZ40" s="822"/>
      <c r="MZA40" s="822"/>
      <c r="MZB40" s="822"/>
      <c r="MZC40" s="822"/>
      <c r="MZD40" s="822"/>
      <c r="MZE40" s="822"/>
      <c r="MZF40" s="822"/>
      <c r="MZG40" s="822"/>
      <c r="MZH40" s="822"/>
      <c r="MZI40" s="822"/>
      <c r="MZJ40" s="822"/>
      <c r="MZK40" s="822"/>
      <c r="MZL40" s="822"/>
      <c r="MZM40" s="822"/>
      <c r="MZN40" s="822"/>
      <c r="MZO40" s="822"/>
      <c r="MZP40" s="822"/>
      <c r="MZQ40" s="822"/>
      <c r="MZR40" s="822"/>
      <c r="MZS40" s="822"/>
      <c r="MZT40" s="822"/>
      <c r="MZU40" s="822"/>
      <c r="MZV40" s="822"/>
      <c r="MZW40" s="822"/>
      <c r="MZX40" s="822"/>
      <c r="MZY40" s="822"/>
      <c r="MZZ40" s="822"/>
      <c r="NAA40" s="822"/>
      <c r="NAB40" s="822"/>
      <c r="NAC40" s="822"/>
      <c r="NAD40" s="822"/>
      <c r="NAE40" s="822"/>
      <c r="NAF40" s="822"/>
      <c r="NAG40" s="822"/>
      <c r="NAH40" s="822"/>
      <c r="NAI40" s="822"/>
      <c r="NAJ40" s="822"/>
      <c r="NAK40" s="822"/>
      <c r="NAL40" s="822"/>
      <c r="NAM40" s="822"/>
      <c r="NAN40" s="822"/>
      <c r="NAO40" s="822"/>
      <c r="NAP40" s="822"/>
      <c r="NAQ40" s="822"/>
      <c r="NAR40" s="822"/>
      <c r="NAS40" s="822"/>
      <c r="NAT40" s="822"/>
      <c r="NAU40" s="822"/>
      <c r="NAV40" s="822"/>
      <c r="NAW40" s="822"/>
      <c r="NAX40" s="822"/>
      <c r="NAY40" s="822"/>
      <c r="NAZ40" s="822"/>
      <c r="NBA40" s="822"/>
      <c r="NBB40" s="822"/>
      <c r="NBC40" s="822"/>
      <c r="NBD40" s="822"/>
      <c r="NBE40" s="822"/>
      <c r="NBF40" s="822"/>
      <c r="NBG40" s="822"/>
      <c r="NBH40" s="822"/>
      <c r="NBI40" s="822"/>
      <c r="NBJ40" s="822"/>
      <c r="NBK40" s="822"/>
      <c r="NBL40" s="822"/>
      <c r="NBM40" s="822"/>
      <c r="NBN40" s="822"/>
      <c r="NBO40" s="822"/>
      <c r="NBP40" s="822"/>
      <c r="NBQ40" s="822"/>
      <c r="NBR40" s="822"/>
      <c r="NBS40" s="822"/>
      <c r="NBT40" s="822"/>
      <c r="NBU40" s="822"/>
      <c r="NBV40" s="822"/>
      <c r="NBW40" s="822"/>
      <c r="NBX40" s="822"/>
      <c r="NBY40" s="822"/>
      <c r="NBZ40" s="822"/>
      <c r="NCA40" s="822"/>
      <c r="NCB40" s="822"/>
      <c r="NCC40" s="822"/>
      <c r="NCD40" s="822"/>
      <c r="NCE40" s="822"/>
      <c r="NCF40" s="822"/>
      <c r="NCG40" s="822"/>
      <c r="NCH40" s="822"/>
      <c r="NCI40" s="822"/>
      <c r="NCJ40" s="822"/>
      <c r="NCK40" s="822"/>
      <c r="NCL40" s="822"/>
      <c r="NCM40" s="822"/>
      <c r="NCN40" s="822"/>
      <c r="NCO40" s="822"/>
      <c r="NCP40" s="822"/>
      <c r="NCQ40" s="822"/>
      <c r="NCR40" s="822"/>
      <c r="NCS40" s="822"/>
      <c r="NCT40" s="822"/>
      <c r="NCU40" s="822"/>
      <c r="NCV40" s="822"/>
      <c r="NCW40" s="822"/>
      <c r="NCX40" s="822"/>
      <c r="NCY40" s="822"/>
      <c r="NCZ40" s="822"/>
      <c r="NDA40" s="822"/>
      <c r="NDB40" s="822"/>
      <c r="NDC40" s="822"/>
      <c r="NDD40" s="822"/>
      <c r="NDE40" s="822"/>
      <c r="NDF40" s="822"/>
      <c r="NDG40" s="822"/>
      <c r="NDH40" s="822"/>
      <c r="NDI40" s="822"/>
      <c r="NDJ40" s="822"/>
      <c r="NDK40" s="822"/>
      <c r="NDL40" s="822"/>
      <c r="NDM40" s="822"/>
      <c r="NDN40" s="822"/>
      <c r="NDO40" s="822"/>
      <c r="NDP40" s="822"/>
      <c r="NDQ40" s="822"/>
      <c r="NDR40" s="822"/>
      <c r="NDS40" s="822"/>
      <c r="NDT40" s="822"/>
      <c r="NDU40" s="822"/>
      <c r="NDV40" s="822"/>
      <c r="NDW40" s="822"/>
      <c r="NDX40" s="822"/>
      <c r="NDY40" s="822"/>
      <c r="NDZ40" s="822"/>
      <c r="NEA40" s="822"/>
      <c r="NEB40" s="822"/>
      <c r="NEC40" s="822"/>
      <c r="NED40" s="822"/>
      <c r="NEE40" s="822"/>
      <c r="NEF40" s="822"/>
      <c r="NEG40" s="822"/>
      <c r="NEH40" s="822"/>
      <c r="NEI40" s="822"/>
      <c r="NEJ40" s="822"/>
      <c r="NEK40" s="822"/>
      <c r="NEL40" s="822"/>
      <c r="NEM40" s="822"/>
      <c r="NEN40" s="822"/>
      <c r="NEO40" s="822"/>
      <c r="NEP40" s="822"/>
      <c r="NEQ40" s="822"/>
      <c r="NER40" s="822"/>
      <c r="NES40" s="822"/>
      <c r="NET40" s="822"/>
      <c r="NEU40" s="822"/>
      <c r="NEV40" s="822"/>
      <c r="NEW40" s="822"/>
      <c r="NEX40" s="822"/>
      <c r="NEY40" s="822"/>
      <c r="NEZ40" s="822"/>
      <c r="NFA40" s="822"/>
      <c r="NFB40" s="822"/>
      <c r="NFC40" s="822"/>
      <c r="NFD40" s="822"/>
      <c r="NFE40" s="822"/>
      <c r="NFF40" s="822"/>
      <c r="NFG40" s="822"/>
      <c r="NFH40" s="822"/>
      <c r="NFI40" s="822"/>
      <c r="NFJ40" s="822"/>
      <c r="NFK40" s="822"/>
      <c r="NFL40" s="822"/>
      <c r="NFM40" s="822"/>
      <c r="NFN40" s="822"/>
      <c r="NFO40" s="822"/>
      <c r="NFP40" s="822"/>
      <c r="NFQ40" s="822"/>
      <c r="NFR40" s="822"/>
      <c r="NFS40" s="822"/>
      <c r="NFT40" s="822"/>
      <c r="NFU40" s="822"/>
      <c r="NFV40" s="822"/>
      <c r="NFW40" s="822"/>
      <c r="NFX40" s="822"/>
      <c r="NFY40" s="822"/>
      <c r="NFZ40" s="822"/>
      <c r="NGA40" s="822"/>
      <c r="NGB40" s="822"/>
      <c r="NGC40" s="822"/>
      <c r="NGD40" s="822"/>
      <c r="NGE40" s="822"/>
      <c r="NGF40" s="822"/>
      <c r="NGG40" s="822"/>
      <c r="NGH40" s="822"/>
      <c r="NGI40" s="822"/>
      <c r="NGJ40" s="822"/>
      <c r="NGK40" s="822"/>
      <c r="NGL40" s="822"/>
      <c r="NGM40" s="822"/>
      <c r="NGN40" s="822"/>
      <c r="NGO40" s="822"/>
      <c r="NGP40" s="822"/>
      <c r="NGQ40" s="822"/>
      <c r="NGR40" s="822"/>
      <c r="NGS40" s="822"/>
      <c r="NGT40" s="822"/>
      <c r="NGU40" s="822"/>
      <c r="NGV40" s="822"/>
      <c r="NGW40" s="822"/>
      <c r="NGX40" s="822"/>
      <c r="NGY40" s="822"/>
      <c r="NGZ40" s="822"/>
      <c r="NHA40" s="822"/>
      <c r="NHB40" s="822"/>
      <c r="NHC40" s="822"/>
      <c r="NHD40" s="822"/>
      <c r="NHE40" s="822"/>
      <c r="NHF40" s="822"/>
      <c r="NHG40" s="822"/>
      <c r="NHH40" s="822"/>
      <c r="NHI40" s="822"/>
      <c r="NHJ40" s="822"/>
      <c r="NHK40" s="822"/>
      <c r="NHL40" s="822"/>
      <c r="NHM40" s="822"/>
      <c r="NHN40" s="822"/>
      <c r="NHO40" s="822"/>
      <c r="NHP40" s="822"/>
      <c r="NHQ40" s="822"/>
      <c r="NHR40" s="822"/>
      <c r="NHS40" s="822"/>
      <c r="NHT40" s="822"/>
      <c r="NHU40" s="822"/>
      <c r="NHV40" s="822"/>
      <c r="NHW40" s="822"/>
      <c r="NHX40" s="822"/>
      <c r="NHY40" s="822"/>
      <c r="NHZ40" s="822"/>
      <c r="NIA40" s="822"/>
      <c r="NIB40" s="822"/>
      <c r="NIC40" s="822"/>
      <c r="NID40" s="822"/>
      <c r="NIE40" s="822"/>
      <c r="NIF40" s="822"/>
      <c r="NIG40" s="822"/>
      <c r="NIH40" s="822"/>
      <c r="NII40" s="822"/>
      <c r="NIJ40" s="822"/>
      <c r="NIK40" s="822"/>
      <c r="NIL40" s="822"/>
      <c r="NIM40" s="822"/>
      <c r="NIN40" s="822"/>
      <c r="NIO40" s="822"/>
      <c r="NIP40" s="822"/>
      <c r="NIQ40" s="822"/>
      <c r="NIR40" s="822"/>
      <c r="NIS40" s="822"/>
      <c r="NIT40" s="822"/>
      <c r="NIU40" s="822"/>
      <c r="NIV40" s="822"/>
      <c r="NIW40" s="822"/>
      <c r="NIX40" s="822"/>
      <c r="NIY40" s="822"/>
      <c r="NIZ40" s="822"/>
      <c r="NJA40" s="822"/>
      <c r="NJB40" s="822"/>
      <c r="NJC40" s="822"/>
      <c r="NJD40" s="822"/>
      <c r="NJE40" s="822"/>
      <c r="NJF40" s="822"/>
      <c r="NJG40" s="822"/>
      <c r="NJH40" s="822"/>
      <c r="NJI40" s="822"/>
      <c r="NJJ40" s="822"/>
      <c r="NJK40" s="822"/>
      <c r="NJL40" s="822"/>
      <c r="NJM40" s="822"/>
      <c r="NJN40" s="822"/>
      <c r="NJO40" s="822"/>
      <c r="NJP40" s="822"/>
      <c r="NJQ40" s="822"/>
      <c r="NJR40" s="822"/>
      <c r="NJS40" s="822"/>
      <c r="NJT40" s="822"/>
      <c r="NJU40" s="822"/>
      <c r="NJV40" s="822"/>
      <c r="NJW40" s="822"/>
      <c r="NJX40" s="822"/>
      <c r="NJY40" s="822"/>
      <c r="NJZ40" s="822"/>
      <c r="NKA40" s="822"/>
      <c r="NKB40" s="822"/>
      <c r="NKC40" s="822"/>
      <c r="NKD40" s="822"/>
      <c r="NKE40" s="822"/>
      <c r="NKF40" s="822"/>
      <c r="NKG40" s="822"/>
      <c r="NKH40" s="822"/>
      <c r="NKI40" s="822"/>
      <c r="NKJ40" s="822"/>
      <c r="NKK40" s="822"/>
      <c r="NKL40" s="822"/>
      <c r="NKM40" s="822"/>
      <c r="NKN40" s="822"/>
      <c r="NKO40" s="822"/>
      <c r="NKP40" s="822"/>
      <c r="NKQ40" s="822"/>
      <c r="NKR40" s="822"/>
      <c r="NKS40" s="822"/>
      <c r="NKT40" s="822"/>
      <c r="NKU40" s="822"/>
      <c r="NKV40" s="822"/>
      <c r="NKW40" s="822"/>
      <c r="NKX40" s="822"/>
      <c r="NKY40" s="822"/>
      <c r="NKZ40" s="822"/>
      <c r="NLA40" s="822"/>
      <c r="NLB40" s="822"/>
      <c r="NLC40" s="822"/>
      <c r="NLD40" s="822"/>
      <c r="NLE40" s="822"/>
      <c r="NLF40" s="822"/>
      <c r="NLG40" s="822"/>
      <c r="NLH40" s="822"/>
      <c r="NLI40" s="822"/>
      <c r="NLJ40" s="822"/>
      <c r="NLK40" s="822"/>
      <c r="NLL40" s="822"/>
      <c r="NLM40" s="822"/>
      <c r="NLN40" s="822"/>
      <c r="NLO40" s="822"/>
      <c r="NLP40" s="822"/>
      <c r="NLQ40" s="822"/>
      <c r="NLR40" s="822"/>
      <c r="NLS40" s="822"/>
      <c r="NLT40" s="822"/>
      <c r="NLU40" s="822"/>
      <c r="NLV40" s="822"/>
      <c r="NLW40" s="822"/>
      <c r="NLX40" s="822"/>
      <c r="NLY40" s="822"/>
      <c r="NLZ40" s="822"/>
      <c r="NMA40" s="822"/>
      <c r="NMB40" s="822"/>
      <c r="NMC40" s="822"/>
      <c r="NMD40" s="822"/>
      <c r="NME40" s="822"/>
      <c r="NMF40" s="822"/>
      <c r="NMG40" s="822"/>
      <c r="NMH40" s="822"/>
      <c r="NMI40" s="822"/>
      <c r="NMJ40" s="822"/>
      <c r="NMK40" s="822"/>
      <c r="NML40" s="822"/>
      <c r="NMM40" s="822"/>
      <c r="NMN40" s="822"/>
      <c r="NMO40" s="822"/>
      <c r="NMP40" s="822"/>
      <c r="NMQ40" s="822"/>
      <c r="NMR40" s="822"/>
      <c r="NMS40" s="822"/>
      <c r="NMT40" s="822"/>
      <c r="NMU40" s="822"/>
      <c r="NMV40" s="822"/>
      <c r="NMW40" s="822"/>
      <c r="NMX40" s="822"/>
      <c r="NMY40" s="822"/>
      <c r="NMZ40" s="822"/>
      <c r="NNA40" s="822"/>
      <c r="NNB40" s="822"/>
      <c r="NNC40" s="822"/>
      <c r="NND40" s="822"/>
      <c r="NNE40" s="822"/>
      <c r="NNF40" s="822"/>
      <c r="NNG40" s="822"/>
      <c r="NNH40" s="822"/>
      <c r="NNI40" s="822"/>
      <c r="NNJ40" s="822"/>
      <c r="NNK40" s="822"/>
      <c r="NNL40" s="822"/>
      <c r="NNM40" s="822"/>
      <c r="NNN40" s="822"/>
      <c r="NNO40" s="822"/>
      <c r="NNP40" s="822"/>
      <c r="NNQ40" s="822"/>
      <c r="NNR40" s="822"/>
      <c r="NNS40" s="822"/>
      <c r="NNT40" s="822"/>
      <c r="NNU40" s="822"/>
      <c r="NNV40" s="822"/>
      <c r="NNW40" s="822"/>
      <c r="NNX40" s="822"/>
      <c r="NNY40" s="822"/>
      <c r="NNZ40" s="822"/>
      <c r="NOA40" s="822"/>
      <c r="NOB40" s="822"/>
      <c r="NOC40" s="822"/>
      <c r="NOD40" s="822"/>
      <c r="NOE40" s="822"/>
      <c r="NOF40" s="822"/>
      <c r="NOG40" s="822"/>
      <c r="NOH40" s="822"/>
      <c r="NOI40" s="822"/>
      <c r="NOJ40" s="822"/>
      <c r="NOK40" s="822"/>
      <c r="NOL40" s="822"/>
      <c r="NOM40" s="822"/>
      <c r="NON40" s="822"/>
      <c r="NOO40" s="822"/>
      <c r="NOP40" s="822"/>
      <c r="NOQ40" s="822"/>
      <c r="NOR40" s="822"/>
      <c r="NOS40" s="822"/>
      <c r="NOT40" s="822"/>
      <c r="NOU40" s="822"/>
      <c r="NOV40" s="822"/>
      <c r="NOW40" s="822"/>
      <c r="NOX40" s="822"/>
      <c r="NOY40" s="822"/>
      <c r="NOZ40" s="822"/>
      <c r="NPA40" s="822"/>
      <c r="NPB40" s="822"/>
      <c r="NPC40" s="822"/>
      <c r="NPD40" s="822"/>
      <c r="NPE40" s="822"/>
      <c r="NPF40" s="822"/>
      <c r="NPG40" s="822"/>
      <c r="NPH40" s="822"/>
      <c r="NPI40" s="822"/>
      <c r="NPJ40" s="822"/>
      <c r="NPK40" s="822"/>
      <c r="NPL40" s="822"/>
      <c r="NPM40" s="822"/>
      <c r="NPN40" s="822"/>
      <c r="NPO40" s="822"/>
      <c r="NPP40" s="822"/>
      <c r="NPQ40" s="822"/>
      <c r="NPR40" s="822"/>
      <c r="NPS40" s="822"/>
      <c r="NPT40" s="822"/>
      <c r="NPU40" s="822"/>
      <c r="NPV40" s="822"/>
      <c r="NPW40" s="822"/>
      <c r="NPX40" s="822"/>
      <c r="NPY40" s="822"/>
      <c r="NPZ40" s="822"/>
      <c r="NQA40" s="822"/>
      <c r="NQB40" s="822"/>
      <c r="NQC40" s="822"/>
      <c r="NQD40" s="822"/>
      <c r="NQE40" s="822"/>
      <c r="NQF40" s="822"/>
      <c r="NQG40" s="822"/>
      <c r="NQH40" s="822"/>
      <c r="NQI40" s="822"/>
      <c r="NQJ40" s="822"/>
      <c r="NQK40" s="822"/>
      <c r="NQL40" s="822"/>
      <c r="NQM40" s="822"/>
      <c r="NQN40" s="822"/>
      <c r="NQO40" s="822"/>
      <c r="NQP40" s="822"/>
      <c r="NQQ40" s="822"/>
      <c r="NQR40" s="822"/>
      <c r="NQS40" s="822"/>
      <c r="NQT40" s="822"/>
      <c r="NQU40" s="822"/>
      <c r="NQV40" s="822"/>
      <c r="NQW40" s="822"/>
      <c r="NQX40" s="822"/>
      <c r="NQY40" s="822"/>
      <c r="NQZ40" s="822"/>
      <c r="NRA40" s="822"/>
      <c r="NRB40" s="822"/>
      <c r="NRC40" s="822"/>
      <c r="NRD40" s="822"/>
      <c r="NRE40" s="822"/>
      <c r="NRF40" s="822"/>
      <c r="NRG40" s="822"/>
      <c r="NRH40" s="822"/>
      <c r="NRI40" s="822"/>
      <c r="NRJ40" s="822"/>
      <c r="NRK40" s="822"/>
      <c r="NRL40" s="822"/>
      <c r="NRM40" s="822"/>
      <c r="NRN40" s="822"/>
      <c r="NRO40" s="822"/>
      <c r="NRP40" s="822"/>
      <c r="NRQ40" s="822"/>
      <c r="NRR40" s="822"/>
      <c r="NRS40" s="822"/>
      <c r="NRT40" s="822"/>
      <c r="NRU40" s="822"/>
      <c r="NRV40" s="822"/>
      <c r="NRW40" s="822"/>
      <c r="NRX40" s="822"/>
      <c r="NRY40" s="822"/>
      <c r="NRZ40" s="822"/>
      <c r="NSA40" s="822"/>
      <c r="NSB40" s="822"/>
      <c r="NSC40" s="822"/>
      <c r="NSD40" s="822"/>
      <c r="NSE40" s="822"/>
      <c r="NSF40" s="822"/>
      <c r="NSG40" s="822"/>
      <c r="NSH40" s="822"/>
      <c r="NSI40" s="822"/>
      <c r="NSJ40" s="822"/>
      <c r="NSK40" s="822"/>
      <c r="NSL40" s="822"/>
      <c r="NSM40" s="822"/>
      <c r="NSN40" s="822"/>
      <c r="NSO40" s="822"/>
      <c r="NSP40" s="822"/>
      <c r="NSQ40" s="822"/>
      <c r="NSR40" s="822"/>
      <c r="NSS40" s="822"/>
      <c r="NST40" s="822"/>
      <c r="NSU40" s="822"/>
      <c r="NSV40" s="822"/>
      <c r="NSW40" s="822"/>
      <c r="NSX40" s="822"/>
      <c r="NSY40" s="822"/>
      <c r="NSZ40" s="822"/>
      <c r="NTA40" s="822"/>
      <c r="NTB40" s="822"/>
      <c r="NTC40" s="822"/>
      <c r="NTD40" s="822"/>
      <c r="NTE40" s="822"/>
      <c r="NTF40" s="822"/>
      <c r="NTG40" s="822"/>
      <c r="NTH40" s="822"/>
      <c r="NTI40" s="822"/>
      <c r="NTJ40" s="822"/>
      <c r="NTK40" s="822"/>
      <c r="NTL40" s="822"/>
      <c r="NTM40" s="822"/>
      <c r="NTN40" s="822"/>
      <c r="NTO40" s="822"/>
      <c r="NTP40" s="822"/>
      <c r="NTQ40" s="822"/>
      <c r="NTR40" s="822"/>
      <c r="NTS40" s="822"/>
      <c r="NTT40" s="822"/>
      <c r="NTU40" s="822"/>
      <c r="NTV40" s="822"/>
      <c r="NTW40" s="822"/>
      <c r="NTX40" s="822"/>
      <c r="NTY40" s="822"/>
      <c r="NTZ40" s="822"/>
      <c r="NUA40" s="822"/>
      <c r="NUB40" s="822"/>
      <c r="NUC40" s="822"/>
      <c r="NUD40" s="822"/>
      <c r="NUE40" s="822"/>
      <c r="NUF40" s="822"/>
      <c r="NUG40" s="822"/>
      <c r="NUH40" s="822"/>
      <c r="NUI40" s="822"/>
      <c r="NUJ40" s="822"/>
      <c r="NUK40" s="822"/>
      <c r="NUL40" s="822"/>
      <c r="NUM40" s="822"/>
      <c r="NUN40" s="822"/>
      <c r="NUO40" s="822"/>
      <c r="NUP40" s="822"/>
      <c r="NUQ40" s="822"/>
      <c r="NUR40" s="822"/>
      <c r="NUS40" s="822"/>
      <c r="NUT40" s="822"/>
      <c r="NUU40" s="822"/>
      <c r="NUV40" s="822"/>
      <c r="NUW40" s="822"/>
      <c r="NUX40" s="822"/>
      <c r="NUY40" s="822"/>
      <c r="NUZ40" s="822"/>
      <c r="NVA40" s="822"/>
      <c r="NVB40" s="822"/>
      <c r="NVC40" s="822"/>
      <c r="NVD40" s="822"/>
      <c r="NVE40" s="822"/>
      <c r="NVF40" s="822"/>
      <c r="NVG40" s="822"/>
      <c r="NVH40" s="822"/>
      <c r="NVI40" s="822"/>
      <c r="NVJ40" s="822"/>
      <c r="NVK40" s="822"/>
      <c r="NVL40" s="822"/>
      <c r="NVM40" s="822"/>
      <c r="NVN40" s="822"/>
      <c r="NVO40" s="822"/>
      <c r="NVP40" s="822"/>
      <c r="NVQ40" s="822"/>
      <c r="NVR40" s="822"/>
      <c r="NVS40" s="822"/>
      <c r="NVT40" s="822"/>
      <c r="NVU40" s="822"/>
      <c r="NVV40" s="822"/>
      <c r="NVW40" s="822"/>
      <c r="NVX40" s="822"/>
      <c r="NVY40" s="822"/>
      <c r="NVZ40" s="822"/>
      <c r="NWA40" s="822"/>
      <c r="NWB40" s="822"/>
      <c r="NWC40" s="822"/>
      <c r="NWD40" s="822"/>
      <c r="NWE40" s="822"/>
      <c r="NWF40" s="822"/>
      <c r="NWG40" s="822"/>
      <c r="NWH40" s="822"/>
      <c r="NWI40" s="822"/>
      <c r="NWJ40" s="822"/>
      <c r="NWK40" s="822"/>
      <c r="NWL40" s="822"/>
      <c r="NWM40" s="822"/>
      <c r="NWN40" s="822"/>
      <c r="NWO40" s="822"/>
      <c r="NWP40" s="822"/>
      <c r="NWQ40" s="822"/>
      <c r="NWR40" s="822"/>
      <c r="NWS40" s="822"/>
      <c r="NWT40" s="822"/>
      <c r="NWU40" s="822"/>
      <c r="NWV40" s="822"/>
      <c r="NWW40" s="822"/>
      <c r="NWX40" s="822"/>
      <c r="NWY40" s="822"/>
      <c r="NWZ40" s="822"/>
      <c r="NXA40" s="822"/>
      <c r="NXB40" s="822"/>
      <c r="NXC40" s="822"/>
      <c r="NXD40" s="822"/>
      <c r="NXE40" s="822"/>
      <c r="NXF40" s="822"/>
      <c r="NXG40" s="822"/>
      <c r="NXH40" s="822"/>
      <c r="NXI40" s="822"/>
      <c r="NXJ40" s="822"/>
      <c r="NXK40" s="822"/>
      <c r="NXL40" s="822"/>
      <c r="NXM40" s="822"/>
      <c r="NXN40" s="822"/>
      <c r="NXO40" s="822"/>
      <c r="NXP40" s="822"/>
      <c r="NXQ40" s="822"/>
      <c r="NXR40" s="822"/>
      <c r="NXS40" s="822"/>
      <c r="NXT40" s="822"/>
      <c r="NXU40" s="822"/>
      <c r="NXV40" s="822"/>
      <c r="NXW40" s="822"/>
      <c r="NXX40" s="822"/>
      <c r="NXY40" s="822"/>
      <c r="NXZ40" s="822"/>
      <c r="NYA40" s="822"/>
      <c r="NYB40" s="822"/>
      <c r="NYC40" s="822"/>
      <c r="NYD40" s="822"/>
      <c r="NYE40" s="822"/>
      <c r="NYF40" s="822"/>
      <c r="NYG40" s="822"/>
      <c r="NYH40" s="822"/>
      <c r="NYI40" s="822"/>
      <c r="NYJ40" s="822"/>
      <c r="NYK40" s="822"/>
      <c r="NYL40" s="822"/>
      <c r="NYM40" s="822"/>
      <c r="NYN40" s="822"/>
      <c r="NYO40" s="822"/>
      <c r="NYP40" s="822"/>
      <c r="NYQ40" s="822"/>
      <c r="NYR40" s="822"/>
      <c r="NYS40" s="822"/>
      <c r="NYT40" s="822"/>
      <c r="NYU40" s="822"/>
      <c r="NYV40" s="822"/>
      <c r="NYW40" s="822"/>
      <c r="NYX40" s="822"/>
      <c r="NYY40" s="822"/>
      <c r="NYZ40" s="822"/>
      <c r="NZA40" s="822"/>
      <c r="NZB40" s="822"/>
      <c r="NZC40" s="822"/>
      <c r="NZD40" s="822"/>
      <c r="NZE40" s="822"/>
      <c r="NZF40" s="822"/>
      <c r="NZG40" s="822"/>
      <c r="NZH40" s="822"/>
      <c r="NZI40" s="822"/>
      <c r="NZJ40" s="822"/>
      <c r="NZK40" s="822"/>
      <c r="NZL40" s="822"/>
      <c r="NZM40" s="822"/>
      <c r="NZN40" s="822"/>
      <c r="NZO40" s="822"/>
      <c r="NZP40" s="822"/>
      <c r="NZQ40" s="822"/>
      <c r="NZR40" s="822"/>
      <c r="NZS40" s="822"/>
      <c r="NZT40" s="822"/>
      <c r="NZU40" s="822"/>
      <c r="NZV40" s="822"/>
      <c r="NZW40" s="822"/>
      <c r="NZX40" s="822"/>
      <c r="NZY40" s="822"/>
      <c r="NZZ40" s="822"/>
      <c r="OAA40" s="822"/>
      <c r="OAB40" s="822"/>
      <c r="OAC40" s="822"/>
      <c r="OAD40" s="822"/>
      <c r="OAE40" s="822"/>
      <c r="OAF40" s="822"/>
      <c r="OAG40" s="822"/>
      <c r="OAH40" s="822"/>
      <c r="OAI40" s="822"/>
      <c r="OAJ40" s="822"/>
      <c r="OAK40" s="822"/>
      <c r="OAL40" s="822"/>
      <c r="OAM40" s="822"/>
      <c r="OAN40" s="822"/>
      <c r="OAO40" s="822"/>
      <c r="OAP40" s="822"/>
      <c r="OAQ40" s="822"/>
      <c r="OAR40" s="822"/>
      <c r="OAS40" s="822"/>
      <c r="OAT40" s="822"/>
      <c r="OAU40" s="822"/>
      <c r="OAV40" s="822"/>
      <c r="OAW40" s="822"/>
      <c r="OAX40" s="822"/>
      <c r="OAY40" s="822"/>
      <c r="OAZ40" s="822"/>
      <c r="OBA40" s="822"/>
      <c r="OBB40" s="822"/>
      <c r="OBC40" s="822"/>
      <c r="OBD40" s="822"/>
      <c r="OBE40" s="822"/>
      <c r="OBF40" s="822"/>
      <c r="OBG40" s="822"/>
      <c r="OBH40" s="822"/>
      <c r="OBI40" s="822"/>
      <c r="OBJ40" s="822"/>
      <c r="OBK40" s="822"/>
      <c r="OBL40" s="822"/>
      <c r="OBM40" s="822"/>
      <c r="OBN40" s="822"/>
      <c r="OBO40" s="822"/>
      <c r="OBP40" s="822"/>
      <c r="OBQ40" s="822"/>
      <c r="OBR40" s="822"/>
      <c r="OBS40" s="822"/>
      <c r="OBT40" s="822"/>
      <c r="OBU40" s="822"/>
      <c r="OBV40" s="822"/>
      <c r="OBW40" s="822"/>
      <c r="OBX40" s="822"/>
      <c r="OBY40" s="822"/>
      <c r="OBZ40" s="822"/>
      <c r="OCA40" s="822"/>
      <c r="OCB40" s="822"/>
      <c r="OCC40" s="822"/>
      <c r="OCD40" s="822"/>
      <c r="OCE40" s="822"/>
      <c r="OCF40" s="822"/>
      <c r="OCG40" s="822"/>
      <c r="OCH40" s="822"/>
      <c r="OCI40" s="822"/>
      <c r="OCJ40" s="822"/>
      <c r="OCK40" s="822"/>
      <c r="OCL40" s="822"/>
      <c r="OCM40" s="822"/>
      <c r="OCN40" s="822"/>
      <c r="OCO40" s="822"/>
      <c r="OCP40" s="822"/>
      <c r="OCQ40" s="822"/>
      <c r="OCR40" s="822"/>
      <c r="OCS40" s="822"/>
      <c r="OCT40" s="822"/>
      <c r="OCU40" s="822"/>
      <c r="OCV40" s="822"/>
      <c r="OCW40" s="822"/>
      <c r="OCX40" s="822"/>
      <c r="OCY40" s="822"/>
      <c r="OCZ40" s="822"/>
      <c r="ODA40" s="822"/>
      <c r="ODB40" s="822"/>
      <c r="ODC40" s="822"/>
      <c r="ODD40" s="822"/>
      <c r="ODE40" s="822"/>
      <c r="ODF40" s="822"/>
      <c r="ODG40" s="822"/>
      <c r="ODH40" s="822"/>
      <c r="ODI40" s="822"/>
      <c r="ODJ40" s="822"/>
      <c r="ODK40" s="822"/>
      <c r="ODL40" s="822"/>
      <c r="ODM40" s="822"/>
      <c r="ODN40" s="822"/>
      <c r="ODO40" s="822"/>
      <c r="ODP40" s="822"/>
      <c r="ODQ40" s="822"/>
      <c r="ODR40" s="822"/>
      <c r="ODS40" s="822"/>
      <c r="ODT40" s="822"/>
      <c r="ODU40" s="822"/>
      <c r="ODV40" s="822"/>
      <c r="ODW40" s="822"/>
      <c r="ODX40" s="822"/>
      <c r="ODY40" s="822"/>
      <c r="ODZ40" s="822"/>
      <c r="OEA40" s="822"/>
      <c r="OEB40" s="822"/>
      <c r="OEC40" s="822"/>
      <c r="OED40" s="822"/>
      <c r="OEE40" s="822"/>
      <c r="OEF40" s="822"/>
      <c r="OEG40" s="822"/>
      <c r="OEH40" s="822"/>
      <c r="OEI40" s="822"/>
      <c r="OEJ40" s="822"/>
      <c r="OEK40" s="822"/>
      <c r="OEL40" s="822"/>
      <c r="OEM40" s="822"/>
      <c r="OEN40" s="822"/>
      <c r="OEO40" s="822"/>
      <c r="OEP40" s="822"/>
      <c r="OEQ40" s="822"/>
      <c r="OER40" s="822"/>
      <c r="OES40" s="822"/>
      <c r="OET40" s="822"/>
      <c r="OEU40" s="822"/>
      <c r="OEV40" s="822"/>
      <c r="OEW40" s="822"/>
      <c r="OEX40" s="822"/>
      <c r="OEY40" s="822"/>
      <c r="OEZ40" s="822"/>
      <c r="OFA40" s="822"/>
      <c r="OFB40" s="822"/>
      <c r="OFC40" s="822"/>
      <c r="OFD40" s="822"/>
      <c r="OFE40" s="822"/>
      <c r="OFF40" s="822"/>
      <c r="OFG40" s="822"/>
      <c r="OFH40" s="822"/>
      <c r="OFI40" s="822"/>
      <c r="OFJ40" s="822"/>
      <c r="OFK40" s="822"/>
      <c r="OFL40" s="822"/>
      <c r="OFM40" s="822"/>
      <c r="OFN40" s="822"/>
      <c r="OFO40" s="822"/>
      <c r="OFP40" s="822"/>
      <c r="OFQ40" s="822"/>
      <c r="OFR40" s="822"/>
      <c r="OFS40" s="822"/>
      <c r="OFT40" s="822"/>
      <c r="OFU40" s="822"/>
      <c r="OFV40" s="822"/>
      <c r="OFW40" s="822"/>
      <c r="OFX40" s="822"/>
      <c r="OFY40" s="822"/>
      <c r="OFZ40" s="822"/>
      <c r="OGA40" s="822"/>
      <c r="OGB40" s="822"/>
      <c r="OGC40" s="822"/>
      <c r="OGD40" s="822"/>
      <c r="OGE40" s="822"/>
      <c r="OGF40" s="822"/>
      <c r="OGG40" s="822"/>
      <c r="OGH40" s="822"/>
      <c r="OGI40" s="822"/>
      <c r="OGJ40" s="822"/>
      <c r="OGK40" s="822"/>
      <c r="OGL40" s="822"/>
      <c r="OGM40" s="822"/>
      <c r="OGN40" s="822"/>
      <c r="OGO40" s="822"/>
      <c r="OGP40" s="822"/>
      <c r="OGQ40" s="822"/>
      <c r="OGR40" s="822"/>
      <c r="OGS40" s="822"/>
      <c r="OGT40" s="822"/>
      <c r="OGU40" s="822"/>
      <c r="OGV40" s="822"/>
      <c r="OGW40" s="822"/>
      <c r="OGX40" s="822"/>
      <c r="OGY40" s="822"/>
      <c r="OGZ40" s="822"/>
      <c r="OHA40" s="822"/>
      <c r="OHB40" s="822"/>
      <c r="OHC40" s="822"/>
      <c r="OHD40" s="822"/>
      <c r="OHE40" s="822"/>
      <c r="OHF40" s="822"/>
      <c r="OHG40" s="822"/>
      <c r="OHH40" s="822"/>
      <c r="OHI40" s="822"/>
      <c r="OHJ40" s="822"/>
      <c r="OHK40" s="822"/>
      <c r="OHL40" s="822"/>
      <c r="OHM40" s="822"/>
      <c r="OHN40" s="822"/>
      <c r="OHO40" s="822"/>
      <c r="OHP40" s="822"/>
      <c r="OHQ40" s="822"/>
      <c r="OHR40" s="822"/>
      <c r="OHS40" s="822"/>
      <c r="OHT40" s="822"/>
      <c r="OHU40" s="822"/>
      <c r="OHV40" s="822"/>
      <c r="OHW40" s="822"/>
      <c r="OHX40" s="822"/>
      <c r="OHY40" s="822"/>
      <c r="OHZ40" s="822"/>
      <c r="OIA40" s="822"/>
      <c r="OIB40" s="822"/>
      <c r="OIC40" s="822"/>
      <c r="OID40" s="822"/>
      <c r="OIE40" s="822"/>
      <c r="OIF40" s="822"/>
      <c r="OIG40" s="822"/>
      <c r="OIH40" s="822"/>
      <c r="OII40" s="822"/>
      <c r="OIJ40" s="822"/>
      <c r="OIK40" s="822"/>
      <c r="OIL40" s="822"/>
      <c r="OIM40" s="822"/>
      <c r="OIN40" s="822"/>
      <c r="OIO40" s="822"/>
      <c r="OIP40" s="822"/>
      <c r="OIQ40" s="822"/>
      <c r="OIR40" s="822"/>
      <c r="OIS40" s="822"/>
      <c r="OIT40" s="822"/>
      <c r="OIU40" s="822"/>
      <c r="OIV40" s="822"/>
      <c r="OIW40" s="822"/>
      <c r="OIX40" s="822"/>
      <c r="OIY40" s="822"/>
      <c r="OIZ40" s="822"/>
      <c r="OJA40" s="822"/>
      <c r="OJB40" s="822"/>
      <c r="OJC40" s="822"/>
      <c r="OJD40" s="822"/>
      <c r="OJE40" s="822"/>
      <c r="OJF40" s="822"/>
      <c r="OJG40" s="822"/>
      <c r="OJH40" s="822"/>
      <c r="OJI40" s="822"/>
      <c r="OJJ40" s="822"/>
      <c r="OJK40" s="822"/>
      <c r="OJL40" s="822"/>
      <c r="OJM40" s="822"/>
      <c r="OJN40" s="822"/>
      <c r="OJO40" s="822"/>
      <c r="OJP40" s="822"/>
      <c r="OJQ40" s="822"/>
      <c r="OJR40" s="822"/>
      <c r="OJS40" s="822"/>
      <c r="OJT40" s="822"/>
      <c r="OJU40" s="822"/>
      <c r="OJV40" s="822"/>
      <c r="OJW40" s="822"/>
      <c r="OJX40" s="822"/>
      <c r="OJY40" s="822"/>
      <c r="OJZ40" s="822"/>
      <c r="OKA40" s="822"/>
      <c r="OKB40" s="822"/>
      <c r="OKC40" s="822"/>
      <c r="OKD40" s="822"/>
      <c r="OKE40" s="822"/>
      <c r="OKF40" s="822"/>
      <c r="OKG40" s="822"/>
      <c r="OKH40" s="822"/>
      <c r="OKI40" s="822"/>
      <c r="OKJ40" s="822"/>
      <c r="OKK40" s="822"/>
      <c r="OKL40" s="822"/>
      <c r="OKM40" s="822"/>
      <c r="OKN40" s="822"/>
      <c r="OKO40" s="822"/>
      <c r="OKP40" s="822"/>
      <c r="OKQ40" s="822"/>
      <c r="OKR40" s="822"/>
      <c r="OKS40" s="822"/>
      <c r="OKT40" s="822"/>
      <c r="OKU40" s="822"/>
      <c r="OKV40" s="822"/>
      <c r="OKW40" s="822"/>
      <c r="OKX40" s="822"/>
      <c r="OKY40" s="822"/>
      <c r="OKZ40" s="822"/>
      <c r="OLA40" s="822"/>
      <c r="OLB40" s="822"/>
      <c r="OLC40" s="822"/>
      <c r="OLD40" s="822"/>
      <c r="OLE40" s="822"/>
      <c r="OLF40" s="822"/>
      <c r="OLG40" s="822"/>
      <c r="OLH40" s="822"/>
      <c r="OLI40" s="822"/>
      <c r="OLJ40" s="822"/>
      <c r="OLK40" s="822"/>
      <c r="OLL40" s="822"/>
      <c r="OLM40" s="822"/>
      <c r="OLN40" s="822"/>
      <c r="OLO40" s="822"/>
      <c r="OLP40" s="822"/>
      <c r="OLQ40" s="822"/>
      <c r="OLR40" s="822"/>
      <c r="OLS40" s="822"/>
      <c r="OLT40" s="822"/>
      <c r="OLU40" s="822"/>
      <c r="OLV40" s="822"/>
      <c r="OLW40" s="822"/>
      <c r="OLX40" s="822"/>
      <c r="OLY40" s="822"/>
      <c r="OLZ40" s="822"/>
      <c r="OMA40" s="822"/>
      <c r="OMB40" s="822"/>
      <c r="OMC40" s="822"/>
      <c r="OMD40" s="822"/>
      <c r="OME40" s="822"/>
      <c r="OMF40" s="822"/>
      <c r="OMG40" s="822"/>
      <c r="OMH40" s="822"/>
      <c r="OMI40" s="822"/>
      <c r="OMJ40" s="822"/>
      <c r="OMK40" s="822"/>
      <c r="OML40" s="822"/>
      <c r="OMM40" s="822"/>
      <c r="OMN40" s="822"/>
      <c r="OMO40" s="822"/>
      <c r="OMP40" s="822"/>
      <c r="OMQ40" s="822"/>
      <c r="OMR40" s="822"/>
      <c r="OMS40" s="822"/>
      <c r="OMT40" s="822"/>
      <c r="OMU40" s="822"/>
      <c r="OMV40" s="822"/>
      <c r="OMW40" s="822"/>
      <c r="OMX40" s="822"/>
      <c r="OMY40" s="822"/>
      <c r="OMZ40" s="822"/>
      <c r="ONA40" s="822"/>
      <c r="ONB40" s="822"/>
      <c r="ONC40" s="822"/>
      <c r="OND40" s="822"/>
      <c r="ONE40" s="822"/>
      <c r="ONF40" s="822"/>
      <c r="ONG40" s="822"/>
      <c r="ONH40" s="822"/>
      <c r="ONI40" s="822"/>
      <c r="ONJ40" s="822"/>
      <c r="ONK40" s="822"/>
      <c r="ONL40" s="822"/>
      <c r="ONM40" s="822"/>
      <c r="ONN40" s="822"/>
      <c r="ONO40" s="822"/>
      <c r="ONP40" s="822"/>
      <c r="ONQ40" s="822"/>
      <c r="ONR40" s="822"/>
      <c r="ONS40" s="822"/>
      <c r="ONT40" s="822"/>
      <c r="ONU40" s="822"/>
      <c r="ONV40" s="822"/>
      <c r="ONW40" s="822"/>
      <c r="ONX40" s="822"/>
      <c r="ONY40" s="822"/>
      <c r="ONZ40" s="822"/>
      <c r="OOA40" s="822"/>
      <c r="OOB40" s="822"/>
      <c r="OOC40" s="822"/>
      <c r="OOD40" s="822"/>
      <c r="OOE40" s="822"/>
      <c r="OOF40" s="822"/>
      <c r="OOG40" s="822"/>
      <c r="OOH40" s="822"/>
      <c r="OOI40" s="822"/>
      <c r="OOJ40" s="822"/>
      <c r="OOK40" s="822"/>
      <c r="OOL40" s="822"/>
      <c r="OOM40" s="822"/>
      <c r="OON40" s="822"/>
      <c r="OOO40" s="822"/>
      <c r="OOP40" s="822"/>
      <c r="OOQ40" s="822"/>
      <c r="OOR40" s="822"/>
      <c r="OOS40" s="822"/>
      <c r="OOT40" s="822"/>
      <c r="OOU40" s="822"/>
      <c r="OOV40" s="822"/>
      <c r="OOW40" s="822"/>
      <c r="OOX40" s="822"/>
      <c r="OOY40" s="822"/>
      <c r="OOZ40" s="822"/>
      <c r="OPA40" s="822"/>
      <c r="OPB40" s="822"/>
      <c r="OPC40" s="822"/>
      <c r="OPD40" s="822"/>
      <c r="OPE40" s="822"/>
      <c r="OPF40" s="822"/>
      <c r="OPG40" s="822"/>
      <c r="OPH40" s="822"/>
      <c r="OPI40" s="822"/>
      <c r="OPJ40" s="822"/>
      <c r="OPK40" s="822"/>
      <c r="OPL40" s="822"/>
      <c r="OPM40" s="822"/>
      <c r="OPN40" s="822"/>
      <c r="OPO40" s="822"/>
      <c r="OPP40" s="822"/>
      <c r="OPQ40" s="822"/>
      <c r="OPR40" s="822"/>
      <c r="OPS40" s="822"/>
      <c r="OPT40" s="822"/>
      <c r="OPU40" s="822"/>
      <c r="OPV40" s="822"/>
      <c r="OPW40" s="822"/>
      <c r="OPX40" s="822"/>
      <c r="OPY40" s="822"/>
      <c r="OPZ40" s="822"/>
      <c r="OQA40" s="822"/>
      <c r="OQB40" s="822"/>
      <c r="OQC40" s="822"/>
      <c r="OQD40" s="822"/>
      <c r="OQE40" s="822"/>
      <c r="OQF40" s="822"/>
      <c r="OQG40" s="822"/>
      <c r="OQH40" s="822"/>
      <c r="OQI40" s="822"/>
      <c r="OQJ40" s="822"/>
      <c r="OQK40" s="822"/>
      <c r="OQL40" s="822"/>
      <c r="OQM40" s="822"/>
      <c r="OQN40" s="822"/>
      <c r="OQO40" s="822"/>
      <c r="OQP40" s="822"/>
      <c r="OQQ40" s="822"/>
      <c r="OQR40" s="822"/>
      <c r="OQS40" s="822"/>
      <c r="OQT40" s="822"/>
      <c r="OQU40" s="822"/>
      <c r="OQV40" s="822"/>
      <c r="OQW40" s="822"/>
      <c r="OQX40" s="822"/>
      <c r="OQY40" s="822"/>
      <c r="OQZ40" s="822"/>
      <c r="ORA40" s="822"/>
      <c r="ORB40" s="822"/>
      <c r="ORC40" s="822"/>
      <c r="ORD40" s="822"/>
      <c r="ORE40" s="822"/>
      <c r="ORF40" s="822"/>
      <c r="ORG40" s="822"/>
      <c r="ORH40" s="822"/>
      <c r="ORI40" s="822"/>
      <c r="ORJ40" s="822"/>
      <c r="ORK40" s="822"/>
      <c r="ORL40" s="822"/>
      <c r="ORM40" s="822"/>
      <c r="ORN40" s="822"/>
      <c r="ORO40" s="822"/>
      <c r="ORP40" s="822"/>
      <c r="ORQ40" s="822"/>
      <c r="ORR40" s="822"/>
      <c r="ORS40" s="822"/>
      <c r="ORT40" s="822"/>
      <c r="ORU40" s="822"/>
      <c r="ORV40" s="822"/>
      <c r="ORW40" s="822"/>
      <c r="ORX40" s="822"/>
      <c r="ORY40" s="822"/>
      <c r="ORZ40" s="822"/>
      <c r="OSA40" s="822"/>
      <c r="OSB40" s="822"/>
      <c r="OSC40" s="822"/>
      <c r="OSD40" s="822"/>
      <c r="OSE40" s="822"/>
      <c r="OSF40" s="822"/>
      <c r="OSG40" s="822"/>
      <c r="OSH40" s="822"/>
      <c r="OSI40" s="822"/>
      <c r="OSJ40" s="822"/>
      <c r="OSK40" s="822"/>
      <c r="OSL40" s="822"/>
      <c r="OSM40" s="822"/>
      <c r="OSN40" s="822"/>
      <c r="OSO40" s="822"/>
      <c r="OSP40" s="822"/>
      <c r="OSQ40" s="822"/>
      <c r="OSR40" s="822"/>
      <c r="OSS40" s="822"/>
      <c r="OST40" s="822"/>
      <c r="OSU40" s="822"/>
      <c r="OSV40" s="822"/>
      <c r="OSW40" s="822"/>
      <c r="OSX40" s="822"/>
      <c r="OSY40" s="822"/>
      <c r="OSZ40" s="822"/>
      <c r="OTA40" s="822"/>
      <c r="OTB40" s="822"/>
      <c r="OTC40" s="822"/>
      <c r="OTD40" s="822"/>
      <c r="OTE40" s="822"/>
      <c r="OTF40" s="822"/>
      <c r="OTG40" s="822"/>
      <c r="OTH40" s="822"/>
      <c r="OTI40" s="822"/>
      <c r="OTJ40" s="822"/>
      <c r="OTK40" s="822"/>
      <c r="OTL40" s="822"/>
      <c r="OTM40" s="822"/>
      <c r="OTN40" s="822"/>
      <c r="OTO40" s="822"/>
      <c r="OTP40" s="822"/>
      <c r="OTQ40" s="822"/>
      <c r="OTR40" s="822"/>
      <c r="OTS40" s="822"/>
      <c r="OTT40" s="822"/>
      <c r="OTU40" s="822"/>
      <c r="OTV40" s="822"/>
      <c r="OTW40" s="822"/>
      <c r="OTX40" s="822"/>
      <c r="OTY40" s="822"/>
      <c r="OTZ40" s="822"/>
      <c r="OUA40" s="822"/>
      <c r="OUB40" s="822"/>
      <c r="OUC40" s="822"/>
      <c r="OUD40" s="822"/>
      <c r="OUE40" s="822"/>
      <c r="OUF40" s="822"/>
      <c r="OUG40" s="822"/>
      <c r="OUH40" s="822"/>
      <c r="OUI40" s="822"/>
      <c r="OUJ40" s="822"/>
      <c r="OUK40" s="822"/>
      <c r="OUL40" s="822"/>
      <c r="OUM40" s="822"/>
      <c r="OUN40" s="822"/>
      <c r="OUO40" s="822"/>
      <c r="OUP40" s="822"/>
      <c r="OUQ40" s="822"/>
      <c r="OUR40" s="822"/>
      <c r="OUS40" s="822"/>
      <c r="OUT40" s="822"/>
      <c r="OUU40" s="822"/>
      <c r="OUV40" s="822"/>
      <c r="OUW40" s="822"/>
      <c r="OUX40" s="822"/>
      <c r="OUY40" s="822"/>
      <c r="OUZ40" s="822"/>
      <c r="OVA40" s="822"/>
      <c r="OVB40" s="822"/>
      <c r="OVC40" s="822"/>
      <c r="OVD40" s="822"/>
      <c r="OVE40" s="822"/>
      <c r="OVF40" s="822"/>
      <c r="OVG40" s="822"/>
      <c r="OVH40" s="822"/>
      <c r="OVI40" s="822"/>
      <c r="OVJ40" s="822"/>
      <c r="OVK40" s="822"/>
      <c r="OVL40" s="822"/>
      <c r="OVM40" s="822"/>
      <c r="OVN40" s="822"/>
      <c r="OVO40" s="822"/>
      <c r="OVP40" s="822"/>
      <c r="OVQ40" s="822"/>
      <c r="OVR40" s="822"/>
      <c r="OVS40" s="822"/>
      <c r="OVT40" s="822"/>
      <c r="OVU40" s="822"/>
      <c r="OVV40" s="822"/>
      <c r="OVW40" s="822"/>
      <c r="OVX40" s="822"/>
      <c r="OVY40" s="822"/>
      <c r="OVZ40" s="822"/>
      <c r="OWA40" s="822"/>
      <c r="OWB40" s="822"/>
      <c r="OWC40" s="822"/>
      <c r="OWD40" s="822"/>
      <c r="OWE40" s="822"/>
      <c r="OWF40" s="822"/>
      <c r="OWG40" s="822"/>
      <c r="OWH40" s="822"/>
      <c r="OWI40" s="822"/>
      <c r="OWJ40" s="822"/>
      <c r="OWK40" s="822"/>
      <c r="OWL40" s="822"/>
      <c r="OWM40" s="822"/>
      <c r="OWN40" s="822"/>
      <c r="OWO40" s="822"/>
      <c r="OWP40" s="822"/>
      <c r="OWQ40" s="822"/>
      <c r="OWR40" s="822"/>
      <c r="OWS40" s="822"/>
      <c r="OWT40" s="822"/>
      <c r="OWU40" s="822"/>
      <c r="OWV40" s="822"/>
      <c r="OWW40" s="822"/>
      <c r="OWX40" s="822"/>
      <c r="OWY40" s="822"/>
      <c r="OWZ40" s="822"/>
      <c r="OXA40" s="822"/>
      <c r="OXB40" s="822"/>
      <c r="OXC40" s="822"/>
      <c r="OXD40" s="822"/>
      <c r="OXE40" s="822"/>
      <c r="OXF40" s="822"/>
      <c r="OXG40" s="822"/>
      <c r="OXH40" s="822"/>
      <c r="OXI40" s="822"/>
      <c r="OXJ40" s="822"/>
      <c r="OXK40" s="822"/>
      <c r="OXL40" s="822"/>
      <c r="OXM40" s="822"/>
      <c r="OXN40" s="822"/>
      <c r="OXO40" s="822"/>
      <c r="OXP40" s="822"/>
      <c r="OXQ40" s="822"/>
      <c r="OXR40" s="822"/>
      <c r="OXS40" s="822"/>
      <c r="OXT40" s="822"/>
      <c r="OXU40" s="822"/>
      <c r="OXV40" s="822"/>
      <c r="OXW40" s="822"/>
      <c r="OXX40" s="822"/>
      <c r="OXY40" s="822"/>
      <c r="OXZ40" s="822"/>
      <c r="OYA40" s="822"/>
      <c r="OYB40" s="822"/>
      <c r="OYC40" s="822"/>
      <c r="OYD40" s="822"/>
      <c r="OYE40" s="822"/>
      <c r="OYF40" s="822"/>
      <c r="OYG40" s="822"/>
      <c r="OYH40" s="822"/>
      <c r="OYI40" s="822"/>
      <c r="OYJ40" s="822"/>
      <c r="OYK40" s="822"/>
      <c r="OYL40" s="822"/>
      <c r="OYM40" s="822"/>
      <c r="OYN40" s="822"/>
      <c r="OYO40" s="822"/>
      <c r="OYP40" s="822"/>
      <c r="OYQ40" s="822"/>
      <c r="OYR40" s="822"/>
      <c r="OYS40" s="822"/>
      <c r="OYT40" s="822"/>
      <c r="OYU40" s="822"/>
      <c r="OYV40" s="822"/>
      <c r="OYW40" s="822"/>
      <c r="OYX40" s="822"/>
      <c r="OYY40" s="822"/>
      <c r="OYZ40" s="822"/>
      <c r="OZA40" s="822"/>
      <c r="OZB40" s="822"/>
      <c r="OZC40" s="822"/>
      <c r="OZD40" s="822"/>
      <c r="OZE40" s="822"/>
      <c r="OZF40" s="822"/>
      <c r="OZG40" s="822"/>
      <c r="OZH40" s="822"/>
      <c r="OZI40" s="822"/>
      <c r="OZJ40" s="822"/>
      <c r="OZK40" s="822"/>
      <c r="OZL40" s="822"/>
      <c r="OZM40" s="822"/>
      <c r="OZN40" s="822"/>
      <c r="OZO40" s="822"/>
      <c r="OZP40" s="822"/>
      <c r="OZQ40" s="822"/>
      <c r="OZR40" s="822"/>
      <c r="OZS40" s="822"/>
      <c r="OZT40" s="822"/>
      <c r="OZU40" s="822"/>
      <c r="OZV40" s="822"/>
      <c r="OZW40" s="822"/>
      <c r="OZX40" s="822"/>
      <c r="OZY40" s="822"/>
      <c r="OZZ40" s="822"/>
      <c r="PAA40" s="822"/>
      <c r="PAB40" s="822"/>
      <c r="PAC40" s="822"/>
      <c r="PAD40" s="822"/>
      <c r="PAE40" s="822"/>
      <c r="PAF40" s="822"/>
      <c r="PAG40" s="822"/>
      <c r="PAH40" s="822"/>
      <c r="PAI40" s="822"/>
      <c r="PAJ40" s="822"/>
      <c r="PAK40" s="822"/>
      <c r="PAL40" s="822"/>
      <c r="PAM40" s="822"/>
      <c r="PAN40" s="822"/>
      <c r="PAO40" s="822"/>
      <c r="PAP40" s="822"/>
      <c r="PAQ40" s="822"/>
      <c r="PAR40" s="822"/>
      <c r="PAS40" s="822"/>
      <c r="PAT40" s="822"/>
      <c r="PAU40" s="822"/>
      <c r="PAV40" s="822"/>
      <c r="PAW40" s="822"/>
      <c r="PAX40" s="822"/>
      <c r="PAY40" s="822"/>
      <c r="PAZ40" s="822"/>
      <c r="PBA40" s="822"/>
      <c r="PBB40" s="822"/>
      <c r="PBC40" s="822"/>
      <c r="PBD40" s="822"/>
      <c r="PBE40" s="822"/>
      <c r="PBF40" s="822"/>
      <c r="PBG40" s="822"/>
      <c r="PBH40" s="822"/>
      <c r="PBI40" s="822"/>
      <c r="PBJ40" s="822"/>
      <c r="PBK40" s="822"/>
      <c r="PBL40" s="822"/>
      <c r="PBM40" s="822"/>
      <c r="PBN40" s="822"/>
      <c r="PBO40" s="822"/>
      <c r="PBP40" s="822"/>
      <c r="PBQ40" s="822"/>
      <c r="PBR40" s="822"/>
      <c r="PBS40" s="822"/>
      <c r="PBT40" s="822"/>
      <c r="PBU40" s="822"/>
      <c r="PBV40" s="822"/>
      <c r="PBW40" s="822"/>
      <c r="PBX40" s="822"/>
      <c r="PBY40" s="822"/>
      <c r="PBZ40" s="822"/>
      <c r="PCA40" s="822"/>
      <c r="PCB40" s="822"/>
      <c r="PCC40" s="822"/>
      <c r="PCD40" s="822"/>
      <c r="PCE40" s="822"/>
      <c r="PCF40" s="822"/>
      <c r="PCG40" s="822"/>
      <c r="PCH40" s="822"/>
      <c r="PCI40" s="822"/>
      <c r="PCJ40" s="822"/>
      <c r="PCK40" s="822"/>
      <c r="PCL40" s="822"/>
      <c r="PCM40" s="822"/>
      <c r="PCN40" s="822"/>
      <c r="PCO40" s="822"/>
      <c r="PCP40" s="822"/>
      <c r="PCQ40" s="822"/>
      <c r="PCR40" s="822"/>
      <c r="PCS40" s="822"/>
      <c r="PCT40" s="822"/>
      <c r="PCU40" s="822"/>
      <c r="PCV40" s="822"/>
      <c r="PCW40" s="822"/>
      <c r="PCX40" s="822"/>
      <c r="PCY40" s="822"/>
      <c r="PCZ40" s="822"/>
      <c r="PDA40" s="822"/>
      <c r="PDB40" s="822"/>
      <c r="PDC40" s="822"/>
      <c r="PDD40" s="822"/>
      <c r="PDE40" s="822"/>
      <c r="PDF40" s="822"/>
      <c r="PDG40" s="822"/>
      <c r="PDH40" s="822"/>
      <c r="PDI40" s="822"/>
      <c r="PDJ40" s="822"/>
      <c r="PDK40" s="822"/>
      <c r="PDL40" s="822"/>
      <c r="PDM40" s="822"/>
      <c r="PDN40" s="822"/>
      <c r="PDO40" s="822"/>
      <c r="PDP40" s="822"/>
      <c r="PDQ40" s="822"/>
      <c r="PDR40" s="822"/>
      <c r="PDS40" s="822"/>
      <c r="PDT40" s="822"/>
      <c r="PDU40" s="822"/>
      <c r="PDV40" s="822"/>
      <c r="PDW40" s="822"/>
      <c r="PDX40" s="822"/>
      <c r="PDY40" s="822"/>
      <c r="PDZ40" s="822"/>
      <c r="PEA40" s="822"/>
      <c r="PEB40" s="822"/>
      <c r="PEC40" s="822"/>
      <c r="PED40" s="822"/>
      <c r="PEE40" s="822"/>
      <c r="PEF40" s="822"/>
      <c r="PEG40" s="822"/>
      <c r="PEH40" s="822"/>
      <c r="PEI40" s="822"/>
      <c r="PEJ40" s="822"/>
      <c r="PEK40" s="822"/>
      <c r="PEL40" s="822"/>
      <c r="PEM40" s="822"/>
      <c r="PEN40" s="822"/>
      <c r="PEO40" s="822"/>
      <c r="PEP40" s="822"/>
      <c r="PEQ40" s="822"/>
      <c r="PER40" s="822"/>
      <c r="PES40" s="822"/>
      <c r="PET40" s="822"/>
      <c r="PEU40" s="822"/>
      <c r="PEV40" s="822"/>
      <c r="PEW40" s="822"/>
      <c r="PEX40" s="822"/>
      <c r="PEY40" s="822"/>
      <c r="PEZ40" s="822"/>
      <c r="PFA40" s="822"/>
      <c r="PFB40" s="822"/>
      <c r="PFC40" s="822"/>
      <c r="PFD40" s="822"/>
      <c r="PFE40" s="822"/>
      <c r="PFF40" s="822"/>
      <c r="PFG40" s="822"/>
      <c r="PFH40" s="822"/>
      <c r="PFI40" s="822"/>
      <c r="PFJ40" s="822"/>
      <c r="PFK40" s="822"/>
      <c r="PFL40" s="822"/>
      <c r="PFM40" s="822"/>
      <c r="PFN40" s="822"/>
      <c r="PFO40" s="822"/>
      <c r="PFP40" s="822"/>
      <c r="PFQ40" s="822"/>
      <c r="PFR40" s="822"/>
      <c r="PFS40" s="822"/>
      <c r="PFT40" s="822"/>
      <c r="PFU40" s="822"/>
      <c r="PFV40" s="822"/>
      <c r="PFW40" s="822"/>
      <c r="PFX40" s="822"/>
      <c r="PFY40" s="822"/>
      <c r="PFZ40" s="822"/>
      <c r="PGA40" s="822"/>
      <c r="PGB40" s="822"/>
      <c r="PGC40" s="822"/>
      <c r="PGD40" s="822"/>
      <c r="PGE40" s="822"/>
      <c r="PGF40" s="822"/>
      <c r="PGG40" s="822"/>
      <c r="PGH40" s="822"/>
      <c r="PGI40" s="822"/>
      <c r="PGJ40" s="822"/>
      <c r="PGK40" s="822"/>
      <c r="PGL40" s="822"/>
      <c r="PGM40" s="822"/>
      <c r="PGN40" s="822"/>
      <c r="PGO40" s="822"/>
      <c r="PGP40" s="822"/>
      <c r="PGQ40" s="822"/>
      <c r="PGR40" s="822"/>
      <c r="PGS40" s="822"/>
      <c r="PGT40" s="822"/>
      <c r="PGU40" s="822"/>
      <c r="PGV40" s="822"/>
      <c r="PGW40" s="822"/>
      <c r="PGX40" s="822"/>
      <c r="PGY40" s="822"/>
      <c r="PGZ40" s="822"/>
      <c r="PHA40" s="822"/>
      <c r="PHB40" s="822"/>
      <c r="PHC40" s="822"/>
      <c r="PHD40" s="822"/>
      <c r="PHE40" s="822"/>
      <c r="PHF40" s="822"/>
      <c r="PHG40" s="822"/>
      <c r="PHH40" s="822"/>
      <c r="PHI40" s="822"/>
      <c r="PHJ40" s="822"/>
      <c r="PHK40" s="822"/>
      <c r="PHL40" s="822"/>
      <c r="PHM40" s="822"/>
      <c r="PHN40" s="822"/>
      <c r="PHO40" s="822"/>
      <c r="PHP40" s="822"/>
      <c r="PHQ40" s="822"/>
      <c r="PHR40" s="822"/>
      <c r="PHS40" s="822"/>
      <c r="PHT40" s="822"/>
      <c r="PHU40" s="822"/>
      <c r="PHV40" s="822"/>
      <c r="PHW40" s="822"/>
      <c r="PHX40" s="822"/>
      <c r="PHY40" s="822"/>
      <c r="PHZ40" s="822"/>
      <c r="PIA40" s="822"/>
      <c r="PIB40" s="822"/>
      <c r="PIC40" s="822"/>
      <c r="PID40" s="822"/>
      <c r="PIE40" s="822"/>
      <c r="PIF40" s="822"/>
      <c r="PIG40" s="822"/>
      <c r="PIH40" s="822"/>
      <c r="PII40" s="822"/>
      <c r="PIJ40" s="822"/>
      <c r="PIK40" s="822"/>
      <c r="PIL40" s="822"/>
      <c r="PIM40" s="822"/>
      <c r="PIN40" s="822"/>
      <c r="PIO40" s="822"/>
      <c r="PIP40" s="822"/>
      <c r="PIQ40" s="822"/>
      <c r="PIR40" s="822"/>
      <c r="PIS40" s="822"/>
      <c r="PIT40" s="822"/>
      <c r="PIU40" s="822"/>
      <c r="PIV40" s="822"/>
      <c r="PIW40" s="822"/>
      <c r="PIX40" s="822"/>
      <c r="PIY40" s="822"/>
      <c r="PIZ40" s="822"/>
      <c r="PJA40" s="822"/>
      <c r="PJB40" s="822"/>
      <c r="PJC40" s="822"/>
      <c r="PJD40" s="822"/>
      <c r="PJE40" s="822"/>
      <c r="PJF40" s="822"/>
      <c r="PJG40" s="822"/>
      <c r="PJH40" s="822"/>
      <c r="PJI40" s="822"/>
      <c r="PJJ40" s="822"/>
      <c r="PJK40" s="822"/>
      <c r="PJL40" s="822"/>
      <c r="PJM40" s="822"/>
      <c r="PJN40" s="822"/>
      <c r="PJO40" s="822"/>
      <c r="PJP40" s="822"/>
      <c r="PJQ40" s="822"/>
      <c r="PJR40" s="822"/>
      <c r="PJS40" s="822"/>
      <c r="PJT40" s="822"/>
      <c r="PJU40" s="822"/>
      <c r="PJV40" s="822"/>
      <c r="PJW40" s="822"/>
      <c r="PJX40" s="822"/>
      <c r="PJY40" s="822"/>
      <c r="PJZ40" s="822"/>
      <c r="PKA40" s="822"/>
      <c r="PKB40" s="822"/>
      <c r="PKC40" s="822"/>
      <c r="PKD40" s="822"/>
      <c r="PKE40" s="822"/>
      <c r="PKF40" s="822"/>
      <c r="PKG40" s="822"/>
      <c r="PKH40" s="822"/>
      <c r="PKI40" s="822"/>
      <c r="PKJ40" s="822"/>
      <c r="PKK40" s="822"/>
      <c r="PKL40" s="822"/>
      <c r="PKM40" s="822"/>
      <c r="PKN40" s="822"/>
      <c r="PKO40" s="822"/>
      <c r="PKP40" s="822"/>
      <c r="PKQ40" s="822"/>
      <c r="PKR40" s="822"/>
      <c r="PKS40" s="822"/>
      <c r="PKT40" s="822"/>
      <c r="PKU40" s="822"/>
      <c r="PKV40" s="822"/>
      <c r="PKW40" s="822"/>
      <c r="PKX40" s="822"/>
      <c r="PKY40" s="822"/>
      <c r="PKZ40" s="822"/>
      <c r="PLA40" s="822"/>
      <c r="PLB40" s="822"/>
      <c r="PLC40" s="822"/>
      <c r="PLD40" s="822"/>
      <c r="PLE40" s="822"/>
      <c r="PLF40" s="822"/>
      <c r="PLG40" s="822"/>
      <c r="PLH40" s="822"/>
      <c r="PLI40" s="822"/>
      <c r="PLJ40" s="822"/>
      <c r="PLK40" s="822"/>
      <c r="PLL40" s="822"/>
      <c r="PLM40" s="822"/>
      <c r="PLN40" s="822"/>
      <c r="PLO40" s="822"/>
      <c r="PLP40" s="822"/>
      <c r="PLQ40" s="822"/>
      <c r="PLR40" s="822"/>
      <c r="PLS40" s="822"/>
      <c r="PLT40" s="822"/>
      <c r="PLU40" s="822"/>
      <c r="PLV40" s="822"/>
      <c r="PLW40" s="822"/>
      <c r="PLX40" s="822"/>
      <c r="PLY40" s="822"/>
      <c r="PLZ40" s="822"/>
      <c r="PMA40" s="822"/>
      <c r="PMB40" s="822"/>
      <c r="PMC40" s="822"/>
      <c r="PMD40" s="822"/>
      <c r="PME40" s="822"/>
      <c r="PMF40" s="822"/>
      <c r="PMG40" s="822"/>
      <c r="PMH40" s="822"/>
      <c r="PMI40" s="822"/>
      <c r="PMJ40" s="822"/>
      <c r="PMK40" s="822"/>
      <c r="PML40" s="822"/>
      <c r="PMM40" s="822"/>
      <c r="PMN40" s="822"/>
      <c r="PMO40" s="822"/>
      <c r="PMP40" s="822"/>
      <c r="PMQ40" s="822"/>
      <c r="PMR40" s="822"/>
      <c r="PMS40" s="822"/>
      <c r="PMT40" s="822"/>
      <c r="PMU40" s="822"/>
      <c r="PMV40" s="822"/>
      <c r="PMW40" s="822"/>
      <c r="PMX40" s="822"/>
      <c r="PMY40" s="822"/>
      <c r="PMZ40" s="822"/>
      <c r="PNA40" s="822"/>
      <c r="PNB40" s="822"/>
      <c r="PNC40" s="822"/>
      <c r="PND40" s="822"/>
      <c r="PNE40" s="822"/>
      <c r="PNF40" s="822"/>
      <c r="PNG40" s="822"/>
      <c r="PNH40" s="822"/>
      <c r="PNI40" s="822"/>
      <c r="PNJ40" s="822"/>
      <c r="PNK40" s="822"/>
      <c r="PNL40" s="822"/>
      <c r="PNM40" s="822"/>
      <c r="PNN40" s="822"/>
      <c r="PNO40" s="822"/>
      <c r="PNP40" s="822"/>
      <c r="PNQ40" s="822"/>
      <c r="PNR40" s="822"/>
      <c r="PNS40" s="822"/>
      <c r="PNT40" s="822"/>
      <c r="PNU40" s="822"/>
      <c r="PNV40" s="822"/>
      <c r="PNW40" s="822"/>
      <c r="PNX40" s="822"/>
      <c r="PNY40" s="822"/>
      <c r="PNZ40" s="822"/>
      <c r="POA40" s="822"/>
      <c r="POB40" s="822"/>
      <c r="POC40" s="822"/>
      <c r="POD40" s="822"/>
      <c r="POE40" s="822"/>
      <c r="POF40" s="822"/>
      <c r="POG40" s="822"/>
      <c r="POH40" s="822"/>
      <c r="POI40" s="822"/>
      <c r="POJ40" s="822"/>
      <c r="POK40" s="822"/>
      <c r="POL40" s="822"/>
      <c r="POM40" s="822"/>
      <c r="PON40" s="822"/>
      <c r="POO40" s="822"/>
      <c r="POP40" s="822"/>
      <c r="POQ40" s="822"/>
      <c r="POR40" s="822"/>
      <c r="POS40" s="822"/>
      <c r="POT40" s="822"/>
      <c r="POU40" s="822"/>
      <c r="POV40" s="822"/>
      <c r="POW40" s="822"/>
      <c r="POX40" s="822"/>
      <c r="POY40" s="822"/>
      <c r="POZ40" s="822"/>
      <c r="PPA40" s="822"/>
      <c r="PPB40" s="822"/>
      <c r="PPC40" s="822"/>
      <c r="PPD40" s="822"/>
      <c r="PPE40" s="822"/>
      <c r="PPF40" s="822"/>
      <c r="PPG40" s="822"/>
      <c r="PPH40" s="822"/>
      <c r="PPI40" s="822"/>
      <c r="PPJ40" s="822"/>
      <c r="PPK40" s="822"/>
      <c r="PPL40" s="822"/>
      <c r="PPM40" s="822"/>
      <c r="PPN40" s="822"/>
      <c r="PPO40" s="822"/>
      <c r="PPP40" s="822"/>
      <c r="PPQ40" s="822"/>
      <c r="PPR40" s="822"/>
      <c r="PPS40" s="822"/>
      <c r="PPT40" s="822"/>
      <c r="PPU40" s="822"/>
      <c r="PPV40" s="822"/>
      <c r="PPW40" s="822"/>
      <c r="PPX40" s="822"/>
      <c r="PPY40" s="822"/>
      <c r="PPZ40" s="822"/>
      <c r="PQA40" s="822"/>
      <c r="PQB40" s="822"/>
      <c r="PQC40" s="822"/>
      <c r="PQD40" s="822"/>
      <c r="PQE40" s="822"/>
      <c r="PQF40" s="822"/>
      <c r="PQG40" s="822"/>
      <c r="PQH40" s="822"/>
      <c r="PQI40" s="822"/>
      <c r="PQJ40" s="822"/>
      <c r="PQK40" s="822"/>
      <c r="PQL40" s="822"/>
      <c r="PQM40" s="822"/>
      <c r="PQN40" s="822"/>
      <c r="PQO40" s="822"/>
      <c r="PQP40" s="822"/>
      <c r="PQQ40" s="822"/>
      <c r="PQR40" s="822"/>
      <c r="PQS40" s="822"/>
      <c r="PQT40" s="822"/>
      <c r="PQU40" s="822"/>
      <c r="PQV40" s="822"/>
      <c r="PQW40" s="822"/>
      <c r="PQX40" s="822"/>
      <c r="PQY40" s="822"/>
      <c r="PQZ40" s="822"/>
      <c r="PRA40" s="822"/>
      <c r="PRB40" s="822"/>
      <c r="PRC40" s="822"/>
      <c r="PRD40" s="822"/>
      <c r="PRE40" s="822"/>
      <c r="PRF40" s="822"/>
      <c r="PRG40" s="822"/>
      <c r="PRH40" s="822"/>
      <c r="PRI40" s="822"/>
      <c r="PRJ40" s="822"/>
      <c r="PRK40" s="822"/>
      <c r="PRL40" s="822"/>
      <c r="PRM40" s="822"/>
      <c r="PRN40" s="822"/>
      <c r="PRO40" s="822"/>
      <c r="PRP40" s="822"/>
      <c r="PRQ40" s="822"/>
      <c r="PRR40" s="822"/>
      <c r="PRS40" s="822"/>
      <c r="PRT40" s="822"/>
      <c r="PRU40" s="822"/>
      <c r="PRV40" s="822"/>
      <c r="PRW40" s="822"/>
      <c r="PRX40" s="822"/>
      <c r="PRY40" s="822"/>
      <c r="PRZ40" s="822"/>
      <c r="PSA40" s="822"/>
      <c r="PSB40" s="822"/>
      <c r="PSC40" s="822"/>
      <c r="PSD40" s="822"/>
      <c r="PSE40" s="822"/>
      <c r="PSF40" s="822"/>
      <c r="PSG40" s="822"/>
      <c r="PSH40" s="822"/>
      <c r="PSI40" s="822"/>
      <c r="PSJ40" s="822"/>
      <c r="PSK40" s="822"/>
      <c r="PSL40" s="822"/>
      <c r="PSM40" s="822"/>
      <c r="PSN40" s="822"/>
      <c r="PSO40" s="822"/>
      <c r="PSP40" s="822"/>
      <c r="PSQ40" s="822"/>
      <c r="PSR40" s="822"/>
      <c r="PSS40" s="822"/>
      <c r="PST40" s="822"/>
      <c r="PSU40" s="822"/>
      <c r="PSV40" s="822"/>
      <c r="PSW40" s="822"/>
      <c r="PSX40" s="822"/>
      <c r="PSY40" s="822"/>
      <c r="PSZ40" s="822"/>
      <c r="PTA40" s="822"/>
      <c r="PTB40" s="822"/>
      <c r="PTC40" s="822"/>
      <c r="PTD40" s="822"/>
      <c r="PTE40" s="822"/>
      <c r="PTF40" s="822"/>
      <c r="PTG40" s="822"/>
      <c r="PTH40" s="822"/>
      <c r="PTI40" s="822"/>
      <c r="PTJ40" s="822"/>
      <c r="PTK40" s="822"/>
      <c r="PTL40" s="822"/>
      <c r="PTM40" s="822"/>
      <c r="PTN40" s="822"/>
      <c r="PTO40" s="822"/>
      <c r="PTP40" s="822"/>
      <c r="PTQ40" s="822"/>
      <c r="PTR40" s="822"/>
      <c r="PTS40" s="822"/>
      <c r="PTT40" s="822"/>
      <c r="PTU40" s="822"/>
      <c r="PTV40" s="822"/>
      <c r="PTW40" s="822"/>
      <c r="PTX40" s="822"/>
      <c r="PTY40" s="822"/>
      <c r="PTZ40" s="822"/>
      <c r="PUA40" s="822"/>
      <c r="PUB40" s="822"/>
      <c r="PUC40" s="822"/>
      <c r="PUD40" s="822"/>
      <c r="PUE40" s="822"/>
      <c r="PUF40" s="822"/>
      <c r="PUG40" s="822"/>
      <c r="PUH40" s="822"/>
      <c r="PUI40" s="822"/>
      <c r="PUJ40" s="822"/>
      <c r="PUK40" s="822"/>
      <c r="PUL40" s="822"/>
      <c r="PUM40" s="822"/>
      <c r="PUN40" s="822"/>
      <c r="PUO40" s="822"/>
      <c r="PUP40" s="822"/>
      <c r="PUQ40" s="822"/>
      <c r="PUR40" s="822"/>
      <c r="PUS40" s="822"/>
      <c r="PUT40" s="822"/>
      <c r="PUU40" s="822"/>
      <c r="PUV40" s="822"/>
      <c r="PUW40" s="822"/>
      <c r="PUX40" s="822"/>
      <c r="PUY40" s="822"/>
      <c r="PUZ40" s="822"/>
      <c r="PVA40" s="822"/>
      <c r="PVB40" s="822"/>
      <c r="PVC40" s="822"/>
      <c r="PVD40" s="822"/>
      <c r="PVE40" s="822"/>
      <c r="PVF40" s="822"/>
      <c r="PVG40" s="822"/>
      <c r="PVH40" s="822"/>
      <c r="PVI40" s="822"/>
      <c r="PVJ40" s="822"/>
      <c r="PVK40" s="822"/>
      <c r="PVL40" s="822"/>
      <c r="PVM40" s="822"/>
      <c r="PVN40" s="822"/>
      <c r="PVO40" s="822"/>
      <c r="PVP40" s="822"/>
      <c r="PVQ40" s="822"/>
      <c r="PVR40" s="822"/>
      <c r="PVS40" s="822"/>
      <c r="PVT40" s="822"/>
      <c r="PVU40" s="822"/>
      <c r="PVV40" s="822"/>
      <c r="PVW40" s="822"/>
      <c r="PVX40" s="822"/>
      <c r="PVY40" s="822"/>
      <c r="PVZ40" s="822"/>
      <c r="PWA40" s="822"/>
      <c r="PWB40" s="822"/>
      <c r="PWC40" s="822"/>
      <c r="PWD40" s="822"/>
      <c r="PWE40" s="822"/>
      <c r="PWF40" s="822"/>
      <c r="PWG40" s="822"/>
      <c r="PWH40" s="822"/>
      <c r="PWI40" s="822"/>
      <c r="PWJ40" s="822"/>
      <c r="PWK40" s="822"/>
      <c r="PWL40" s="822"/>
      <c r="PWM40" s="822"/>
      <c r="PWN40" s="822"/>
      <c r="PWO40" s="822"/>
      <c r="PWP40" s="822"/>
      <c r="PWQ40" s="822"/>
      <c r="PWR40" s="822"/>
      <c r="PWS40" s="822"/>
      <c r="PWT40" s="822"/>
      <c r="PWU40" s="822"/>
      <c r="PWV40" s="822"/>
      <c r="PWW40" s="822"/>
      <c r="PWX40" s="822"/>
      <c r="PWY40" s="822"/>
      <c r="PWZ40" s="822"/>
      <c r="PXA40" s="822"/>
      <c r="PXB40" s="822"/>
      <c r="PXC40" s="822"/>
      <c r="PXD40" s="822"/>
      <c r="PXE40" s="822"/>
      <c r="PXF40" s="822"/>
      <c r="PXG40" s="822"/>
      <c r="PXH40" s="822"/>
      <c r="PXI40" s="822"/>
      <c r="PXJ40" s="822"/>
      <c r="PXK40" s="822"/>
      <c r="PXL40" s="822"/>
      <c r="PXM40" s="822"/>
      <c r="PXN40" s="822"/>
      <c r="PXO40" s="822"/>
      <c r="PXP40" s="822"/>
      <c r="PXQ40" s="822"/>
      <c r="PXR40" s="822"/>
      <c r="PXS40" s="822"/>
      <c r="PXT40" s="822"/>
      <c r="PXU40" s="822"/>
      <c r="PXV40" s="822"/>
      <c r="PXW40" s="822"/>
      <c r="PXX40" s="822"/>
      <c r="PXY40" s="822"/>
      <c r="PXZ40" s="822"/>
      <c r="PYA40" s="822"/>
      <c r="PYB40" s="822"/>
      <c r="PYC40" s="822"/>
      <c r="PYD40" s="822"/>
      <c r="PYE40" s="822"/>
      <c r="PYF40" s="822"/>
      <c r="PYG40" s="822"/>
      <c r="PYH40" s="822"/>
      <c r="PYI40" s="822"/>
      <c r="PYJ40" s="822"/>
      <c r="PYK40" s="822"/>
      <c r="PYL40" s="822"/>
      <c r="PYM40" s="822"/>
      <c r="PYN40" s="822"/>
      <c r="PYO40" s="822"/>
      <c r="PYP40" s="822"/>
      <c r="PYQ40" s="822"/>
      <c r="PYR40" s="822"/>
      <c r="PYS40" s="822"/>
      <c r="PYT40" s="822"/>
      <c r="PYU40" s="822"/>
      <c r="PYV40" s="822"/>
      <c r="PYW40" s="822"/>
      <c r="PYX40" s="822"/>
      <c r="PYY40" s="822"/>
      <c r="PYZ40" s="822"/>
      <c r="PZA40" s="822"/>
      <c r="PZB40" s="822"/>
      <c r="PZC40" s="822"/>
      <c r="PZD40" s="822"/>
      <c r="PZE40" s="822"/>
      <c r="PZF40" s="822"/>
      <c r="PZG40" s="822"/>
      <c r="PZH40" s="822"/>
      <c r="PZI40" s="822"/>
      <c r="PZJ40" s="822"/>
      <c r="PZK40" s="822"/>
      <c r="PZL40" s="822"/>
      <c r="PZM40" s="822"/>
      <c r="PZN40" s="822"/>
      <c r="PZO40" s="822"/>
      <c r="PZP40" s="822"/>
      <c r="PZQ40" s="822"/>
      <c r="PZR40" s="822"/>
      <c r="PZS40" s="822"/>
      <c r="PZT40" s="822"/>
      <c r="PZU40" s="822"/>
      <c r="PZV40" s="822"/>
      <c r="PZW40" s="822"/>
      <c r="PZX40" s="822"/>
      <c r="PZY40" s="822"/>
      <c r="PZZ40" s="822"/>
      <c r="QAA40" s="822"/>
      <c r="QAB40" s="822"/>
      <c r="QAC40" s="822"/>
      <c r="QAD40" s="822"/>
      <c r="QAE40" s="822"/>
      <c r="QAF40" s="822"/>
      <c r="QAG40" s="822"/>
      <c r="QAH40" s="822"/>
      <c r="QAI40" s="822"/>
      <c r="QAJ40" s="822"/>
      <c r="QAK40" s="822"/>
      <c r="QAL40" s="822"/>
      <c r="QAM40" s="822"/>
      <c r="QAN40" s="822"/>
      <c r="QAO40" s="822"/>
      <c r="QAP40" s="822"/>
      <c r="QAQ40" s="822"/>
      <c r="QAR40" s="822"/>
      <c r="QAS40" s="822"/>
      <c r="QAT40" s="822"/>
      <c r="QAU40" s="822"/>
      <c r="QAV40" s="822"/>
      <c r="QAW40" s="822"/>
      <c r="QAX40" s="822"/>
      <c r="QAY40" s="822"/>
      <c r="QAZ40" s="822"/>
      <c r="QBA40" s="822"/>
      <c r="QBB40" s="822"/>
      <c r="QBC40" s="822"/>
      <c r="QBD40" s="822"/>
      <c r="QBE40" s="822"/>
      <c r="QBF40" s="822"/>
      <c r="QBG40" s="822"/>
      <c r="QBH40" s="822"/>
      <c r="QBI40" s="822"/>
      <c r="QBJ40" s="822"/>
      <c r="QBK40" s="822"/>
      <c r="QBL40" s="822"/>
      <c r="QBM40" s="822"/>
      <c r="QBN40" s="822"/>
      <c r="QBO40" s="822"/>
      <c r="QBP40" s="822"/>
      <c r="QBQ40" s="822"/>
      <c r="QBR40" s="822"/>
      <c r="QBS40" s="822"/>
      <c r="QBT40" s="822"/>
      <c r="QBU40" s="822"/>
      <c r="QBV40" s="822"/>
      <c r="QBW40" s="822"/>
      <c r="QBX40" s="822"/>
      <c r="QBY40" s="822"/>
      <c r="QBZ40" s="822"/>
      <c r="QCA40" s="822"/>
      <c r="QCB40" s="822"/>
      <c r="QCC40" s="822"/>
      <c r="QCD40" s="822"/>
      <c r="QCE40" s="822"/>
      <c r="QCF40" s="822"/>
      <c r="QCG40" s="822"/>
      <c r="QCH40" s="822"/>
      <c r="QCI40" s="822"/>
      <c r="QCJ40" s="822"/>
      <c r="QCK40" s="822"/>
      <c r="QCL40" s="822"/>
      <c r="QCM40" s="822"/>
      <c r="QCN40" s="822"/>
      <c r="QCO40" s="822"/>
      <c r="QCP40" s="822"/>
      <c r="QCQ40" s="822"/>
      <c r="QCR40" s="822"/>
      <c r="QCS40" s="822"/>
      <c r="QCT40" s="822"/>
      <c r="QCU40" s="822"/>
      <c r="QCV40" s="822"/>
      <c r="QCW40" s="822"/>
      <c r="QCX40" s="822"/>
      <c r="QCY40" s="822"/>
      <c r="QCZ40" s="822"/>
      <c r="QDA40" s="822"/>
      <c r="QDB40" s="822"/>
      <c r="QDC40" s="822"/>
      <c r="QDD40" s="822"/>
      <c r="QDE40" s="822"/>
      <c r="QDF40" s="822"/>
      <c r="QDG40" s="822"/>
      <c r="QDH40" s="822"/>
      <c r="QDI40" s="822"/>
      <c r="QDJ40" s="822"/>
      <c r="QDK40" s="822"/>
      <c r="QDL40" s="822"/>
      <c r="QDM40" s="822"/>
      <c r="QDN40" s="822"/>
      <c r="QDO40" s="822"/>
      <c r="QDP40" s="822"/>
      <c r="QDQ40" s="822"/>
      <c r="QDR40" s="822"/>
      <c r="QDS40" s="822"/>
      <c r="QDT40" s="822"/>
      <c r="QDU40" s="822"/>
      <c r="QDV40" s="822"/>
      <c r="QDW40" s="822"/>
      <c r="QDX40" s="822"/>
      <c r="QDY40" s="822"/>
      <c r="QDZ40" s="822"/>
      <c r="QEA40" s="822"/>
      <c r="QEB40" s="822"/>
      <c r="QEC40" s="822"/>
      <c r="QED40" s="822"/>
      <c r="QEE40" s="822"/>
      <c r="QEF40" s="822"/>
      <c r="QEG40" s="822"/>
      <c r="QEH40" s="822"/>
      <c r="QEI40" s="822"/>
      <c r="QEJ40" s="822"/>
      <c r="QEK40" s="822"/>
      <c r="QEL40" s="822"/>
      <c r="QEM40" s="822"/>
      <c r="QEN40" s="822"/>
      <c r="QEO40" s="822"/>
      <c r="QEP40" s="822"/>
      <c r="QEQ40" s="822"/>
      <c r="QER40" s="822"/>
      <c r="QES40" s="822"/>
      <c r="QET40" s="822"/>
      <c r="QEU40" s="822"/>
      <c r="QEV40" s="822"/>
      <c r="QEW40" s="822"/>
      <c r="QEX40" s="822"/>
      <c r="QEY40" s="822"/>
      <c r="QEZ40" s="822"/>
      <c r="QFA40" s="822"/>
      <c r="QFB40" s="822"/>
      <c r="QFC40" s="822"/>
      <c r="QFD40" s="822"/>
      <c r="QFE40" s="822"/>
      <c r="QFF40" s="822"/>
      <c r="QFG40" s="822"/>
      <c r="QFH40" s="822"/>
      <c r="QFI40" s="822"/>
      <c r="QFJ40" s="822"/>
      <c r="QFK40" s="822"/>
      <c r="QFL40" s="822"/>
      <c r="QFM40" s="822"/>
      <c r="QFN40" s="822"/>
      <c r="QFO40" s="822"/>
      <c r="QFP40" s="822"/>
      <c r="QFQ40" s="822"/>
      <c r="QFR40" s="822"/>
      <c r="QFS40" s="822"/>
      <c r="QFT40" s="822"/>
      <c r="QFU40" s="822"/>
      <c r="QFV40" s="822"/>
      <c r="QFW40" s="822"/>
      <c r="QFX40" s="822"/>
      <c r="QFY40" s="822"/>
      <c r="QFZ40" s="822"/>
      <c r="QGA40" s="822"/>
      <c r="QGB40" s="822"/>
      <c r="QGC40" s="822"/>
      <c r="QGD40" s="822"/>
      <c r="QGE40" s="822"/>
      <c r="QGF40" s="822"/>
      <c r="QGG40" s="822"/>
      <c r="QGH40" s="822"/>
      <c r="QGI40" s="822"/>
      <c r="QGJ40" s="822"/>
      <c r="QGK40" s="822"/>
      <c r="QGL40" s="822"/>
      <c r="QGM40" s="822"/>
      <c r="QGN40" s="822"/>
      <c r="QGO40" s="822"/>
      <c r="QGP40" s="822"/>
      <c r="QGQ40" s="822"/>
      <c r="QGR40" s="822"/>
      <c r="QGS40" s="822"/>
      <c r="QGT40" s="822"/>
      <c r="QGU40" s="822"/>
      <c r="QGV40" s="822"/>
      <c r="QGW40" s="822"/>
      <c r="QGX40" s="822"/>
      <c r="QGY40" s="822"/>
      <c r="QGZ40" s="822"/>
      <c r="QHA40" s="822"/>
      <c r="QHB40" s="822"/>
      <c r="QHC40" s="822"/>
      <c r="QHD40" s="822"/>
      <c r="QHE40" s="822"/>
      <c r="QHF40" s="822"/>
      <c r="QHG40" s="822"/>
      <c r="QHH40" s="822"/>
      <c r="QHI40" s="822"/>
      <c r="QHJ40" s="822"/>
      <c r="QHK40" s="822"/>
      <c r="QHL40" s="822"/>
      <c r="QHM40" s="822"/>
      <c r="QHN40" s="822"/>
      <c r="QHO40" s="822"/>
      <c r="QHP40" s="822"/>
      <c r="QHQ40" s="822"/>
      <c r="QHR40" s="822"/>
      <c r="QHS40" s="822"/>
      <c r="QHT40" s="822"/>
      <c r="QHU40" s="822"/>
      <c r="QHV40" s="822"/>
      <c r="QHW40" s="822"/>
      <c r="QHX40" s="822"/>
      <c r="QHY40" s="822"/>
      <c r="QHZ40" s="822"/>
      <c r="QIA40" s="822"/>
      <c r="QIB40" s="822"/>
      <c r="QIC40" s="822"/>
      <c r="QID40" s="822"/>
      <c r="QIE40" s="822"/>
      <c r="QIF40" s="822"/>
      <c r="QIG40" s="822"/>
      <c r="QIH40" s="822"/>
      <c r="QII40" s="822"/>
      <c r="QIJ40" s="822"/>
      <c r="QIK40" s="822"/>
      <c r="QIL40" s="822"/>
      <c r="QIM40" s="822"/>
      <c r="QIN40" s="822"/>
      <c r="QIO40" s="822"/>
      <c r="QIP40" s="822"/>
      <c r="QIQ40" s="822"/>
      <c r="QIR40" s="822"/>
      <c r="QIS40" s="822"/>
      <c r="QIT40" s="822"/>
      <c r="QIU40" s="822"/>
      <c r="QIV40" s="822"/>
      <c r="QIW40" s="822"/>
      <c r="QIX40" s="822"/>
      <c r="QIY40" s="822"/>
      <c r="QIZ40" s="822"/>
      <c r="QJA40" s="822"/>
      <c r="QJB40" s="822"/>
      <c r="QJC40" s="822"/>
      <c r="QJD40" s="822"/>
      <c r="QJE40" s="822"/>
      <c r="QJF40" s="822"/>
      <c r="QJG40" s="822"/>
      <c r="QJH40" s="822"/>
      <c r="QJI40" s="822"/>
      <c r="QJJ40" s="822"/>
      <c r="QJK40" s="822"/>
      <c r="QJL40" s="822"/>
      <c r="QJM40" s="822"/>
      <c r="QJN40" s="822"/>
      <c r="QJO40" s="822"/>
      <c r="QJP40" s="822"/>
      <c r="QJQ40" s="822"/>
      <c r="QJR40" s="822"/>
      <c r="QJS40" s="822"/>
      <c r="QJT40" s="822"/>
      <c r="QJU40" s="822"/>
      <c r="QJV40" s="822"/>
      <c r="QJW40" s="822"/>
      <c r="QJX40" s="822"/>
      <c r="QJY40" s="822"/>
      <c r="QJZ40" s="822"/>
      <c r="QKA40" s="822"/>
      <c r="QKB40" s="822"/>
      <c r="QKC40" s="822"/>
      <c r="QKD40" s="822"/>
      <c r="QKE40" s="822"/>
      <c r="QKF40" s="822"/>
      <c r="QKG40" s="822"/>
      <c r="QKH40" s="822"/>
      <c r="QKI40" s="822"/>
      <c r="QKJ40" s="822"/>
      <c r="QKK40" s="822"/>
      <c r="QKL40" s="822"/>
      <c r="QKM40" s="822"/>
      <c r="QKN40" s="822"/>
      <c r="QKO40" s="822"/>
      <c r="QKP40" s="822"/>
      <c r="QKQ40" s="822"/>
      <c r="QKR40" s="822"/>
      <c r="QKS40" s="822"/>
      <c r="QKT40" s="822"/>
      <c r="QKU40" s="822"/>
      <c r="QKV40" s="822"/>
      <c r="QKW40" s="822"/>
      <c r="QKX40" s="822"/>
      <c r="QKY40" s="822"/>
      <c r="QKZ40" s="822"/>
      <c r="QLA40" s="822"/>
      <c r="QLB40" s="822"/>
      <c r="QLC40" s="822"/>
      <c r="QLD40" s="822"/>
      <c r="QLE40" s="822"/>
      <c r="QLF40" s="822"/>
      <c r="QLG40" s="822"/>
      <c r="QLH40" s="822"/>
      <c r="QLI40" s="822"/>
      <c r="QLJ40" s="822"/>
      <c r="QLK40" s="822"/>
      <c r="QLL40" s="822"/>
      <c r="QLM40" s="822"/>
      <c r="QLN40" s="822"/>
      <c r="QLO40" s="822"/>
      <c r="QLP40" s="822"/>
      <c r="QLQ40" s="822"/>
      <c r="QLR40" s="822"/>
      <c r="QLS40" s="822"/>
      <c r="QLT40" s="822"/>
      <c r="QLU40" s="822"/>
      <c r="QLV40" s="822"/>
      <c r="QLW40" s="822"/>
      <c r="QLX40" s="822"/>
      <c r="QLY40" s="822"/>
      <c r="QLZ40" s="822"/>
      <c r="QMA40" s="822"/>
      <c r="QMB40" s="822"/>
      <c r="QMC40" s="822"/>
      <c r="QMD40" s="822"/>
      <c r="QME40" s="822"/>
      <c r="QMF40" s="822"/>
      <c r="QMG40" s="822"/>
      <c r="QMH40" s="822"/>
      <c r="QMI40" s="822"/>
      <c r="QMJ40" s="822"/>
      <c r="QMK40" s="822"/>
      <c r="QML40" s="822"/>
      <c r="QMM40" s="822"/>
      <c r="QMN40" s="822"/>
      <c r="QMO40" s="822"/>
      <c r="QMP40" s="822"/>
      <c r="QMQ40" s="822"/>
      <c r="QMR40" s="822"/>
      <c r="QMS40" s="822"/>
      <c r="QMT40" s="822"/>
      <c r="QMU40" s="822"/>
      <c r="QMV40" s="822"/>
      <c r="QMW40" s="822"/>
      <c r="QMX40" s="822"/>
      <c r="QMY40" s="822"/>
      <c r="QMZ40" s="822"/>
      <c r="QNA40" s="822"/>
      <c r="QNB40" s="822"/>
      <c r="QNC40" s="822"/>
      <c r="QND40" s="822"/>
      <c r="QNE40" s="822"/>
      <c r="QNF40" s="822"/>
      <c r="QNG40" s="822"/>
      <c r="QNH40" s="822"/>
      <c r="QNI40" s="822"/>
      <c r="QNJ40" s="822"/>
      <c r="QNK40" s="822"/>
      <c r="QNL40" s="822"/>
      <c r="QNM40" s="822"/>
      <c r="QNN40" s="822"/>
      <c r="QNO40" s="822"/>
      <c r="QNP40" s="822"/>
      <c r="QNQ40" s="822"/>
      <c r="QNR40" s="822"/>
      <c r="QNS40" s="822"/>
      <c r="QNT40" s="822"/>
      <c r="QNU40" s="822"/>
      <c r="QNV40" s="822"/>
      <c r="QNW40" s="822"/>
      <c r="QNX40" s="822"/>
      <c r="QNY40" s="822"/>
      <c r="QNZ40" s="822"/>
      <c r="QOA40" s="822"/>
      <c r="QOB40" s="822"/>
      <c r="QOC40" s="822"/>
      <c r="QOD40" s="822"/>
      <c r="QOE40" s="822"/>
      <c r="QOF40" s="822"/>
      <c r="QOG40" s="822"/>
      <c r="QOH40" s="822"/>
      <c r="QOI40" s="822"/>
      <c r="QOJ40" s="822"/>
      <c r="QOK40" s="822"/>
      <c r="QOL40" s="822"/>
      <c r="QOM40" s="822"/>
      <c r="QON40" s="822"/>
      <c r="QOO40" s="822"/>
      <c r="QOP40" s="822"/>
      <c r="QOQ40" s="822"/>
      <c r="QOR40" s="822"/>
      <c r="QOS40" s="822"/>
      <c r="QOT40" s="822"/>
      <c r="QOU40" s="822"/>
      <c r="QOV40" s="822"/>
      <c r="QOW40" s="822"/>
      <c r="QOX40" s="822"/>
      <c r="QOY40" s="822"/>
      <c r="QOZ40" s="822"/>
      <c r="QPA40" s="822"/>
      <c r="QPB40" s="822"/>
      <c r="QPC40" s="822"/>
      <c r="QPD40" s="822"/>
      <c r="QPE40" s="822"/>
      <c r="QPF40" s="822"/>
      <c r="QPG40" s="822"/>
      <c r="QPH40" s="822"/>
      <c r="QPI40" s="822"/>
      <c r="QPJ40" s="822"/>
      <c r="QPK40" s="822"/>
      <c r="QPL40" s="822"/>
      <c r="QPM40" s="822"/>
      <c r="QPN40" s="822"/>
      <c r="QPO40" s="822"/>
      <c r="QPP40" s="822"/>
      <c r="QPQ40" s="822"/>
      <c r="QPR40" s="822"/>
      <c r="QPS40" s="822"/>
      <c r="QPT40" s="822"/>
      <c r="QPU40" s="822"/>
      <c r="QPV40" s="822"/>
      <c r="QPW40" s="822"/>
      <c r="QPX40" s="822"/>
      <c r="QPY40" s="822"/>
      <c r="QPZ40" s="822"/>
      <c r="QQA40" s="822"/>
      <c r="QQB40" s="822"/>
      <c r="QQC40" s="822"/>
      <c r="QQD40" s="822"/>
      <c r="QQE40" s="822"/>
      <c r="QQF40" s="822"/>
      <c r="QQG40" s="822"/>
      <c r="QQH40" s="822"/>
      <c r="QQI40" s="822"/>
      <c r="QQJ40" s="822"/>
      <c r="QQK40" s="822"/>
      <c r="QQL40" s="822"/>
      <c r="QQM40" s="822"/>
      <c r="QQN40" s="822"/>
      <c r="QQO40" s="822"/>
      <c r="QQP40" s="822"/>
      <c r="QQQ40" s="822"/>
      <c r="QQR40" s="822"/>
      <c r="QQS40" s="822"/>
      <c r="QQT40" s="822"/>
      <c r="QQU40" s="822"/>
      <c r="QQV40" s="822"/>
      <c r="QQW40" s="822"/>
      <c r="QQX40" s="822"/>
      <c r="QQY40" s="822"/>
      <c r="QQZ40" s="822"/>
      <c r="QRA40" s="822"/>
      <c r="QRB40" s="822"/>
      <c r="QRC40" s="822"/>
      <c r="QRD40" s="822"/>
      <c r="QRE40" s="822"/>
      <c r="QRF40" s="822"/>
      <c r="QRG40" s="822"/>
      <c r="QRH40" s="822"/>
      <c r="QRI40" s="822"/>
      <c r="QRJ40" s="822"/>
      <c r="QRK40" s="822"/>
      <c r="QRL40" s="822"/>
      <c r="QRM40" s="822"/>
      <c r="QRN40" s="822"/>
      <c r="QRO40" s="822"/>
      <c r="QRP40" s="822"/>
      <c r="QRQ40" s="822"/>
      <c r="QRR40" s="822"/>
      <c r="QRS40" s="822"/>
      <c r="QRT40" s="822"/>
      <c r="QRU40" s="822"/>
      <c r="QRV40" s="822"/>
      <c r="QRW40" s="822"/>
      <c r="QRX40" s="822"/>
      <c r="QRY40" s="822"/>
      <c r="QRZ40" s="822"/>
      <c r="QSA40" s="822"/>
      <c r="QSB40" s="822"/>
      <c r="QSC40" s="822"/>
      <c r="QSD40" s="822"/>
      <c r="QSE40" s="822"/>
      <c r="QSF40" s="822"/>
      <c r="QSG40" s="822"/>
      <c r="QSH40" s="822"/>
      <c r="QSI40" s="822"/>
      <c r="QSJ40" s="822"/>
      <c r="QSK40" s="822"/>
      <c r="QSL40" s="822"/>
      <c r="QSM40" s="822"/>
      <c r="QSN40" s="822"/>
      <c r="QSO40" s="822"/>
      <c r="QSP40" s="822"/>
      <c r="QSQ40" s="822"/>
      <c r="QSR40" s="822"/>
      <c r="QSS40" s="822"/>
      <c r="QST40" s="822"/>
      <c r="QSU40" s="822"/>
      <c r="QSV40" s="822"/>
      <c r="QSW40" s="822"/>
      <c r="QSX40" s="822"/>
      <c r="QSY40" s="822"/>
      <c r="QSZ40" s="822"/>
      <c r="QTA40" s="822"/>
      <c r="QTB40" s="822"/>
      <c r="QTC40" s="822"/>
      <c r="QTD40" s="822"/>
      <c r="QTE40" s="822"/>
      <c r="QTF40" s="822"/>
      <c r="QTG40" s="822"/>
      <c r="QTH40" s="822"/>
      <c r="QTI40" s="822"/>
      <c r="QTJ40" s="822"/>
      <c r="QTK40" s="822"/>
      <c r="QTL40" s="822"/>
      <c r="QTM40" s="822"/>
      <c r="QTN40" s="822"/>
      <c r="QTO40" s="822"/>
      <c r="QTP40" s="822"/>
      <c r="QTQ40" s="822"/>
      <c r="QTR40" s="822"/>
      <c r="QTS40" s="822"/>
      <c r="QTT40" s="822"/>
      <c r="QTU40" s="822"/>
      <c r="QTV40" s="822"/>
      <c r="QTW40" s="822"/>
      <c r="QTX40" s="822"/>
      <c r="QTY40" s="822"/>
      <c r="QTZ40" s="822"/>
      <c r="QUA40" s="822"/>
      <c r="QUB40" s="822"/>
      <c r="QUC40" s="822"/>
      <c r="QUD40" s="822"/>
      <c r="QUE40" s="822"/>
      <c r="QUF40" s="822"/>
      <c r="QUG40" s="822"/>
      <c r="QUH40" s="822"/>
      <c r="QUI40" s="822"/>
      <c r="QUJ40" s="822"/>
      <c r="QUK40" s="822"/>
      <c r="QUL40" s="822"/>
      <c r="QUM40" s="822"/>
      <c r="QUN40" s="822"/>
      <c r="QUO40" s="822"/>
      <c r="QUP40" s="822"/>
      <c r="QUQ40" s="822"/>
      <c r="QUR40" s="822"/>
      <c r="QUS40" s="822"/>
      <c r="QUT40" s="822"/>
      <c r="QUU40" s="822"/>
      <c r="QUV40" s="822"/>
      <c r="QUW40" s="822"/>
      <c r="QUX40" s="822"/>
      <c r="QUY40" s="822"/>
      <c r="QUZ40" s="822"/>
      <c r="QVA40" s="822"/>
      <c r="QVB40" s="822"/>
      <c r="QVC40" s="822"/>
      <c r="QVD40" s="822"/>
      <c r="QVE40" s="822"/>
      <c r="QVF40" s="822"/>
      <c r="QVG40" s="822"/>
      <c r="QVH40" s="822"/>
      <c r="QVI40" s="822"/>
      <c r="QVJ40" s="822"/>
      <c r="QVK40" s="822"/>
      <c r="QVL40" s="822"/>
      <c r="QVM40" s="822"/>
      <c r="QVN40" s="822"/>
      <c r="QVO40" s="822"/>
      <c r="QVP40" s="822"/>
      <c r="QVQ40" s="822"/>
      <c r="QVR40" s="822"/>
      <c r="QVS40" s="822"/>
      <c r="QVT40" s="822"/>
      <c r="QVU40" s="822"/>
      <c r="QVV40" s="822"/>
      <c r="QVW40" s="822"/>
      <c r="QVX40" s="822"/>
      <c r="QVY40" s="822"/>
      <c r="QVZ40" s="822"/>
      <c r="QWA40" s="822"/>
      <c r="QWB40" s="822"/>
      <c r="QWC40" s="822"/>
      <c r="QWD40" s="822"/>
      <c r="QWE40" s="822"/>
      <c r="QWF40" s="822"/>
      <c r="QWG40" s="822"/>
      <c r="QWH40" s="822"/>
      <c r="QWI40" s="822"/>
      <c r="QWJ40" s="822"/>
      <c r="QWK40" s="822"/>
      <c r="QWL40" s="822"/>
      <c r="QWM40" s="822"/>
      <c r="QWN40" s="822"/>
      <c r="QWO40" s="822"/>
      <c r="QWP40" s="822"/>
      <c r="QWQ40" s="822"/>
      <c r="QWR40" s="822"/>
      <c r="QWS40" s="822"/>
      <c r="QWT40" s="822"/>
      <c r="QWU40" s="822"/>
      <c r="QWV40" s="822"/>
      <c r="QWW40" s="822"/>
      <c r="QWX40" s="822"/>
      <c r="QWY40" s="822"/>
      <c r="QWZ40" s="822"/>
      <c r="QXA40" s="822"/>
      <c r="QXB40" s="822"/>
      <c r="QXC40" s="822"/>
      <c r="QXD40" s="822"/>
      <c r="QXE40" s="822"/>
      <c r="QXF40" s="822"/>
      <c r="QXG40" s="822"/>
      <c r="QXH40" s="822"/>
      <c r="QXI40" s="822"/>
      <c r="QXJ40" s="822"/>
      <c r="QXK40" s="822"/>
      <c r="QXL40" s="822"/>
      <c r="QXM40" s="822"/>
      <c r="QXN40" s="822"/>
      <c r="QXO40" s="822"/>
      <c r="QXP40" s="822"/>
      <c r="QXQ40" s="822"/>
      <c r="QXR40" s="822"/>
      <c r="QXS40" s="822"/>
      <c r="QXT40" s="822"/>
      <c r="QXU40" s="822"/>
      <c r="QXV40" s="822"/>
      <c r="QXW40" s="822"/>
      <c r="QXX40" s="822"/>
      <c r="QXY40" s="822"/>
      <c r="QXZ40" s="822"/>
      <c r="QYA40" s="822"/>
      <c r="QYB40" s="822"/>
      <c r="QYC40" s="822"/>
      <c r="QYD40" s="822"/>
      <c r="QYE40" s="822"/>
      <c r="QYF40" s="822"/>
      <c r="QYG40" s="822"/>
      <c r="QYH40" s="822"/>
      <c r="QYI40" s="822"/>
      <c r="QYJ40" s="822"/>
      <c r="QYK40" s="822"/>
      <c r="QYL40" s="822"/>
      <c r="QYM40" s="822"/>
      <c r="QYN40" s="822"/>
      <c r="QYO40" s="822"/>
      <c r="QYP40" s="822"/>
      <c r="QYQ40" s="822"/>
      <c r="QYR40" s="822"/>
      <c r="QYS40" s="822"/>
      <c r="QYT40" s="822"/>
      <c r="QYU40" s="822"/>
      <c r="QYV40" s="822"/>
      <c r="QYW40" s="822"/>
      <c r="QYX40" s="822"/>
      <c r="QYY40" s="822"/>
      <c r="QYZ40" s="822"/>
      <c r="QZA40" s="822"/>
      <c r="QZB40" s="822"/>
      <c r="QZC40" s="822"/>
      <c r="QZD40" s="822"/>
      <c r="QZE40" s="822"/>
      <c r="QZF40" s="822"/>
      <c r="QZG40" s="822"/>
      <c r="QZH40" s="822"/>
      <c r="QZI40" s="822"/>
      <c r="QZJ40" s="822"/>
      <c r="QZK40" s="822"/>
      <c r="QZL40" s="822"/>
      <c r="QZM40" s="822"/>
      <c r="QZN40" s="822"/>
      <c r="QZO40" s="822"/>
      <c r="QZP40" s="822"/>
      <c r="QZQ40" s="822"/>
      <c r="QZR40" s="822"/>
      <c r="QZS40" s="822"/>
      <c r="QZT40" s="822"/>
      <c r="QZU40" s="822"/>
      <c r="QZV40" s="822"/>
      <c r="QZW40" s="822"/>
      <c r="QZX40" s="822"/>
      <c r="QZY40" s="822"/>
      <c r="QZZ40" s="822"/>
      <c r="RAA40" s="822"/>
      <c r="RAB40" s="822"/>
      <c r="RAC40" s="822"/>
      <c r="RAD40" s="822"/>
      <c r="RAE40" s="822"/>
      <c r="RAF40" s="822"/>
      <c r="RAG40" s="822"/>
      <c r="RAH40" s="822"/>
      <c r="RAI40" s="822"/>
      <c r="RAJ40" s="822"/>
      <c r="RAK40" s="822"/>
      <c r="RAL40" s="822"/>
      <c r="RAM40" s="822"/>
      <c r="RAN40" s="822"/>
      <c r="RAO40" s="822"/>
      <c r="RAP40" s="822"/>
      <c r="RAQ40" s="822"/>
      <c r="RAR40" s="822"/>
      <c r="RAS40" s="822"/>
      <c r="RAT40" s="822"/>
      <c r="RAU40" s="822"/>
      <c r="RAV40" s="822"/>
      <c r="RAW40" s="822"/>
      <c r="RAX40" s="822"/>
      <c r="RAY40" s="822"/>
      <c r="RAZ40" s="822"/>
      <c r="RBA40" s="822"/>
      <c r="RBB40" s="822"/>
      <c r="RBC40" s="822"/>
      <c r="RBD40" s="822"/>
      <c r="RBE40" s="822"/>
      <c r="RBF40" s="822"/>
      <c r="RBG40" s="822"/>
      <c r="RBH40" s="822"/>
      <c r="RBI40" s="822"/>
      <c r="RBJ40" s="822"/>
      <c r="RBK40" s="822"/>
      <c r="RBL40" s="822"/>
      <c r="RBM40" s="822"/>
      <c r="RBN40" s="822"/>
      <c r="RBO40" s="822"/>
      <c r="RBP40" s="822"/>
      <c r="RBQ40" s="822"/>
      <c r="RBR40" s="822"/>
      <c r="RBS40" s="822"/>
      <c r="RBT40" s="822"/>
      <c r="RBU40" s="822"/>
      <c r="RBV40" s="822"/>
      <c r="RBW40" s="822"/>
      <c r="RBX40" s="822"/>
      <c r="RBY40" s="822"/>
      <c r="RBZ40" s="822"/>
      <c r="RCA40" s="822"/>
      <c r="RCB40" s="822"/>
      <c r="RCC40" s="822"/>
      <c r="RCD40" s="822"/>
      <c r="RCE40" s="822"/>
      <c r="RCF40" s="822"/>
      <c r="RCG40" s="822"/>
      <c r="RCH40" s="822"/>
      <c r="RCI40" s="822"/>
      <c r="RCJ40" s="822"/>
      <c r="RCK40" s="822"/>
      <c r="RCL40" s="822"/>
      <c r="RCM40" s="822"/>
      <c r="RCN40" s="822"/>
      <c r="RCO40" s="822"/>
      <c r="RCP40" s="822"/>
      <c r="RCQ40" s="822"/>
      <c r="RCR40" s="822"/>
      <c r="RCS40" s="822"/>
      <c r="RCT40" s="822"/>
      <c r="RCU40" s="822"/>
      <c r="RCV40" s="822"/>
      <c r="RCW40" s="822"/>
      <c r="RCX40" s="822"/>
      <c r="RCY40" s="822"/>
      <c r="RCZ40" s="822"/>
      <c r="RDA40" s="822"/>
      <c r="RDB40" s="822"/>
      <c r="RDC40" s="822"/>
      <c r="RDD40" s="822"/>
      <c r="RDE40" s="822"/>
      <c r="RDF40" s="822"/>
      <c r="RDG40" s="822"/>
      <c r="RDH40" s="822"/>
      <c r="RDI40" s="822"/>
      <c r="RDJ40" s="822"/>
      <c r="RDK40" s="822"/>
      <c r="RDL40" s="822"/>
      <c r="RDM40" s="822"/>
      <c r="RDN40" s="822"/>
      <c r="RDO40" s="822"/>
      <c r="RDP40" s="822"/>
      <c r="RDQ40" s="822"/>
      <c r="RDR40" s="822"/>
      <c r="RDS40" s="822"/>
      <c r="RDT40" s="822"/>
      <c r="RDU40" s="822"/>
      <c r="RDV40" s="822"/>
      <c r="RDW40" s="822"/>
      <c r="RDX40" s="822"/>
      <c r="RDY40" s="822"/>
      <c r="RDZ40" s="822"/>
      <c r="REA40" s="822"/>
      <c r="REB40" s="822"/>
      <c r="REC40" s="822"/>
      <c r="RED40" s="822"/>
      <c r="REE40" s="822"/>
      <c r="REF40" s="822"/>
      <c r="REG40" s="822"/>
      <c r="REH40" s="822"/>
      <c r="REI40" s="822"/>
      <c r="REJ40" s="822"/>
      <c r="REK40" s="822"/>
      <c r="REL40" s="822"/>
      <c r="REM40" s="822"/>
      <c r="REN40" s="822"/>
      <c r="REO40" s="822"/>
      <c r="REP40" s="822"/>
      <c r="REQ40" s="822"/>
      <c r="RER40" s="822"/>
      <c r="RES40" s="822"/>
      <c r="RET40" s="822"/>
      <c r="REU40" s="822"/>
      <c r="REV40" s="822"/>
      <c r="REW40" s="822"/>
      <c r="REX40" s="822"/>
      <c r="REY40" s="822"/>
      <c r="REZ40" s="822"/>
      <c r="RFA40" s="822"/>
      <c r="RFB40" s="822"/>
      <c r="RFC40" s="822"/>
      <c r="RFD40" s="822"/>
      <c r="RFE40" s="822"/>
      <c r="RFF40" s="822"/>
      <c r="RFG40" s="822"/>
      <c r="RFH40" s="822"/>
      <c r="RFI40" s="822"/>
      <c r="RFJ40" s="822"/>
      <c r="RFK40" s="822"/>
      <c r="RFL40" s="822"/>
      <c r="RFM40" s="822"/>
      <c r="RFN40" s="822"/>
      <c r="RFO40" s="822"/>
      <c r="RFP40" s="822"/>
      <c r="RFQ40" s="822"/>
      <c r="RFR40" s="822"/>
      <c r="RFS40" s="822"/>
      <c r="RFT40" s="822"/>
      <c r="RFU40" s="822"/>
      <c r="RFV40" s="822"/>
      <c r="RFW40" s="822"/>
      <c r="RFX40" s="822"/>
      <c r="RFY40" s="822"/>
      <c r="RFZ40" s="822"/>
      <c r="RGA40" s="822"/>
      <c r="RGB40" s="822"/>
      <c r="RGC40" s="822"/>
      <c r="RGD40" s="822"/>
      <c r="RGE40" s="822"/>
      <c r="RGF40" s="822"/>
      <c r="RGG40" s="822"/>
      <c r="RGH40" s="822"/>
      <c r="RGI40" s="822"/>
      <c r="RGJ40" s="822"/>
      <c r="RGK40" s="822"/>
      <c r="RGL40" s="822"/>
      <c r="RGM40" s="822"/>
      <c r="RGN40" s="822"/>
      <c r="RGO40" s="822"/>
      <c r="RGP40" s="822"/>
      <c r="RGQ40" s="822"/>
      <c r="RGR40" s="822"/>
      <c r="RGS40" s="822"/>
      <c r="RGT40" s="822"/>
      <c r="RGU40" s="822"/>
      <c r="RGV40" s="822"/>
      <c r="RGW40" s="822"/>
      <c r="RGX40" s="822"/>
      <c r="RGY40" s="822"/>
      <c r="RGZ40" s="822"/>
      <c r="RHA40" s="822"/>
      <c r="RHB40" s="822"/>
      <c r="RHC40" s="822"/>
      <c r="RHD40" s="822"/>
      <c r="RHE40" s="822"/>
      <c r="RHF40" s="822"/>
      <c r="RHG40" s="822"/>
      <c r="RHH40" s="822"/>
      <c r="RHI40" s="822"/>
      <c r="RHJ40" s="822"/>
      <c r="RHK40" s="822"/>
      <c r="RHL40" s="822"/>
      <c r="RHM40" s="822"/>
      <c r="RHN40" s="822"/>
      <c r="RHO40" s="822"/>
      <c r="RHP40" s="822"/>
      <c r="RHQ40" s="822"/>
      <c r="RHR40" s="822"/>
      <c r="RHS40" s="822"/>
      <c r="RHT40" s="822"/>
      <c r="RHU40" s="822"/>
      <c r="RHV40" s="822"/>
      <c r="RHW40" s="822"/>
      <c r="RHX40" s="822"/>
      <c r="RHY40" s="822"/>
      <c r="RHZ40" s="822"/>
      <c r="RIA40" s="822"/>
      <c r="RIB40" s="822"/>
      <c r="RIC40" s="822"/>
      <c r="RID40" s="822"/>
      <c r="RIE40" s="822"/>
      <c r="RIF40" s="822"/>
      <c r="RIG40" s="822"/>
      <c r="RIH40" s="822"/>
      <c r="RII40" s="822"/>
      <c r="RIJ40" s="822"/>
      <c r="RIK40" s="822"/>
      <c r="RIL40" s="822"/>
      <c r="RIM40" s="822"/>
      <c r="RIN40" s="822"/>
      <c r="RIO40" s="822"/>
      <c r="RIP40" s="822"/>
      <c r="RIQ40" s="822"/>
      <c r="RIR40" s="822"/>
      <c r="RIS40" s="822"/>
      <c r="RIT40" s="822"/>
      <c r="RIU40" s="822"/>
      <c r="RIV40" s="822"/>
      <c r="RIW40" s="822"/>
      <c r="RIX40" s="822"/>
      <c r="RIY40" s="822"/>
      <c r="RIZ40" s="822"/>
      <c r="RJA40" s="822"/>
      <c r="RJB40" s="822"/>
      <c r="RJC40" s="822"/>
      <c r="RJD40" s="822"/>
      <c r="RJE40" s="822"/>
      <c r="RJF40" s="822"/>
      <c r="RJG40" s="822"/>
      <c r="RJH40" s="822"/>
      <c r="RJI40" s="822"/>
      <c r="RJJ40" s="822"/>
      <c r="RJK40" s="822"/>
      <c r="RJL40" s="822"/>
      <c r="RJM40" s="822"/>
      <c r="RJN40" s="822"/>
      <c r="RJO40" s="822"/>
      <c r="RJP40" s="822"/>
      <c r="RJQ40" s="822"/>
      <c r="RJR40" s="822"/>
      <c r="RJS40" s="822"/>
      <c r="RJT40" s="822"/>
      <c r="RJU40" s="822"/>
      <c r="RJV40" s="822"/>
      <c r="RJW40" s="822"/>
      <c r="RJX40" s="822"/>
      <c r="RJY40" s="822"/>
      <c r="RJZ40" s="822"/>
      <c r="RKA40" s="822"/>
      <c r="RKB40" s="822"/>
      <c r="RKC40" s="822"/>
      <c r="RKD40" s="822"/>
      <c r="RKE40" s="822"/>
      <c r="RKF40" s="822"/>
      <c r="RKG40" s="822"/>
      <c r="RKH40" s="822"/>
      <c r="RKI40" s="822"/>
      <c r="RKJ40" s="822"/>
      <c r="RKK40" s="822"/>
      <c r="RKL40" s="822"/>
      <c r="RKM40" s="822"/>
      <c r="RKN40" s="822"/>
      <c r="RKO40" s="822"/>
      <c r="RKP40" s="822"/>
      <c r="RKQ40" s="822"/>
      <c r="RKR40" s="822"/>
      <c r="RKS40" s="822"/>
      <c r="RKT40" s="822"/>
      <c r="RKU40" s="822"/>
      <c r="RKV40" s="822"/>
      <c r="RKW40" s="822"/>
      <c r="RKX40" s="822"/>
      <c r="RKY40" s="822"/>
      <c r="RKZ40" s="822"/>
      <c r="RLA40" s="822"/>
      <c r="RLB40" s="822"/>
      <c r="RLC40" s="822"/>
      <c r="RLD40" s="822"/>
      <c r="RLE40" s="822"/>
      <c r="RLF40" s="822"/>
      <c r="RLG40" s="822"/>
      <c r="RLH40" s="822"/>
      <c r="RLI40" s="822"/>
      <c r="RLJ40" s="822"/>
      <c r="RLK40" s="822"/>
      <c r="RLL40" s="822"/>
      <c r="RLM40" s="822"/>
      <c r="RLN40" s="822"/>
      <c r="RLO40" s="822"/>
      <c r="RLP40" s="822"/>
      <c r="RLQ40" s="822"/>
      <c r="RLR40" s="822"/>
      <c r="RLS40" s="822"/>
      <c r="RLT40" s="822"/>
      <c r="RLU40" s="822"/>
      <c r="RLV40" s="822"/>
      <c r="RLW40" s="822"/>
      <c r="RLX40" s="822"/>
      <c r="RLY40" s="822"/>
      <c r="RLZ40" s="822"/>
      <c r="RMA40" s="822"/>
      <c r="RMB40" s="822"/>
      <c r="RMC40" s="822"/>
      <c r="RMD40" s="822"/>
      <c r="RME40" s="822"/>
      <c r="RMF40" s="822"/>
      <c r="RMG40" s="822"/>
      <c r="RMH40" s="822"/>
      <c r="RMI40" s="822"/>
      <c r="RMJ40" s="822"/>
      <c r="RMK40" s="822"/>
      <c r="RML40" s="822"/>
      <c r="RMM40" s="822"/>
      <c r="RMN40" s="822"/>
      <c r="RMO40" s="822"/>
      <c r="RMP40" s="822"/>
      <c r="RMQ40" s="822"/>
      <c r="RMR40" s="822"/>
      <c r="RMS40" s="822"/>
      <c r="RMT40" s="822"/>
      <c r="RMU40" s="822"/>
      <c r="RMV40" s="822"/>
      <c r="RMW40" s="822"/>
      <c r="RMX40" s="822"/>
      <c r="RMY40" s="822"/>
      <c r="RMZ40" s="822"/>
      <c r="RNA40" s="822"/>
      <c r="RNB40" s="822"/>
      <c r="RNC40" s="822"/>
      <c r="RND40" s="822"/>
      <c r="RNE40" s="822"/>
      <c r="RNF40" s="822"/>
      <c r="RNG40" s="822"/>
      <c r="RNH40" s="822"/>
      <c r="RNI40" s="822"/>
      <c r="RNJ40" s="822"/>
      <c r="RNK40" s="822"/>
      <c r="RNL40" s="822"/>
      <c r="RNM40" s="822"/>
      <c r="RNN40" s="822"/>
      <c r="RNO40" s="822"/>
      <c r="RNP40" s="822"/>
      <c r="RNQ40" s="822"/>
      <c r="RNR40" s="822"/>
      <c r="RNS40" s="822"/>
      <c r="RNT40" s="822"/>
      <c r="RNU40" s="822"/>
      <c r="RNV40" s="822"/>
      <c r="RNW40" s="822"/>
      <c r="RNX40" s="822"/>
      <c r="RNY40" s="822"/>
      <c r="RNZ40" s="822"/>
      <c r="ROA40" s="822"/>
      <c r="ROB40" s="822"/>
      <c r="ROC40" s="822"/>
      <c r="ROD40" s="822"/>
      <c r="ROE40" s="822"/>
      <c r="ROF40" s="822"/>
      <c r="ROG40" s="822"/>
      <c r="ROH40" s="822"/>
      <c r="ROI40" s="822"/>
      <c r="ROJ40" s="822"/>
      <c r="ROK40" s="822"/>
      <c r="ROL40" s="822"/>
      <c r="ROM40" s="822"/>
      <c r="RON40" s="822"/>
      <c r="ROO40" s="822"/>
      <c r="ROP40" s="822"/>
      <c r="ROQ40" s="822"/>
      <c r="ROR40" s="822"/>
      <c r="ROS40" s="822"/>
      <c r="ROT40" s="822"/>
      <c r="ROU40" s="822"/>
      <c r="ROV40" s="822"/>
      <c r="ROW40" s="822"/>
      <c r="ROX40" s="822"/>
      <c r="ROY40" s="822"/>
      <c r="ROZ40" s="822"/>
      <c r="RPA40" s="822"/>
      <c r="RPB40" s="822"/>
      <c r="RPC40" s="822"/>
      <c r="RPD40" s="822"/>
      <c r="RPE40" s="822"/>
      <c r="RPF40" s="822"/>
      <c r="RPG40" s="822"/>
      <c r="RPH40" s="822"/>
      <c r="RPI40" s="822"/>
      <c r="RPJ40" s="822"/>
      <c r="RPK40" s="822"/>
      <c r="RPL40" s="822"/>
      <c r="RPM40" s="822"/>
      <c r="RPN40" s="822"/>
      <c r="RPO40" s="822"/>
      <c r="RPP40" s="822"/>
      <c r="RPQ40" s="822"/>
      <c r="RPR40" s="822"/>
      <c r="RPS40" s="822"/>
      <c r="RPT40" s="822"/>
      <c r="RPU40" s="822"/>
      <c r="RPV40" s="822"/>
      <c r="RPW40" s="822"/>
      <c r="RPX40" s="822"/>
      <c r="RPY40" s="822"/>
      <c r="RPZ40" s="822"/>
      <c r="RQA40" s="822"/>
      <c r="RQB40" s="822"/>
      <c r="RQC40" s="822"/>
      <c r="RQD40" s="822"/>
      <c r="RQE40" s="822"/>
      <c r="RQF40" s="822"/>
      <c r="RQG40" s="822"/>
      <c r="RQH40" s="822"/>
      <c r="RQI40" s="822"/>
      <c r="RQJ40" s="822"/>
      <c r="RQK40" s="822"/>
      <c r="RQL40" s="822"/>
      <c r="RQM40" s="822"/>
      <c r="RQN40" s="822"/>
      <c r="RQO40" s="822"/>
      <c r="RQP40" s="822"/>
      <c r="RQQ40" s="822"/>
      <c r="RQR40" s="822"/>
      <c r="RQS40" s="822"/>
      <c r="RQT40" s="822"/>
      <c r="RQU40" s="822"/>
      <c r="RQV40" s="822"/>
      <c r="RQW40" s="822"/>
      <c r="RQX40" s="822"/>
      <c r="RQY40" s="822"/>
      <c r="RQZ40" s="822"/>
      <c r="RRA40" s="822"/>
      <c r="RRB40" s="822"/>
      <c r="RRC40" s="822"/>
      <c r="RRD40" s="822"/>
      <c r="RRE40" s="822"/>
      <c r="RRF40" s="822"/>
      <c r="RRG40" s="822"/>
      <c r="RRH40" s="822"/>
      <c r="RRI40" s="822"/>
      <c r="RRJ40" s="822"/>
      <c r="RRK40" s="822"/>
      <c r="RRL40" s="822"/>
      <c r="RRM40" s="822"/>
      <c r="RRN40" s="822"/>
      <c r="RRO40" s="822"/>
      <c r="RRP40" s="822"/>
      <c r="RRQ40" s="822"/>
      <c r="RRR40" s="822"/>
      <c r="RRS40" s="822"/>
      <c r="RRT40" s="822"/>
      <c r="RRU40" s="822"/>
      <c r="RRV40" s="822"/>
      <c r="RRW40" s="822"/>
      <c r="RRX40" s="822"/>
      <c r="RRY40" s="822"/>
      <c r="RRZ40" s="822"/>
      <c r="RSA40" s="822"/>
      <c r="RSB40" s="822"/>
      <c r="RSC40" s="822"/>
      <c r="RSD40" s="822"/>
      <c r="RSE40" s="822"/>
      <c r="RSF40" s="822"/>
      <c r="RSG40" s="822"/>
      <c r="RSH40" s="822"/>
      <c r="RSI40" s="822"/>
      <c r="RSJ40" s="822"/>
      <c r="RSK40" s="822"/>
      <c r="RSL40" s="822"/>
      <c r="RSM40" s="822"/>
      <c r="RSN40" s="822"/>
      <c r="RSO40" s="822"/>
      <c r="RSP40" s="822"/>
      <c r="RSQ40" s="822"/>
      <c r="RSR40" s="822"/>
      <c r="RSS40" s="822"/>
      <c r="RST40" s="822"/>
      <c r="RSU40" s="822"/>
      <c r="RSV40" s="822"/>
      <c r="RSW40" s="822"/>
      <c r="RSX40" s="822"/>
      <c r="RSY40" s="822"/>
      <c r="RSZ40" s="822"/>
      <c r="RTA40" s="822"/>
      <c r="RTB40" s="822"/>
      <c r="RTC40" s="822"/>
      <c r="RTD40" s="822"/>
      <c r="RTE40" s="822"/>
      <c r="RTF40" s="822"/>
      <c r="RTG40" s="822"/>
      <c r="RTH40" s="822"/>
      <c r="RTI40" s="822"/>
      <c r="RTJ40" s="822"/>
      <c r="RTK40" s="822"/>
      <c r="RTL40" s="822"/>
      <c r="RTM40" s="822"/>
      <c r="RTN40" s="822"/>
      <c r="RTO40" s="822"/>
      <c r="RTP40" s="822"/>
      <c r="RTQ40" s="822"/>
      <c r="RTR40" s="822"/>
      <c r="RTS40" s="822"/>
      <c r="RTT40" s="822"/>
      <c r="RTU40" s="822"/>
      <c r="RTV40" s="822"/>
      <c r="RTW40" s="822"/>
      <c r="RTX40" s="822"/>
      <c r="RTY40" s="822"/>
      <c r="RTZ40" s="822"/>
      <c r="RUA40" s="822"/>
      <c r="RUB40" s="822"/>
      <c r="RUC40" s="822"/>
      <c r="RUD40" s="822"/>
      <c r="RUE40" s="822"/>
      <c r="RUF40" s="822"/>
      <c r="RUG40" s="822"/>
      <c r="RUH40" s="822"/>
      <c r="RUI40" s="822"/>
      <c r="RUJ40" s="822"/>
      <c r="RUK40" s="822"/>
      <c r="RUL40" s="822"/>
      <c r="RUM40" s="822"/>
      <c r="RUN40" s="822"/>
      <c r="RUO40" s="822"/>
      <c r="RUP40" s="822"/>
      <c r="RUQ40" s="822"/>
      <c r="RUR40" s="822"/>
      <c r="RUS40" s="822"/>
      <c r="RUT40" s="822"/>
      <c r="RUU40" s="822"/>
      <c r="RUV40" s="822"/>
      <c r="RUW40" s="822"/>
      <c r="RUX40" s="822"/>
      <c r="RUY40" s="822"/>
      <c r="RUZ40" s="822"/>
      <c r="RVA40" s="822"/>
      <c r="RVB40" s="822"/>
      <c r="RVC40" s="822"/>
      <c r="RVD40" s="822"/>
      <c r="RVE40" s="822"/>
      <c r="RVF40" s="822"/>
      <c r="RVG40" s="822"/>
      <c r="RVH40" s="822"/>
      <c r="RVI40" s="822"/>
      <c r="RVJ40" s="822"/>
      <c r="RVK40" s="822"/>
      <c r="RVL40" s="822"/>
      <c r="RVM40" s="822"/>
      <c r="RVN40" s="822"/>
      <c r="RVO40" s="822"/>
      <c r="RVP40" s="822"/>
      <c r="RVQ40" s="822"/>
      <c r="RVR40" s="822"/>
      <c r="RVS40" s="822"/>
      <c r="RVT40" s="822"/>
      <c r="RVU40" s="822"/>
      <c r="RVV40" s="822"/>
      <c r="RVW40" s="822"/>
      <c r="RVX40" s="822"/>
      <c r="RVY40" s="822"/>
      <c r="RVZ40" s="822"/>
      <c r="RWA40" s="822"/>
      <c r="RWB40" s="822"/>
      <c r="RWC40" s="822"/>
      <c r="RWD40" s="822"/>
      <c r="RWE40" s="822"/>
      <c r="RWF40" s="822"/>
      <c r="RWG40" s="822"/>
      <c r="RWH40" s="822"/>
      <c r="RWI40" s="822"/>
      <c r="RWJ40" s="822"/>
      <c r="RWK40" s="822"/>
      <c r="RWL40" s="822"/>
      <c r="RWM40" s="822"/>
      <c r="RWN40" s="822"/>
      <c r="RWO40" s="822"/>
      <c r="RWP40" s="822"/>
      <c r="RWQ40" s="822"/>
      <c r="RWR40" s="822"/>
      <c r="RWS40" s="822"/>
      <c r="RWT40" s="822"/>
      <c r="RWU40" s="822"/>
      <c r="RWV40" s="822"/>
      <c r="RWW40" s="822"/>
      <c r="RWX40" s="822"/>
      <c r="RWY40" s="822"/>
      <c r="RWZ40" s="822"/>
      <c r="RXA40" s="822"/>
      <c r="RXB40" s="822"/>
      <c r="RXC40" s="822"/>
      <c r="RXD40" s="822"/>
      <c r="RXE40" s="822"/>
      <c r="RXF40" s="822"/>
      <c r="RXG40" s="822"/>
      <c r="RXH40" s="822"/>
      <c r="RXI40" s="822"/>
      <c r="RXJ40" s="822"/>
      <c r="RXK40" s="822"/>
      <c r="RXL40" s="822"/>
      <c r="RXM40" s="822"/>
      <c r="RXN40" s="822"/>
      <c r="RXO40" s="822"/>
      <c r="RXP40" s="822"/>
      <c r="RXQ40" s="822"/>
      <c r="RXR40" s="822"/>
      <c r="RXS40" s="822"/>
      <c r="RXT40" s="822"/>
      <c r="RXU40" s="822"/>
      <c r="RXV40" s="822"/>
      <c r="RXW40" s="822"/>
      <c r="RXX40" s="822"/>
      <c r="RXY40" s="822"/>
      <c r="RXZ40" s="822"/>
      <c r="RYA40" s="822"/>
      <c r="RYB40" s="822"/>
      <c r="RYC40" s="822"/>
      <c r="RYD40" s="822"/>
      <c r="RYE40" s="822"/>
      <c r="RYF40" s="822"/>
      <c r="RYG40" s="822"/>
      <c r="RYH40" s="822"/>
      <c r="RYI40" s="822"/>
      <c r="RYJ40" s="822"/>
      <c r="RYK40" s="822"/>
      <c r="RYL40" s="822"/>
      <c r="RYM40" s="822"/>
      <c r="RYN40" s="822"/>
      <c r="RYO40" s="822"/>
      <c r="RYP40" s="822"/>
      <c r="RYQ40" s="822"/>
      <c r="RYR40" s="822"/>
      <c r="RYS40" s="822"/>
      <c r="RYT40" s="822"/>
      <c r="RYU40" s="822"/>
      <c r="RYV40" s="822"/>
      <c r="RYW40" s="822"/>
      <c r="RYX40" s="822"/>
      <c r="RYY40" s="822"/>
      <c r="RYZ40" s="822"/>
      <c r="RZA40" s="822"/>
      <c r="RZB40" s="822"/>
      <c r="RZC40" s="822"/>
      <c r="RZD40" s="822"/>
      <c r="RZE40" s="822"/>
      <c r="RZF40" s="822"/>
      <c r="RZG40" s="822"/>
      <c r="RZH40" s="822"/>
      <c r="RZI40" s="822"/>
      <c r="RZJ40" s="822"/>
      <c r="RZK40" s="822"/>
      <c r="RZL40" s="822"/>
      <c r="RZM40" s="822"/>
      <c r="RZN40" s="822"/>
      <c r="RZO40" s="822"/>
      <c r="RZP40" s="822"/>
      <c r="RZQ40" s="822"/>
      <c r="RZR40" s="822"/>
      <c r="RZS40" s="822"/>
      <c r="RZT40" s="822"/>
      <c r="RZU40" s="822"/>
      <c r="RZV40" s="822"/>
      <c r="RZW40" s="822"/>
      <c r="RZX40" s="822"/>
      <c r="RZY40" s="822"/>
      <c r="RZZ40" s="822"/>
      <c r="SAA40" s="822"/>
      <c r="SAB40" s="822"/>
      <c r="SAC40" s="822"/>
      <c r="SAD40" s="822"/>
      <c r="SAE40" s="822"/>
      <c r="SAF40" s="822"/>
      <c r="SAG40" s="822"/>
      <c r="SAH40" s="822"/>
      <c r="SAI40" s="822"/>
      <c r="SAJ40" s="822"/>
      <c r="SAK40" s="822"/>
      <c r="SAL40" s="822"/>
      <c r="SAM40" s="822"/>
      <c r="SAN40" s="822"/>
      <c r="SAO40" s="822"/>
      <c r="SAP40" s="822"/>
      <c r="SAQ40" s="822"/>
      <c r="SAR40" s="822"/>
      <c r="SAS40" s="822"/>
      <c r="SAT40" s="822"/>
      <c r="SAU40" s="822"/>
      <c r="SAV40" s="822"/>
      <c r="SAW40" s="822"/>
      <c r="SAX40" s="822"/>
      <c r="SAY40" s="822"/>
      <c r="SAZ40" s="822"/>
      <c r="SBA40" s="822"/>
      <c r="SBB40" s="822"/>
      <c r="SBC40" s="822"/>
      <c r="SBD40" s="822"/>
      <c r="SBE40" s="822"/>
      <c r="SBF40" s="822"/>
      <c r="SBG40" s="822"/>
      <c r="SBH40" s="822"/>
      <c r="SBI40" s="822"/>
      <c r="SBJ40" s="822"/>
      <c r="SBK40" s="822"/>
      <c r="SBL40" s="822"/>
      <c r="SBM40" s="822"/>
      <c r="SBN40" s="822"/>
      <c r="SBO40" s="822"/>
      <c r="SBP40" s="822"/>
      <c r="SBQ40" s="822"/>
      <c r="SBR40" s="822"/>
      <c r="SBS40" s="822"/>
      <c r="SBT40" s="822"/>
      <c r="SBU40" s="822"/>
      <c r="SBV40" s="822"/>
      <c r="SBW40" s="822"/>
      <c r="SBX40" s="822"/>
      <c r="SBY40" s="822"/>
      <c r="SBZ40" s="822"/>
      <c r="SCA40" s="822"/>
      <c r="SCB40" s="822"/>
      <c r="SCC40" s="822"/>
      <c r="SCD40" s="822"/>
      <c r="SCE40" s="822"/>
      <c r="SCF40" s="822"/>
      <c r="SCG40" s="822"/>
      <c r="SCH40" s="822"/>
      <c r="SCI40" s="822"/>
      <c r="SCJ40" s="822"/>
      <c r="SCK40" s="822"/>
      <c r="SCL40" s="822"/>
      <c r="SCM40" s="822"/>
      <c r="SCN40" s="822"/>
      <c r="SCO40" s="822"/>
      <c r="SCP40" s="822"/>
      <c r="SCQ40" s="822"/>
      <c r="SCR40" s="822"/>
      <c r="SCS40" s="822"/>
      <c r="SCT40" s="822"/>
      <c r="SCU40" s="822"/>
      <c r="SCV40" s="822"/>
      <c r="SCW40" s="822"/>
      <c r="SCX40" s="822"/>
      <c r="SCY40" s="822"/>
      <c r="SCZ40" s="822"/>
      <c r="SDA40" s="822"/>
      <c r="SDB40" s="822"/>
      <c r="SDC40" s="822"/>
      <c r="SDD40" s="822"/>
      <c r="SDE40" s="822"/>
      <c r="SDF40" s="822"/>
      <c r="SDG40" s="822"/>
      <c r="SDH40" s="822"/>
      <c r="SDI40" s="822"/>
      <c r="SDJ40" s="822"/>
      <c r="SDK40" s="822"/>
      <c r="SDL40" s="822"/>
      <c r="SDM40" s="822"/>
      <c r="SDN40" s="822"/>
      <c r="SDO40" s="822"/>
      <c r="SDP40" s="822"/>
      <c r="SDQ40" s="822"/>
      <c r="SDR40" s="822"/>
      <c r="SDS40" s="822"/>
      <c r="SDT40" s="822"/>
      <c r="SDU40" s="822"/>
      <c r="SDV40" s="822"/>
      <c r="SDW40" s="822"/>
      <c r="SDX40" s="822"/>
      <c r="SDY40" s="822"/>
      <c r="SDZ40" s="822"/>
      <c r="SEA40" s="822"/>
      <c r="SEB40" s="822"/>
      <c r="SEC40" s="822"/>
      <c r="SED40" s="822"/>
      <c r="SEE40" s="822"/>
      <c r="SEF40" s="822"/>
      <c r="SEG40" s="822"/>
      <c r="SEH40" s="822"/>
      <c r="SEI40" s="822"/>
      <c r="SEJ40" s="822"/>
      <c r="SEK40" s="822"/>
      <c r="SEL40" s="822"/>
      <c r="SEM40" s="822"/>
      <c r="SEN40" s="822"/>
      <c r="SEO40" s="822"/>
      <c r="SEP40" s="822"/>
      <c r="SEQ40" s="822"/>
      <c r="SER40" s="822"/>
      <c r="SES40" s="822"/>
      <c r="SET40" s="822"/>
      <c r="SEU40" s="822"/>
      <c r="SEV40" s="822"/>
      <c r="SEW40" s="822"/>
      <c r="SEX40" s="822"/>
      <c r="SEY40" s="822"/>
      <c r="SEZ40" s="822"/>
      <c r="SFA40" s="822"/>
      <c r="SFB40" s="822"/>
      <c r="SFC40" s="822"/>
      <c r="SFD40" s="822"/>
      <c r="SFE40" s="822"/>
      <c r="SFF40" s="822"/>
      <c r="SFG40" s="822"/>
      <c r="SFH40" s="822"/>
      <c r="SFI40" s="822"/>
      <c r="SFJ40" s="822"/>
      <c r="SFK40" s="822"/>
      <c r="SFL40" s="822"/>
      <c r="SFM40" s="822"/>
      <c r="SFN40" s="822"/>
      <c r="SFO40" s="822"/>
      <c r="SFP40" s="822"/>
      <c r="SFQ40" s="822"/>
      <c r="SFR40" s="822"/>
      <c r="SFS40" s="822"/>
      <c r="SFT40" s="822"/>
      <c r="SFU40" s="822"/>
      <c r="SFV40" s="822"/>
      <c r="SFW40" s="822"/>
      <c r="SFX40" s="822"/>
      <c r="SFY40" s="822"/>
      <c r="SFZ40" s="822"/>
      <c r="SGA40" s="822"/>
      <c r="SGB40" s="822"/>
      <c r="SGC40" s="822"/>
      <c r="SGD40" s="822"/>
      <c r="SGE40" s="822"/>
      <c r="SGF40" s="822"/>
      <c r="SGG40" s="822"/>
      <c r="SGH40" s="822"/>
      <c r="SGI40" s="822"/>
      <c r="SGJ40" s="822"/>
      <c r="SGK40" s="822"/>
      <c r="SGL40" s="822"/>
      <c r="SGM40" s="822"/>
      <c r="SGN40" s="822"/>
      <c r="SGO40" s="822"/>
      <c r="SGP40" s="822"/>
      <c r="SGQ40" s="822"/>
      <c r="SGR40" s="822"/>
      <c r="SGS40" s="822"/>
      <c r="SGT40" s="822"/>
      <c r="SGU40" s="822"/>
      <c r="SGV40" s="822"/>
      <c r="SGW40" s="822"/>
      <c r="SGX40" s="822"/>
      <c r="SGY40" s="822"/>
      <c r="SGZ40" s="822"/>
      <c r="SHA40" s="822"/>
      <c r="SHB40" s="822"/>
      <c r="SHC40" s="822"/>
      <c r="SHD40" s="822"/>
      <c r="SHE40" s="822"/>
      <c r="SHF40" s="822"/>
      <c r="SHG40" s="822"/>
      <c r="SHH40" s="822"/>
      <c r="SHI40" s="822"/>
      <c r="SHJ40" s="822"/>
      <c r="SHK40" s="822"/>
      <c r="SHL40" s="822"/>
      <c r="SHM40" s="822"/>
      <c r="SHN40" s="822"/>
      <c r="SHO40" s="822"/>
      <c r="SHP40" s="822"/>
      <c r="SHQ40" s="822"/>
      <c r="SHR40" s="822"/>
      <c r="SHS40" s="822"/>
      <c r="SHT40" s="822"/>
      <c r="SHU40" s="822"/>
      <c r="SHV40" s="822"/>
      <c r="SHW40" s="822"/>
      <c r="SHX40" s="822"/>
      <c r="SHY40" s="822"/>
      <c r="SHZ40" s="822"/>
      <c r="SIA40" s="822"/>
      <c r="SIB40" s="822"/>
      <c r="SIC40" s="822"/>
      <c r="SID40" s="822"/>
      <c r="SIE40" s="822"/>
      <c r="SIF40" s="822"/>
      <c r="SIG40" s="822"/>
      <c r="SIH40" s="822"/>
      <c r="SII40" s="822"/>
      <c r="SIJ40" s="822"/>
      <c r="SIK40" s="822"/>
      <c r="SIL40" s="822"/>
      <c r="SIM40" s="822"/>
      <c r="SIN40" s="822"/>
      <c r="SIO40" s="822"/>
      <c r="SIP40" s="822"/>
      <c r="SIQ40" s="822"/>
      <c r="SIR40" s="822"/>
      <c r="SIS40" s="822"/>
      <c r="SIT40" s="822"/>
      <c r="SIU40" s="822"/>
      <c r="SIV40" s="822"/>
      <c r="SIW40" s="822"/>
      <c r="SIX40" s="822"/>
      <c r="SIY40" s="822"/>
      <c r="SIZ40" s="822"/>
      <c r="SJA40" s="822"/>
      <c r="SJB40" s="822"/>
      <c r="SJC40" s="822"/>
      <c r="SJD40" s="822"/>
      <c r="SJE40" s="822"/>
      <c r="SJF40" s="822"/>
      <c r="SJG40" s="822"/>
      <c r="SJH40" s="822"/>
      <c r="SJI40" s="822"/>
      <c r="SJJ40" s="822"/>
      <c r="SJK40" s="822"/>
      <c r="SJL40" s="822"/>
      <c r="SJM40" s="822"/>
      <c r="SJN40" s="822"/>
      <c r="SJO40" s="822"/>
      <c r="SJP40" s="822"/>
      <c r="SJQ40" s="822"/>
      <c r="SJR40" s="822"/>
      <c r="SJS40" s="822"/>
      <c r="SJT40" s="822"/>
      <c r="SJU40" s="822"/>
      <c r="SJV40" s="822"/>
      <c r="SJW40" s="822"/>
      <c r="SJX40" s="822"/>
      <c r="SJY40" s="822"/>
      <c r="SJZ40" s="822"/>
      <c r="SKA40" s="822"/>
      <c r="SKB40" s="822"/>
      <c r="SKC40" s="822"/>
      <c r="SKD40" s="822"/>
      <c r="SKE40" s="822"/>
      <c r="SKF40" s="822"/>
      <c r="SKG40" s="822"/>
      <c r="SKH40" s="822"/>
      <c r="SKI40" s="822"/>
      <c r="SKJ40" s="822"/>
      <c r="SKK40" s="822"/>
      <c r="SKL40" s="822"/>
      <c r="SKM40" s="822"/>
      <c r="SKN40" s="822"/>
      <c r="SKO40" s="822"/>
      <c r="SKP40" s="822"/>
      <c r="SKQ40" s="822"/>
      <c r="SKR40" s="822"/>
      <c r="SKS40" s="822"/>
      <c r="SKT40" s="822"/>
      <c r="SKU40" s="822"/>
      <c r="SKV40" s="822"/>
      <c r="SKW40" s="822"/>
      <c r="SKX40" s="822"/>
      <c r="SKY40" s="822"/>
      <c r="SKZ40" s="822"/>
      <c r="SLA40" s="822"/>
      <c r="SLB40" s="822"/>
      <c r="SLC40" s="822"/>
      <c r="SLD40" s="822"/>
      <c r="SLE40" s="822"/>
      <c r="SLF40" s="822"/>
      <c r="SLG40" s="822"/>
      <c r="SLH40" s="822"/>
      <c r="SLI40" s="822"/>
      <c r="SLJ40" s="822"/>
      <c r="SLK40" s="822"/>
      <c r="SLL40" s="822"/>
      <c r="SLM40" s="822"/>
      <c r="SLN40" s="822"/>
      <c r="SLO40" s="822"/>
      <c r="SLP40" s="822"/>
      <c r="SLQ40" s="822"/>
      <c r="SLR40" s="822"/>
      <c r="SLS40" s="822"/>
      <c r="SLT40" s="822"/>
      <c r="SLU40" s="822"/>
      <c r="SLV40" s="822"/>
      <c r="SLW40" s="822"/>
      <c r="SLX40" s="822"/>
      <c r="SLY40" s="822"/>
      <c r="SLZ40" s="822"/>
      <c r="SMA40" s="822"/>
      <c r="SMB40" s="822"/>
      <c r="SMC40" s="822"/>
      <c r="SMD40" s="822"/>
      <c r="SME40" s="822"/>
      <c r="SMF40" s="822"/>
      <c r="SMG40" s="822"/>
      <c r="SMH40" s="822"/>
      <c r="SMI40" s="822"/>
      <c r="SMJ40" s="822"/>
      <c r="SMK40" s="822"/>
      <c r="SML40" s="822"/>
      <c r="SMM40" s="822"/>
      <c r="SMN40" s="822"/>
      <c r="SMO40" s="822"/>
      <c r="SMP40" s="822"/>
      <c r="SMQ40" s="822"/>
      <c r="SMR40" s="822"/>
      <c r="SMS40" s="822"/>
      <c r="SMT40" s="822"/>
      <c r="SMU40" s="822"/>
      <c r="SMV40" s="822"/>
      <c r="SMW40" s="822"/>
      <c r="SMX40" s="822"/>
      <c r="SMY40" s="822"/>
      <c r="SMZ40" s="822"/>
      <c r="SNA40" s="822"/>
      <c r="SNB40" s="822"/>
      <c r="SNC40" s="822"/>
      <c r="SND40" s="822"/>
      <c r="SNE40" s="822"/>
      <c r="SNF40" s="822"/>
      <c r="SNG40" s="822"/>
      <c r="SNH40" s="822"/>
      <c r="SNI40" s="822"/>
      <c r="SNJ40" s="822"/>
      <c r="SNK40" s="822"/>
      <c r="SNL40" s="822"/>
      <c r="SNM40" s="822"/>
      <c r="SNN40" s="822"/>
      <c r="SNO40" s="822"/>
      <c r="SNP40" s="822"/>
      <c r="SNQ40" s="822"/>
      <c r="SNR40" s="822"/>
      <c r="SNS40" s="822"/>
      <c r="SNT40" s="822"/>
      <c r="SNU40" s="822"/>
      <c r="SNV40" s="822"/>
      <c r="SNW40" s="822"/>
      <c r="SNX40" s="822"/>
      <c r="SNY40" s="822"/>
      <c r="SNZ40" s="822"/>
      <c r="SOA40" s="822"/>
      <c r="SOB40" s="822"/>
      <c r="SOC40" s="822"/>
      <c r="SOD40" s="822"/>
      <c r="SOE40" s="822"/>
      <c r="SOF40" s="822"/>
      <c r="SOG40" s="822"/>
      <c r="SOH40" s="822"/>
      <c r="SOI40" s="822"/>
      <c r="SOJ40" s="822"/>
      <c r="SOK40" s="822"/>
      <c r="SOL40" s="822"/>
      <c r="SOM40" s="822"/>
      <c r="SON40" s="822"/>
      <c r="SOO40" s="822"/>
      <c r="SOP40" s="822"/>
      <c r="SOQ40" s="822"/>
      <c r="SOR40" s="822"/>
      <c r="SOS40" s="822"/>
      <c r="SOT40" s="822"/>
      <c r="SOU40" s="822"/>
      <c r="SOV40" s="822"/>
      <c r="SOW40" s="822"/>
      <c r="SOX40" s="822"/>
      <c r="SOY40" s="822"/>
      <c r="SOZ40" s="822"/>
      <c r="SPA40" s="822"/>
      <c r="SPB40" s="822"/>
      <c r="SPC40" s="822"/>
      <c r="SPD40" s="822"/>
      <c r="SPE40" s="822"/>
      <c r="SPF40" s="822"/>
      <c r="SPG40" s="822"/>
      <c r="SPH40" s="822"/>
      <c r="SPI40" s="822"/>
      <c r="SPJ40" s="822"/>
      <c r="SPK40" s="822"/>
      <c r="SPL40" s="822"/>
      <c r="SPM40" s="822"/>
      <c r="SPN40" s="822"/>
      <c r="SPO40" s="822"/>
      <c r="SPP40" s="822"/>
      <c r="SPQ40" s="822"/>
      <c r="SPR40" s="822"/>
      <c r="SPS40" s="822"/>
      <c r="SPT40" s="822"/>
      <c r="SPU40" s="822"/>
      <c r="SPV40" s="822"/>
      <c r="SPW40" s="822"/>
      <c r="SPX40" s="822"/>
      <c r="SPY40" s="822"/>
      <c r="SPZ40" s="822"/>
      <c r="SQA40" s="822"/>
      <c r="SQB40" s="822"/>
      <c r="SQC40" s="822"/>
      <c r="SQD40" s="822"/>
      <c r="SQE40" s="822"/>
      <c r="SQF40" s="822"/>
      <c r="SQG40" s="822"/>
      <c r="SQH40" s="822"/>
      <c r="SQI40" s="822"/>
      <c r="SQJ40" s="822"/>
      <c r="SQK40" s="822"/>
      <c r="SQL40" s="822"/>
      <c r="SQM40" s="822"/>
      <c r="SQN40" s="822"/>
      <c r="SQO40" s="822"/>
      <c r="SQP40" s="822"/>
      <c r="SQQ40" s="822"/>
      <c r="SQR40" s="822"/>
      <c r="SQS40" s="822"/>
      <c r="SQT40" s="822"/>
      <c r="SQU40" s="822"/>
      <c r="SQV40" s="822"/>
      <c r="SQW40" s="822"/>
      <c r="SQX40" s="822"/>
      <c r="SQY40" s="822"/>
      <c r="SQZ40" s="822"/>
      <c r="SRA40" s="822"/>
      <c r="SRB40" s="822"/>
      <c r="SRC40" s="822"/>
      <c r="SRD40" s="822"/>
      <c r="SRE40" s="822"/>
      <c r="SRF40" s="822"/>
      <c r="SRG40" s="822"/>
      <c r="SRH40" s="822"/>
      <c r="SRI40" s="822"/>
      <c r="SRJ40" s="822"/>
      <c r="SRK40" s="822"/>
      <c r="SRL40" s="822"/>
      <c r="SRM40" s="822"/>
      <c r="SRN40" s="822"/>
      <c r="SRO40" s="822"/>
      <c r="SRP40" s="822"/>
      <c r="SRQ40" s="822"/>
      <c r="SRR40" s="822"/>
      <c r="SRS40" s="822"/>
      <c r="SRT40" s="822"/>
      <c r="SRU40" s="822"/>
      <c r="SRV40" s="822"/>
      <c r="SRW40" s="822"/>
      <c r="SRX40" s="822"/>
      <c r="SRY40" s="822"/>
      <c r="SRZ40" s="822"/>
      <c r="SSA40" s="822"/>
      <c r="SSB40" s="822"/>
      <c r="SSC40" s="822"/>
      <c r="SSD40" s="822"/>
      <c r="SSE40" s="822"/>
      <c r="SSF40" s="822"/>
      <c r="SSG40" s="822"/>
      <c r="SSH40" s="822"/>
      <c r="SSI40" s="822"/>
      <c r="SSJ40" s="822"/>
      <c r="SSK40" s="822"/>
      <c r="SSL40" s="822"/>
      <c r="SSM40" s="822"/>
      <c r="SSN40" s="822"/>
      <c r="SSO40" s="822"/>
      <c r="SSP40" s="822"/>
      <c r="SSQ40" s="822"/>
      <c r="SSR40" s="822"/>
      <c r="SSS40" s="822"/>
      <c r="SST40" s="822"/>
      <c r="SSU40" s="822"/>
      <c r="SSV40" s="822"/>
      <c r="SSW40" s="822"/>
      <c r="SSX40" s="822"/>
      <c r="SSY40" s="822"/>
      <c r="SSZ40" s="822"/>
      <c r="STA40" s="822"/>
      <c r="STB40" s="822"/>
      <c r="STC40" s="822"/>
      <c r="STD40" s="822"/>
      <c r="STE40" s="822"/>
      <c r="STF40" s="822"/>
      <c r="STG40" s="822"/>
      <c r="STH40" s="822"/>
      <c r="STI40" s="822"/>
      <c r="STJ40" s="822"/>
      <c r="STK40" s="822"/>
      <c r="STL40" s="822"/>
      <c r="STM40" s="822"/>
      <c r="STN40" s="822"/>
      <c r="STO40" s="822"/>
      <c r="STP40" s="822"/>
      <c r="STQ40" s="822"/>
      <c r="STR40" s="822"/>
      <c r="STS40" s="822"/>
      <c r="STT40" s="822"/>
      <c r="STU40" s="822"/>
      <c r="STV40" s="822"/>
      <c r="STW40" s="822"/>
      <c r="STX40" s="822"/>
      <c r="STY40" s="822"/>
      <c r="STZ40" s="822"/>
      <c r="SUA40" s="822"/>
      <c r="SUB40" s="822"/>
      <c r="SUC40" s="822"/>
      <c r="SUD40" s="822"/>
      <c r="SUE40" s="822"/>
      <c r="SUF40" s="822"/>
      <c r="SUG40" s="822"/>
      <c r="SUH40" s="822"/>
      <c r="SUI40" s="822"/>
      <c r="SUJ40" s="822"/>
      <c r="SUK40" s="822"/>
      <c r="SUL40" s="822"/>
      <c r="SUM40" s="822"/>
      <c r="SUN40" s="822"/>
      <c r="SUO40" s="822"/>
      <c r="SUP40" s="822"/>
      <c r="SUQ40" s="822"/>
      <c r="SUR40" s="822"/>
      <c r="SUS40" s="822"/>
      <c r="SUT40" s="822"/>
      <c r="SUU40" s="822"/>
      <c r="SUV40" s="822"/>
      <c r="SUW40" s="822"/>
      <c r="SUX40" s="822"/>
      <c r="SUY40" s="822"/>
      <c r="SUZ40" s="822"/>
      <c r="SVA40" s="822"/>
      <c r="SVB40" s="822"/>
      <c r="SVC40" s="822"/>
      <c r="SVD40" s="822"/>
      <c r="SVE40" s="822"/>
      <c r="SVF40" s="822"/>
      <c r="SVG40" s="822"/>
      <c r="SVH40" s="822"/>
      <c r="SVI40" s="822"/>
      <c r="SVJ40" s="822"/>
      <c r="SVK40" s="822"/>
      <c r="SVL40" s="822"/>
      <c r="SVM40" s="822"/>
      <c r="SVN40" s="822"/>
      <c r="SVO40" s="822"/>
      <c r="SVP40" s="822"/>
      <c r="SVQ40" s="822"/>
      <c r="SVR40" s="822"/>
      <c r="SVS40" s="822"/>
      <c r="SVT40" s="822"/>
      <c r="SVU40" s="822"/>
      <c r="SVV40" s="822"/>
      <c r="SVW40" s="822"/>
      <c r="SVX40" s="822"/>
      <c r="SVY40" s="822"/>
      <c r="SVZ40" s="822"/>
      <c r="SWA40" s="822"/>
      <c r="SWB40" s="822"/>
      <c r="SWC40" s="822"/>
      <c r="SWD40" s="822"/>
      <c r="SWE40" s="822"/>
      <c r="SWF40" s="822"/>
      <c r="SWG40" s="822"/>
      <c r="SWH40" s="822"/>
      <c r="SWI40" s="822"/>
      <c r="SWJ40" s="822"/>
      <c r="SWK40" s="822"/>
      <c r="SWL40" s="822"/>
      <c r="SWM40" s="822"/>
      <c r="SWN40" s="822"/>
      <c r="SWO40" s="822"/>
      <c r="SWP40" s="822"/>
      <c r="SWQ40" s="822"/>
      <c r="SWR40" s="822"/>
      <c r="SWS40" s="822"/>
      <c r="SWT40" s="822"/>
      <c r="SWU40" s="822"/>
      <c r="SWV40" s="822"/>
      <c r="SWW40" s="822"/>
      <c r="SWX40" s="822"/>
      <c r="SWY40" s="822"/>
      <c r="SWZ40" s="822"/>
      <c r="SXA40" s="822"/>
      <c r="SXB40" s="822"/>
      <c r="SXC40" s="822"/>
      <c r="SXD40" s="822"/>
      <c r="SXE40" s="822"/>
      <c r="SXF40" s="822"/>
      <c r="SXG40" s="822"/>
      <c r="SXH40" s="822"/>
      <c r="SXI40" s="822"/>
      <c r="SXJ40" s="822"/>
      <c r="SXK40" s="822"/>
      <c r="SXL40" s="822"/>
      <c r="SXM40" s="822"/>
      <c r="SXN40" s="822"/>
      <c r="SXO40" s="822"/>
      <c r="SXP40" s="822"/>
      <c r="SXQ40" s="822"/>
      <c r="SXR40" s="822"/>
      <c r="SXS40" s="822"/>
      <c r="SXT40" s="822"/>
      <c r="SXU40" s="822"/>
      <c r="SXV40" s="822"/>
      <c r="SXW40" s="822"/>
      <c r="SXX40" s="822"/>
      <c r="SXY40" s="822"/>
      <c r="SXZ40" s="822"/>
      <c r="SYA40" s="822"/>
      <c r="SYB40" s="822"/>
      <c r="SYC40" s="822"/>
      <c r="SYD40" s="822"/>
      <c r="SYE40" s="822"/>
      <c r="SYF40" s="822"/>
      <c r="SYG40" s="822"/>
      <c r="SYH40" s="822"/>
      <c r="SYI40" s="822"/>
      <c r="SYJ40" s="822"/>
      <c r="SYK40" s="822"/>
      <c r="SYL40" s="822"/>
      <c r="SYM40" s="822"/>
      <c r="SYN40" s="822"/>
      <c r="SYO40" s="822"/>
      <c r="SYP40" s="822"/>
      <c r="SYQ40" s="822"/>
      <c r="SYR40" s="822"/>
      <c r="SYS40" s="822"/>
      <c r="SYT40" s="822"/>
      <c r="SYU40" s="822"/>
      <c r="SYV40" s="822"/>
      <c r="SYW40" s="822"/>
      <c r="SYX40" s="822"/>
      <c r="SYY40" s="822"/>
      <c r="SYZ40" s="822"/>
      <c r="SZA40" s="822"/>
      <c r="SZB40" s="822"/>
      <c r="SZC40" s="822"/>
      <c r="SZD40" s="822"/>
      <c r="SZE40" s="822"/>
      <c r="SZF40" s="822"/>
      <c r="SZG40" s="822"/>
      <c r="SZH40" s="822"/>
      <c r="SZI40" s="822"/>
      <c r="SZJ40" s="822"/>
      <c r="SZK40" s="822"/>
      <c r="SZL40" s="822"/>
      <c r="SZM40" s="822"/>
      <c r="SZN40" s="822"/>
      <c r="SZO40" s="822"/>
      <c r="SZP40" s="822"/>
      <c r="SZQ40" s="822"/>
      <c r="SZR40" s="822"/>
      <c r="SZS40" s="822"/>
      <c r="SZT40" s="822"/>
      <c r="SZU40" s="822"/>
      <c r="SZV40" s="822"/>
      <c r="SZW40" s="822"/>
      <c r="SZX40" s="822"/>
      <c r="SZY40" s="822"/>
      <c r="SZZ40" s="822"/>
      <c r="TAA40" s="822"/>
      <c r="TAB40" s="822"/>
      <c r="TAC40" s="822"/>
      <c r="TAD40" s="822"/>
      <c r="TAE40" s="822"/>
      <c r="TAF40" s="822"/>
      <c r="TAG40" s="822"/>
      <c r="TAH40" s="822"/>
      <c r="TAI40" s="822"/>
      <c r="TAJ40" s="822"/>
      <c r="TAK40" s="822"/>
      <c r="TAL40" s="822"/>
      <c r="TAM40" s="822"/>
      <c r="TAN40" s="822"/>
      <c r="TAO40" s="822"/>
      <c r="TAP40" s="822"/>
      <c r="TAQ40" s="822"/>
      <c r="TAR40" s="822"/>
      <c r="TAS40" s="822"/>
      <c r="TAT40" s="822"/>
      <c r="TAU40" s="822"/>
      <c r="TAV40" s="822"/>
      <c r="TAW40" s="822"/>
      <c r="TAX40" s="822"/>
      <c r="TAY40" s="822"/>
      <c r="TAZ40" s="822"/>
      <c r="TBA40" s="822"/>
      <c r="TBB40" s="822"/>
      <c r="TBC40" s="822"/>
      <c r="TBD40" s="822"/>
      <c r="TBE40" s="822"/>
      <c r="TBF40" s="822"/>
      <c r="TBG40" s="822"/>
      <c r="TBH40" s="822"/>
      <c r="TBI40" s="822"/>
      <c r="TBJ40" s="822"/>
      <c r="TBK40" s="822"/>
      <c r="TBL40" s="822"/>
      <c r="TBM40" s="822"/>
      <c r="TBN40" s="822"/>
      <c r="TBO40" s="822"/>
      <c r="TBP40" s="822"/>
      <c r="TBQ40" s="822"/>
      <c r="TBR40" s="822"/>
      <c r="TBS40" s="822"/>
      <c r="TBT40" s="822"/>
      <c r="TBU40" s="822"/>
      <c r="TBV40" s="822"/>
      <c r="TBW40" s="822"/>
      <c r="TBX40" s="822"/>
      <c r="TBY40" s="822"/>
      <c r="TBZ40" s="822"/>
      <c r="TCA40" s="822"/>
      <c r="TCB40" s="822"/>
      <c r="TCC40" s="822"/>
      <c r="TCD40" s="822"/>
      <c r="TCE40" s="822"/>
      <c r="TCF40" s="822"/>
      <c r="TCG40" s="822"/>
      <c r="TCH40" s="822"/>
      <c r="TCI40" s="822"/>
      <c r="TCJ40" s="822"/>
      <c r="TCK40" s="822"/>
      <c r="TCL40" s="822"/>
      <c r="TCM40" s="822"/>
      <c r="TCN40" s="822"/>
      <c r="TCO40" s="822"/>
      <c r="TCP40" s="822"/>
      <c r="TCQ40" s="822"/>
      <c r="TCR40" s="822"/>
      <c r="TCS40" s="822"/>
      <c r="TCT40" s="822"/>
      <c r="TCU40" s="822"/>
      <c r="TCV40" s="822"/>
      <c r="TCW40" s="822"/>
      <c r="TCX40" s="822"/>
      <c r="TCY40" s="822"/>
      <c r="TCZ40" s="822"/>
      <c r="TDA40" s="822"/>
      <c r="TDB40" s="822"/>
      <c r="TDC40" s="822"/>
      <c r="TDD40" s="822"/>
      <c r="TDE40" s="822"/>
      <c r="TDF40" s="822"/>
      <c r="TDG40" s="822"/>
      <c r="TDH40" s="822"/>
      <c r="TDI40" s="822"/>
      <c r="TDJ40" s="822"/>
      <c r="TDK40" s="822"/>
      <c r="TDL40" s="822"/>
      <c r="TDM40" s="822"/>
      <c r="TDN40" s="822"/>
      <c r="TDO40" s="822"/>
      <c r="TDP40" s="822"/>
      <c r="TDQ40" s="822"/>
      <c r="TDR40" s="822"/>
      <c r="TDS40" s="822"/>
      <c r="TDT40" s="822"/>
      <c r="TDU40" s="822"/>
      <c r="TDV40" s="822"/>
      <c r="TDW40" s="822"/>
      <c r="TDX40" s="822"/>
      <c r="TDY40" s="822"/>
      <c r="TDZ40" s="822"/>
      <c r="TEA40" s="822"/>
      <c r="TEB40" s="822"/>
      <c r="TEC40" s="822"/>
      <c r="TED40" s="822"/>
      <c r="TEE40" s="822"/>
      <c r="TEF40" s="822"/>
      <c r="TEG40" s="822"/>
      <c r="TEH40" s="822"/>
      <c r="TEI40" s="822"/>
      <c r="TEJ40" s="822"/>
      <c r="TEK40" s="822"/>
      <c r="TEL40" s="822"/>
      <c r="TEM40" s="822"/>
      <c r="TEN40" s="822"/>
      <c r="TEO40" s="822"/>
      <c r="TEP40" s="822"/>
      <c r="TEQ40" s="822"/>
      <c r="TER40" s="822"/>
      <c r="TES40" s="822"/>
      <c r="TET40" s="822"/>
      <c r="TEU40" s="822"/>
      <c r="TEV40" s="822"/>
      <c r="TEW40" s="822"/>
      <c r="TEX40" s="822"/>
      <c r="TEY40" s="822"/>
      <c r="TEZ40" s="822"/>
      <c r="TFA40" s="822"/>
      <c r="TFB40" s="822"/>
      <c r="TFC40" s="822"/>
      <c r="TFD40" s="822"/>
      <c r="TFE40" s="822"/>
      <c r="TFF40" s="822"/>
      <c r="TFG40" s="822"/>
      <c r="TFH40" s="822"/>
      <c r="TFI40" s="822"/>
      <c r="TFJ40" s="822"/>
      <c r="TFK40" s="822"/>
      <c r="TFL40" s="822"/>
      <c r="TFM40" s="822"/>
      <c r="TFN40" s="822"/>
      <c r="TFO40" s="822"/>
      <c r="TFP40" s="822"/>
      <c r="TFQ40" s="822"/>
      <c r="TFR40" s="822"/>
      <c r="TFS40" s="822"/>
      <c r="TFT40" s="822"/>
      <c r="TFU40" s="822"/>
      <c r="TFV40" s="822"/>
      <c r="TFW40" s="822"/>
      <c r="TFX40" s="822"/>
      <c r="TFY40" s="822"/>
      <c r="TFZ40" s="822"/>
      <c r="TGA40" s="822"/>
      <c r="TGB40" s="822"/>
      <c r="TGC40" s="822"/>
      <c r="TGD40" s="822"/>
      <c r="TGE40" s="822"/>
      <c r="TGF40" s="822"/>
      <c r="TGG40" s="822"/>
      <c r="TGH40" s="822"/>
      <c r="TGI40" s="822"/>
      <c r="TGJ40" s="822"/>
      <c r="TGK40" s="822"/>
      <c r="TGL40" s="822"/>
      <c r="TGM40" s="822"/>
      <c r="TGN40" s="822"/>
      <c r="TGO40" s="822"/>
      <c r="TGP40" s="822"/>
      <c r="TGQ40" s="822"/>
      <c r="TGR40" s="822"/>
      <c r="TGS40" s="822"/>
      <c r="TGT40" s="822"/>
      <c r="TGU40" s="822"/>
      <c r="TGV40" s="822"/>
      <c r="TGW40" s="822"/>
      <c r="TGX40" s="822"/>
      <c r="TGY40" s="822"/>
      <c r="TGZ40" s="822"/>
      <c r="THA40" s="822"/>
      <c r="THB40" s="822"/>
      <c r="THC40" s="822"/>
      <c r="THD40" s="822"/>
      <c r="THE40" s="822"/>
      <c r="THF40" s="822"/>
      <c r="THG40" s="822"/>
      <c r="THH40" s="822"/>
      <c r="THI40" s="822"/>
      <c r="THJ40" s="822"/>
      <c r="THK40" s="822"/>
      <c r="THL40" s="822"/>
      <c r="THM40" s="822"/>
      <c r="THN40" s="822"/>
      <c r="THO40" s="822"/>
      <c r="THP40" s="822"/>
      <c r="THQ40" s="822"/>
      <c r="THR40" s="822"/>
      <c r="THS40" s="822"/>
      <c r="THT40" s="822"/>
      <c r="THU40" s="822"/>
      <c r="THV40" s="822"/>
      <c r="THW40" s="822"/>
      <c r="THX40" s="822"/>
      <c r="THY40" s="822"/>
      <c r="THZ40" s="822"/>
      <c r="TIA40" s="822"/>
      <c r="TIB40" s="822"/>
      <c r="TIC40" s="822"/>
      <c r="TID40" s="822"/>
      <c r="TIE40" s="822"/>
      <c r="TIF40" s="822"/>
      <c r="TIG40" s="822"/>
      <c r="TIH40" s="822"/>
      <c r="TII40" s="822"/>
      <c r="TIJ40" s="822"/>
      <c r="TIK40" s="822"/>
      <c r="TIL40" s="822"/>
      <c r="TIM40" s="822"/>
      <c r="TIN40" s="822"/>
      <c r="TIO40" s="822"/>
      <c r="TIP40" s="822"/>
      <c r="TIQ40" s="822"/>
      <c r="TIR40" s="822"/>
      <c r="TIS40" s="822"/>
      <c r="TIT40" s="822"/>
      <c r="TIU40" s="822"/>
      <c r="TIV40" s="822"/>
      <c r="TIW40" s="822"/>
      <c r="TIX40" s="822"/>
      <c r="TIY40" s="822"/>
      <c r="TIZ40" s="822"/>
      <c r="TJA40" s="822"/>
      <c r="TJB40" s="822"/>
      <c r="TJC40" s="822"/>
      <c r="TJD40" s="822"/>
      <c r="TJE40" s="822"/>
      <c r="TJF40" s="822"/>
      <c r="TJG40" s="822"/>
      <c r="TJH40" s="822"/>
      <c r="TJI40" s="822"/>
      <c r="TJJ40" s="822"/>
      <c r="TJK40" s="822"/>
      <c r="TJL40" s="822"/>
      <c r="TJM40" s="822"/>
      <c r="TJN40" s="822"/>
      <c r="TJO40" s="822"/>
      <c r="TJP40" s="822"/>
      <c r="TJQ40" s="822"/>
      <c r="TJR40" s="822"/>
      <c r="TJS40" s="822"/>
      <c r="TJT40" s="822"/>
      <c r="TJU40" s="822"/>
      <c r="TJV40" s="822"/>
      <c r="TJW40" s="822"/>
      <c r="TJX40" s="822"/>
      <c r="TJY40" s="822"/>
      <c r="TJZ40" s="822"/>
      <c r="TKA40" s="822"/>
      <c r="TKB40" s="822"/>
      <c r="TKC40" s="822"/>
      <c r="TKD40" s="822"/>
      <c r="TKE40" s="822"/>
      <c r="TKF40" s="822"/>
      <c r="TKG40" s="822"/>
      <c r="TKH40" s="822"/>
      <c r="TKI40" s="822"/>
      <c r="TKJ40" s="822"/>
      <c r="TKK40" s="822"/>
      <c r="TKL40" s="822"/>
      <c r="TKM40" s="822"/>
      <c r="TKN40" s="822"/>
      <c r="TKO40" s="822"/>
      <c r="TKP40" s="822"/>
      <c r="TKQ40" s="822"/>
      <c r="TKR40" s="822"/>
      <c r="TKS40" s="822"/>
      <c r="TKT40" s="822"/>
      <c r="TKU40" s="822"/>
      <c r="TKV40" s="822"/>
      <c r="TKW40" s="822"/>
      <c r="TKX40" s="822"/>
      <c r="TKY40" s="822"/>
      <c r="TKZ40" s="822"/>
      <c r="TLA40" s="822"/>
      <c r="TLB40" s="822"/>
      <c r="TLC40" s="822"/>
      <c r="TLD40" s="822"/>
      <c r="TLE40" s="822"/>
      <c r="TLF40" s="822"/>
      <c r="TLG40" s="822"/>
      <c r="TLH40" s="822"/>
      <c r="TLI40" s="822"/>
      <c r="TLJ40" s="822"/>
      <c r="TLK40" s="822"/>
      <c r="TLL40" s="822"/>
      <c r="TLM40" s="822"/>
      <c r="TLN40" s="822"/>
      <c r="TLO40" s="822"/>
      <c r="TLP40" s="822"/>
      <c r="TLQ40" s="822"/>
      <c r="TLR40" s="822"/>
      <c r="TLS40" s="822"/>
      <c r="TLT40" s="822"/>
      <c r="TLU40" s="822"/>
      <c r="TLV40" s="822"/>
      <c r="TLW40" s="822"/>
      <c r="TLX40" s="822"/>
      <c r="TLY40" s="822"/>
      <c r="TLZ40" s="822"/>
      <c r="TMA40" s="822"/>
      <c r="TMB40" s="822"/>
      <c r="TMC40" s="822"/>
      <c r="TMD40" s="822"/>
      <c r="TME40" s="822"/>
      <c r="TMF40" s="822"/>
      <c r="TMG40" s="822"/>
      <c r="TMH40" s="822"/>
      <c r="TMI40" s="822"/>
      <c r="TMJ40" s="822"/>
      <c r="TMK40" s="822"/>
      <c r="TML40" s="822"/>
      <c r="TMM40" s="822"/>
      <c r="TMN40" s="822"/>
      <c r="TMO40" s="822"/>
      <c r="TMP40" s="822"/>
      <c r="TMQ40" s="822"/>
      <c r="TMR40" s="822"/>
      <c r="TMS40" s="822"/>
      <c r="TMT40" s="822"/>
      <c r="TMU40" s="822"/>
      <c r="TMV40" s="822"/>
      <c r="TMW40" s="822"/>
      <c r="TMX40" s="822"/>
      <c r="TMY40" s="822"/>
      <c r="TMZ40" s="822"/>
      <c r="TNA40" s="822"/>
      <c r="TNB40" s="822"/>
      <c r="TNC40" s="822"/>
      <c r="TND40" s="822"/>
      <c r="TNE40" s="822"/>
      <c r="TNF40" s="822"/>
      <c r="TNG40" s="822"/>
      <c r="TNH40" s="822"/>
      <c r="TNI40" s="822"/>
      <c r="TNJ40" s="822"/>
      <c r="TNK40" s="822"/>
      <c r="TNL40" s="822"/>
      <c r="TNM40" s="822"/>
      <c r="TNN40" s="822"/>
      <c r="TNO40" s="822"/>
      <c r="TNP40" s="822"/>
      <c r="TNQ40" s="822"/>
      <c r="TNR40" s="822"/>
      <c r="TNS40" s="822"/>
      <c r="TNT40" s="822"/>
      <c r="TNU40" s="822"/>
      <c r="TNV40" s="822"/>
      <c r="TNW40" s="822"/>
      <c r="TNX40" s="822"/>
      <c r="TNY40" s="822"/>
      <c r="TNZ40" s="822"/>
      <c r="TOA40" s="822"/>
      <c r="TOB40" s="822"/>
      <c r="TOC40" s="822"/>
      <c r="TOD40" s="822"/>
      <c r="TOE40" s="822"/>
      <c r="TOF40" s="822"/>
      <c r="TOG40" s="822"/>
      <c r="TOH40" s="822"/>
      <c r="TOI40" s="822"/>
      <c r="TOJ40" s="822"/>
      <c r="TOK40" s="822"/>
      <c r="TOL40" s="822"/>
      <c r="TOM40" s="822"/>
      <c r="TON40" s="822"/>
      <c r="TOO40" s="822"/>
      <c r="TOP40" s="822"/>
      <c r="TOQ40" s="822"/>
      <c r="TOR40" s="822"/>
      <c r="TOS40" s="822"/>
      <c r="TOT40" s="822"/>
      <c r="TOU40" s="822"/>
      <c r="TOV40" s="822"/>
      <c r="TOW40" s="822"/>
      <c r="TOX40" s="822"/>
      <c r="TOY40" s="822"/>
      <c r="TOZ40" s="822"/>
      <c r="TPA40" s="822"/>
      <c r="TPB40" s="822"/>
      <c r="TPC40" s="822"/>
      <c r="TPD40" s="822"/>
      <c r="TPE40" s="822"/>
      <c r="TPF40" s="822"/>
      <c r="TPG40" s="822"/>
      <c r="TPH40" s="822"/>
      <c r="TPI40" s="822"/>
      <c r="TPJ40" s="822"/>
      <c r="TPK40" s="822"/>
      <c r="TPL40" s="822"/>
      <c r="TPM40" s="822"/>
      <c r="TPN40" s="822"/>
      <c r="TPO40" s="822"/>
      <c r="TPP40" s="822"/>
      <c r="TPQ40" s="822"/>
      <c r="TPR40" s="822"/>
      <c r="TPS40" s="822"/>
      <c r="TPT40" s="822"/>
      <c r="TPU40" s="822"/>
      <c r="TPV40" s="822"/>
      <c r="TPW40" s="822"/>
      <c r="TPX40" s="822"/>
      <c r="TPY40" s="822"/>
      <c r="TPZ40" s="822"/>
      <c r="TQA40" s="822"/>
      <c r="TQB40" s="822"/>
      <c r="TQC40" s="822"/>
      <c r="TQD40" s="822"/>
      <c r="TQE40" s="822"/>
      <c r="TQF40" s="822"/>
      <c r="TQG40" s="822"/>
      <c r="TQH40" s="822"/>
      <c r="TQI40" s="822"/>
      <c r="TQJ40" s="822"/>
      <c r="TQK40" s="822"/>
      <c r="TQL40" s="822"/>
      <c r="TQM40" s="822"/>
      <c r="TQN40" s="822"/>
      <c r="TQO40" s="822"/>
      <c r="TQP40" s="822"/>
      <c r="TQQ40" s="822"/>
      <c r="TQR40" s="822"/>
      <c r="TQS40" s="822"/>
      <c r="TQT40" s="822"/>
      <c r="TQU40" s="822"/>
      <c r="TQV40" s="822"/>
      <c r="TQW40" s="822"/>
      <c r="TQX40" s="822"/>
      <c r="TQY40" s="822"/>
      <c r="TQZ40" s="822"/>
      <c r="TRA40" s="822"/>
      <c r="TRB40" s="822"/>
      <c r="TRC40" s="822"/>
      <c r="TRD40" s="822"/>
      <c r="TRE40" s="822"/>
      <c r="TRF40" s="822"/>
      <c r="TRG40" s="822"/>
      <c r="TRH40" s="822"/>
      <c r="TRI40" s="822"/>
      <c r="TRJ40" s="822"/>
      <c r="TRK40" s="822"/>
      <c r="TRL40" s="822"/>
      <c r="TRM40" s="822"/>
      <c r="TRN40" s="822"/>
      <c r="TRO40" s="822"/>
      <c r="TRP40" s="822"/>
      <c r="TRQ40" s="822"/>
      <c r="TRR40" s="822"/>
      <c r="TRS40" s="822"/>
      <c r="TRT40" s="822"/>
      <c r="TRU40" s="822"/>
      <c r="TRV40" s="822"/>
      <c r="TRW40" s="822"/>
      <c r="TRX40" s="822"/>
      <c r="TRY40" s="822"/>
      <c r="TRZ40" s="822"/>
      <c r="TSA40" s="822"/>
      <c r="TSB40" s="822"/>
      <c r="TSC40" s="822"/>
      <c r="TSD40" s="822"/>
      <c r="TSE40" s="822"/>
      <c r="TSF40" s="822"/>
      <c r="TSG40" s="822"/>
      <c r="TSH40" s="822"/>
      <c r="TSI40" s="822"/>
      <c r="TSJ40" s="822"/>
      <c r="TSK40" s="822"/>
      <c r="TSL40" s="822"/>
      <c r="TSM40" s="822"/>
      <c r="TSN40" s="822"/>
      <c r="TSO40" s="822"/>
      <c r="TSP40" s="822"/>
      <c r="TSQ40" s="822"/>
      <c r="TSR40" s="822"/>
      <c r="TSS40" s="822"/>
      <c r="TST40" s="822"/>
      <c r="TSU40" s="822"/>
      <c r="TSV40" s="822"/>
      <c r="TSW40" s="822"/>
      <c r="TSX40" s="822"/>
      <c r="TSY40" s="822"/>
      <c r="TSZ40" s="822"/>
      <c r="TTA40" s="822"/>
      <c r="TTB40" s="822"/>
      <c r="TTC40" s="822"/>
      <c r="TTD40" s="822"/>
      <c r="TTE40" s="822"/>
      <c r="TTF40" s="822"/>
      <c r="TTG40" s="822"/>
      <c r="TTH40" s="822"/>
      <c r="TTI40" s="822"/>
      <c r="TTJ40" s="822"/>
      <c r="TTK40" s="822"/>
      <c r="TTL40" s="822"/>
      <c r="TTM40" s="822"/>
      <c r="TTN40" s="822"/>
      <c r="TTO40" s="822"/>
      <c r="TTP40" s="822"/>
      <c r="TTQ40" s="822"/>
      <c r="TTR40" s="822"/>
      <c r="TTS40" s="822"/>
      <c r="TTT40" s="822"/>
      <c r="TTU40" s="822"/>
      <c r="TTV40" s="822"/>
      <c r="TTW40" s="822"/>
      <c r="TTX40" s="822"/>
      <c r="TTY40" s="822"/>
      <c r="TTZ40" s="822"/>
      <c r="TUA40" s="822"/>
      <c r="TUB40" s="822"/>
      <c r="TUC40" s="822"/>
      <c r="TUD40" s="822"/>
      <c r="TUE40" s="822"/>
      <c r="TUF40" s="822"/>
      <c r="TUG40" s="822"/>
      <c r="TUH40" s="822"/>
      <c r="TUI40" s="822"/>
      <c r="TUJ40" s="822"/>
      <c r="TUK40" s="822"/>
      <c r="TUL40" s="822"/>
      <c r="TUM40" s="822"/>
      <c r="TUN40" s="822"/>
      <c r="TUO40" s="822"/>
      <c r="TUP40" s="822"/>
      <c r="TUQ40" s="822"/>
      <c r="TUR40" s="822"/>
      <c r="TUS40" s="822"/>
      <c r="TUT40" s="822"/>
      <c r="TUU40" s="822"/>
      <c r="TUV40" s="822"/>
      <c r="TUW40" s="822"/>
      <c r="TUX40" s="822"/>
      <c r="TUY40" s="822"/>
      <c r="TUZ40" s="822"/>
      <c r="TVA40" s="822"/>
      <c r="TVB40" s="822"/>
      <c r="TVC40" s="822"/>
      <c r="TVD40" s="822"/>
      <c r="TVE40" s="822"/>
      <c r="TVF40" s="822"/>
      <c r="TVG40" s="822"/>
      <c r="TVH40" s="822"/>
      <c r="TVI40" s="822"/>
      <c r="TVJ40" s="822"/>
      <c r="TVK40" s="822"/>
      <c r="TVL40" s="822"/>
      <c r="TVM40" s="822"/>
      <c r="TVN40" s="822"/>
      <c r="TVO40" s="822"/>
      <c r="TVP40" s="822"/>
      <c r="TVQ40" s="822"/>
      <c r="TVR40" s="822"/>
      <c r="TVS40" s="822"/>
      <c r="TVT40" s="822"/>
      <c r="TVU40" s="822"/>
      <c r="TVV40" s="822"/>
      <c r="TVW40" s="822"/>
      <c r="TVX40" s="822"/>
      <c r="TVY40" s="822"/>
      <c r="TVZ40" s="822"/>
      <c r="TWA40" s="822"/>
      <c r="TWB40" s="822"/>
      <c r="TWC40" s="822"/>
      <c r="TWD40" s="822"/>
      <c r="TWE40" s="822"/>
      <c r="TWF40" s="822"/>
      <c r="TWG40" s="822"/>
      <c r="TWH40" s="822"/>
      <c r="TWI40" s="822"/>
      <c r="TWJ40" s="822"/>
      <c r="TWK40" s="822"/>
      <c r="TWL40" s="822"/>
      <c r="TWM40" s="822"/>
      <c r="TWN40" s="822"/>
      <c r="TWO40" s="822"/>
      <c r="TWP40" s="822"/>
      <c r="TWQ40" s="822"/>
      <c r="TWR40" s="822"/>
      <c r="TWS40" s="822"/>
      <c r="TWT40" s="822"/>
      <c r="TWU40" s="822"/>
      <c r="TWV40" s="822"/>
      <c r="TWW40" s="822"/>
      <c r="TWX40" s="822"/>
      <c r="TWY40" s="822"/>
      <c r="TWZ40" s="822"/>
      <c r="TXA40" s="822"/>
      <c r="TXB40" s="822"/>
      <c r="TXC40" s="822"/>
      <c r="TXD40" s="822"/>
      <c r="TXE40" s="822"/>
      <c r="TXF40" s="822"/>
      <c r="TXG40" s="822"/>
      <c r="TXH40" s="822"/>
      <c r="TXI40" s="822"/>
      <c r="TXJ40" s="822"/>
      <c r="TXK40" s="822"/>
      <c r="TXL40" s="822"/>
      <c r="TXM40" s="822"/>
      <c r="TXN40" s="822"/>
      <c r="TXO40" s="822"/>
      <c r="TXP40" s="822"/>
      <c r="TXQ40" s="822"/>
      <c r="TXR40" s="822"/>
      <c r="TXS40" s="822"/>
      <c r="TXT40" s="822"/>
      <c r="TXU40" s="822"/>
      <c r="TXV40" s="822"/>
      <c r="TXW40" s="822"/>
      <c r="TXX40" s="822"/>
      <c r="TXY40" s="822"/>
      <c r="TXZ40" s="822"/>
      <c r="TYA40" s="822"/>
      <c r="TYB40" s="822"/>
      <c r="TYC40" s="822"/>
      <c r="TYD40" s="822"/>
      <c r="TYE40" s="822"/>
      <c r="TYF40" s="822"/>
      <c r="TYG40" s="822"/>
      <c r="TYH40" s="822"/>
      <c r="TYI40" s="822"/>
      <c r="TYJ40" s="822"/>
      <c r="TYK40" s="822"/>
      <c r="TYL40" s="822"/>
      <c r="TYM40" s="822"/>
      <c r="TYN40" s="822"/>
      <c r="TYO40" s="822"/>
      <c r="TYP40" s="822"/>
      <c r="TYQ40" s="822"/>
      <c r="TYR40" s="822"/>
      <c r="TYS40" s="822"/>
      <c r="TYT40" s="822"/>
      <c r="TYU40" s="822"/>
      <c r="TYV40" s="822"/>
      <c r="TYW40" s="822"/>
      <c r="TYX40" s="822"/>
      <c r="TYY40" s="822"/>
      <c r="TYZ40" s="822"/>
      <c r="TZA40" s="822"/>
      <c r="TZB40" s="822"/>
      <c r="TZC40" s="822"/>
      <c r="TZD40" s="822"/>
      <c r="TZE40" s="822"/>
      <c r="TZF40" s="822"/>
      <c r="TZG40" s="822"/>
      <c r="TZH40" s="822"/>
      <c r="TZI40" s="822"/>
      <c r="TZJ40" s="822"/>
      <c r="TZK40" s="822"/>
      <c r="TZL40" s="822"/>
      <c r="TZM40" s="822"/>
      <c r="TZN40" s="822"/>
      <c r="TZO40" s="822"/>
      <c r="TZP40" s="822"/>
      <c r="TZQ40" s="822"/>
      <c r="TZR40" s="822"/>
      <c r="TZS40" s="822"/>
      <c r="TZT40" s="822"/>
      <c r="TZU40" s="822"/>
      <c r="TZV40" s="822"/>
      <c r="TZW40" s="822"/>
      <c r="TZX40" s="822"/>
      <c r="TZY40" s="822"/>
      <c r="TZZ40" s="822"/>
      <c r="UAA40" s="822"/>
      <c r="UAB40" s="822"/>
      <c r="UAC40" s="822"/>
      <c r="UAD40" s="822"/>
      <c r="UAE40" s="822"/>
      <c r="UAF40" s="822"/>
      <c r="UAG40" s="822"/>
      <c r="UAH40" s="822"/>
      <c r="UAI40" s="822"/>
      <c r="UAJ40" s="822"/>
      <c r="UAK40" s="822"/>
      <c r="UAL40" s="822"/>
      <c r="UAM40" s="822"/>
      <c r="UAN40" s="822"/>
      <c r="UAO40" s="822"/>
      <c r="UAP40" s="822"/>
      <c r="UAQ40" s="822"/>
      <c r="UAR40" s="822"/>
      <c r="UAS40" s="822"/>
      <c r="UAT40" s="822"/>
      <c r="UAU40" s="822"/>
      <c r="UAV40" s="822"/>
      <c r="UAW40" s="822"/>
      <c r="UAX40" s="822"/>
      <c r="UAY40" s="822"/>
      <c r="UAZ40" s="822"/>
      <c r="UBA40" s="822"/>
      <c r="UBB40" s="822"/>
      <c r="UBC40" s="822"/>
      <c r="UBD40" s="822"/>
      <c r="UBE40" s="822"/>
      <c r="UBF40" s="822"/>
      <c r="UBG40" s="822"/>
      <c r="UBH40" s="822"/>
      <c r="UBI40" s="822"/>
      <c r="UBJ40" s="822"/>
      <c r="UBK40" s="822"/>
      <c r="UBL40" s="822"/>
      <c r="UBM40" s="822"/>
      <c r="UBN40" s="822"/>
      <c r="UBO40" s="822"/>
      <c r="UBP40" s="822"/>
      <c r="UBQ40" s="822"/>
      <c r="UBR40" s="822"/>
      <c r="UBS40" s="822"/>
      <c r="UBT40" s="822"/>
      <c r="UBU40" s="822"/>
      <c r="UBV40" s="822"/>
      <c r="UBW40" s="822"/>
      <c r="UBX40" s="822"/>
      <c r="UBY40" s="822"/>
      <c r="UBZ40" s="822"/>
      <c r="UCA40" s="822"/>
      <c r="UCB40" s="822"/>
      <c r="UCC40" s="822"/>
      <c r="UCD40" s="822"/>
      <c r="UCE40" s="822"/>
      <c r="UCF40" s="822"/>
      <c r="UCG40" s="822"/>
      <c r="UCH40" s="822"/>
      <c r="UCI40" s="822"/>
      <c r="UCJ40" s="822"/>
      <c r="UCK40" s="822"/>
      <c r="UCL40" s="822"/>
      <c r="UCM40" s="822"/>
      <c r="UCN40" s="822"/>
      <c r="UCO40" s="822"/>
      <c r="UCP40" s="822"/>
      <c r="UCQ40" s="822"/>
      <c r="UCR40" s="822"/>
      <c r="UCS40" s="822"/>
      <c r="UCT40" s="822"/>
      <c r="UCU40" s="822"/>
      <c r="UCV40" s="822"/>
      <c r="UCW40" s="822"/>
      <c r="UCX40" s="822"/>
      <c r="UCY40" s="822"/>
      <c r="UCZ40" s="822"/>
      <c r="UDA40" s="822"/>
      <c r="UDB40" s="822"/>
      <c r="UDC40" s="822"/>
      <c r="UDD40" s="822"/>
      <c r="UDE40" s="822"/>
      <c r="UDF40" s="822"/>
      <c r="UDG40" s="822"/>
      <c r="UDH40" s="822"/>
      <c r="UDI40" s="822"/>
      <c r="UDJ40" s="822"/>
      <c r="UDK40" s="822"/>
      <c r="UDL40" s="822"/>
      <c r="UDM40" s="822"/>
      <c r="UDN40" s="822"/>
      <c r="UDO40" s="822"/>
      <c r="UDP40" s="822"/>
      <c r="UDQ40" s="822"/>
      <c r="UDR40" s="822"/>
      <c r="UDS40" s="822"/>
      <c r="UDT40" s="822"/>
      <c r="UDU40" s="822"/>
      <c r="UDV40" s="822"/>
      <c r="UDW40" s="822"/>
      <c r="UDX40" s="822"/>
      <c r="UDY40" s="822"/>
      <c r="UDZ40" s="822"/>
      <c r="UEA40" s="822"/>
      <c r="UEB40" s="822"/>
      <c r="UEC40" s="822"/>
      <c r="UED40" s="822"/>
      <c r="UEE40" s="822"/>
      <c r="UEF40" s="822"/>
      <c r="UEG40" s="822"/>
      <c r="UEH40" s="822"/>
      <c r="UEI40" s="822"/>
      <c r="UEJ40" s="822"/>
      <c r="UEK40" s="822"/>
      <c r="UEL40" s="822"/>
      <c r="UEM40" s="822"/>
      <c r="UEN40" s="822"/>
      <c r="UEO40" s="822"/>
      <c r="UEP40" s="822"/>
      <c r="UEQ40" s="822"/>
      <c r="UER40" s="822"/>
      <c r="UES40" s="822"/>
      <c r="UET40" s="822"/>
      <c r="UEU40" s="822"/>
      <c r="UEV40" s="822"/>
      <c r="UEW40" s="822"/>
      <c r="UEX40" s="822"/>
      <c r="UEY40" s="822"/>
      <c r="UEZ40" s="822"/>
      <c r="UFA40" s="822"/>
      <c r="UFB40" s="822"/>
      <c r="UFC40" s="822"/>
      <c r="UFD40" s="822"/>
      <c r="UFE40" s="822"/>
      <c r="UFF40" s="822"/>
      <c r="UFG40" s="822"/>
      <c r="UFH40" s="822"/>
      <c r="UFI40" s="822"/>
      <c r="UFJ40" s="822"/>
      <c r="UFK40" s="822"/>
      <c r="UFL40" s="822"/>
      <c r="UFM40" s="822"/>
      <c r="UFN40" s="822"/>
      <c r="UFO40" s="822"/>
      <c r="UFP40" s="822"/>
      <c r="UFQ40" s="822"/>
      <c r="UFR40" s="822"/>
      <c r="UFS40" s="822"/>
      <c r="UFT40" s="822"/>
      <c r="UFU40" s="822"/>
      <c r="UFV40" s="822"/>
      <c r="UFW40" s="822"/>
      <c r="UFX40" s="822"/>
      <c r="UFY40" s="822"/>
      <c r="UFZ40" s="822"/>
      <c r="UGA40" s="822"/>
      <c r="UGB40" s="822"/>
      <c r="UGC40" s="822"/>
      <c r="UGD40" s="822"/>
      <c r="UGE40" s="822"/>
      <c r="UGF40" s="822"/>
      <c r="UGG40" s="822"/>
      <c r="UGH40" s="822"/>
      <c r="UGI40" s="822"/>
      <c r="UGJ40" s="822"/>
      <c r="UGK40" s="822"/>
      <c r="UGL40" s="822"/>
      <c r="UGM40" s="822"/>
      <c r="UGN40" s="822"/>
      <c r="UGO40" s="822"/>
      <c r="UGP40" s="822"/>
      <c r="UGQ40" s="822"/>
      <c r="UGR40" s="822"/>
      <c r="UGS40" s="822"/>
      <c r="UGT40" s="822"/>
      <c r="UGU40" s="822"/>
      <c r="UGV40" s="822"/>
      <c r="UGW40" s="822"/>
      <c r="UGX40" s="822"/>
      <c r="UGY40" s="822"/>
      <c r="UGZ40" s="822"/>
      <c r="UHA40" s="822"/>
      <c r="UHB40" s="822"/>
      <c r="UHC40" s="822"/>
      <c r="UHD40" s="822"/>
      <c r="UHE40" s="822"/>
      <c r="UHF40" s="822"/>
      <c r="UHG40" s="822"/>
      <c r="UHH40" s="822"/>
      <c r="UHI40" s="822"/>
      <c r="UHJ40" s="822"/>
      <c r="UHK40" s="822"/>
      <c r="UHL40" s="822"/>
      <c r="UHM40" s="822"/>
      <c r="UHN40" s="822"/>
      <c r="UHO40" s="822"/>
      <c r="UHP40" s="822"/>
      <c r="UHQ40" s="822"/>
      <c r="UHR40" s="822"/>
      <c r="UHS40" s="822"/>
      <c r="UHT40" s="822"/>
      <c r="UHU40" s="822"/>
      <c r="UHV40" s="822"/>
      <c r="UHW40" s="822"/>
      <c r="UHX40" s="822"/>
      <c r="UHY40" s="822"/>
      <c r="UHZ40" s="822"/>
      <c r="UIA40" s="822"/>
      <c r="UIB40" s="822"/>
      <c r="UIC40" s="822"/>
      <c r="UID40" s="822"/>
      <c r="UIE40" s="822"/>
      <c r="UIF40" s="822"/>
      <c r="UIG40" s="822"/>
      <c r="UIH40" s="822"/>
      <c r="UII40" s="822"/>
      <c r="UIJ40" s="822"/>
      <c r="UIK40" s="822"/>
      <c r="UIL40" s="822"/>
      <c r="UIM40" s="822"/>
      <c r="UIN40" s="822"/>
      <c r="UIO40" s="822"/>
      <c r="UIP40" s="822"/>
      <c r="UIQ40" s="822"/>
      <c r="UIR40" s="822"/>
      <c r="UIS40" s="822"/>
      <c r="UIT40" s="822"/>
      <c r="UIU40" s="822"/>
      <c r="UIV40" s="822"/>
      <c r="UIW40" s="822"/>
      <c r="UIX40" s="822"/>
      <c r="UIY40" s="822"/>
      <c r="UIZ40" s="822"/>
      <c r="UJA40" s="822"/>
      <c r="UJB40" s="822"/>
      <c r="UJC40" s="822"/>
      <c r="UJD40" s="822"/>
      <c r="UJE40" s="822"/>
      <c r="UJF40" s="822"/>
      <c r="UJG40" s="822"/>
      <c r="UJH40" s="822"/>
      <c r="UJI40" s="822"/>
      <c r="UJJ40" s="822"/>
      <c r="UJK40" s="822"/>
      <c r="UJL40" s="822"/>
      <c r="UJM40" s="822"/>
      <c r="UJN40" s="822"/>
      <c r="UJO40" s="822"/>
      <c r="UJP40" s="822"/>
      <c r="UJQ40" s="822"/>
      <c r="UJR40" s="822"/>
      <c r="UJS40" s="822"/>
      <c r="UJT40" s="822"/>
      <c r="UJU40" s="822"/>
      <c r="UJV40" s="822"/>
      <c r="UJW40" s="822"/>
      <c r="UJX40" s="822"/>
      <c r="UJY40" s="822"/>
      <c r="UJZ40" s="822"/>
      <c r="UKA40" s="822"/>
      <c r="UKB40" s="822"/>
      <c r="UKC40" s="822"/>
      <c r="UKD40" s="822"/>
      <c r="UKE40" s="822"/>
      <c r="UKF40" s="822"/>
      <c r="UKG40" s="822"/>
      <c r="UKH40" s="822"/>
      <c r="UKI40" s="822"/>
      <c r="UKJ40" s="822"/>
      <c r="UKK40" s="822"/>
      <c r="UKL40" s="822"/>
      <c r="UKM40" s="822"/>
      <c r="UKN40" s="822"/>
      <c r="UKO40" s="822"/>
      <c r="UKP40" s="822"/>
      <c r="UKQ40" s="822"/>
      <c r="UKR40" s="822"/>
      <c r="UKS40" s="822"/>
      <c r="UKT40" s="822"/>
      <c r="UKU40" s="822"/>
      <c r="UKV40" s="822"/>
      <c r="UKW40" s="822"/>
      <c r="UKX40" s="822"/>
      <c r="UKY40" s="822"/>
      <c r="UKZ40" s="822"/>
      <c r="ULA40" s="822"/>
      <c r="ULB40" s="822"/>
      <c r="ULC40" s="822"/>
      <c r="ULD40" s="822"/>
      <c r="ULE40" s="822"/>
      <c r="ULF40" s="822"/>
      <c r="ULG40" s="822"/>
      <c r="ULH40" s="822"/>
      <c r="ULI40" s="822"/>
      <c r="ULJ40" s="822"/>
      <c r="ULK40" s="822"/>
      <c r="ULL40" s="822"/>
      <c r="ULM40" s="822"/>
      <c r="ULN40" s="822"/>
      <c r="ULO40" s="822"/>
      <c r="ULP40" s="822"/>
      <c r="ULQ40" s="822"/>
      <c r="ULR40" s="822"/>
      <c r="ULS40" s="822"/>
      <c r="ULT40" s="822"/>
      <c r="ULU40" s="822"/>
      <c r="ULV40" s="822"/>
      <c r="ULW40" s="822"/>
      <c r="ULX40" s="822"/>
      <c r="ULY40" s="822"/>
      <c r="ULZ40" s="822"/>
      <c r="UMA40" s="822"/>
      <c r="UMB40" s="822"/>
      <c r="UMC40" s="822"/>
      <c r="UMD40" s="822"/>
      <c r="UME40" s="822"/>
      <c r="UMF40" s="822"/>
      <c r="UMG40" s="822"/>
      <c r="UMH40" s="822"/>
      <c r="UMI40" s="822"/>
      <c r="UMJ40" s="822"/>
      <c r="UMK40" s="822"/>
      <c r="UML40" s="822"/>
      <c r="UMM40" s="822"/>
      <c r="UMN40" s="822"/>
      <c r="UMO40" s="822"/>
      <c r="UMP40" s="822"/>
      <c r="UMQ40" s="822"/>
      <c r="UMR40" s="822"/>
      <c r="UMS40" s="822"/>
      <c r="UMT40" s="822"/>
      <c r="UMU40" s="822"/>
      <c r="UMV40" s="822"/>
      <c r="UMW40" s="822"/>
      <c r="UMX40" s="822"/>
      <c r="UMY40" s="822"/>
      <c r="UMZ40" s="822"/>
      <c r="UNA40" s="822"/>
      <c r="UNB40" s="822"/>
      <c r="UNC40" s="822"/>
      <c r="UND40" s="822"/>
      <c r="UNE40" s="822"/>
      <c r="UNF40" s="822"/>
      <c r="UNG40" s="822"/>
      <c r="UNH40" s="822"/>
      <c r="UNI40" s="822"/>
      <c r="UNJ40" s="822"/>
      <c r="UNK40" s="822"/>
      <c r="UNL40" s="822"/>
      <c r="UNM40" s="822"/>
      <c r="UNN40" s="822"/>
      <c r="UNO40" s="822"/>
      <c r="UNP40" s="822"/>
      <c r="UNQ40" s="822"/>
      <c r="UNR40" s="822"/>
      <c r="UNS40" s="822"/>
      <c r="UNT40" s="822"/>
      <c r="UNU40" s="822"/>
      <c r="UNV40" s="822"/>
      <c r="UNW40" s="822"/>
      <c r="UNX40" s="822"/>
      <c r="UNY40" s="822"/>
      <c r="UNZ40" s="822"/>
      <c r="UOA40" s="822"/>
      <c r="UOB40" s="822"/>
      <c r="UOC40" s="822"/>
      <c r="UOD40" s="822"/>
      <c r="UOE40" s="822"/>
      <c r="UOF40" s="822"/>
      <c r="UOG40" s="822"/>
      <c r="UOH40" s="822"/>
      <c r="UOI40" s="822"/>
      <c r="UOJ40" s="822"/>
      <c r="UOK40" s="822"/>
      <c r="UOL40" s="822"/>
      <c r="UOM40" s="822"/>
      <c r="UON40" s="822"/>
      <c r="UOO40" s="822"/>
      <c r="UOP40" s="822"/>
      <c r="UOQ40" s="822"/>
      <c r="UOR40" s="822"/>
      <c r="UOS40" s="822"/>
      <c r="UOT40" s="822"/>
      <c r="UOU40" s="822"/>
      <c r="UOV40" s="822"/>
      <c r="UOW40" s="822"/>
      <c r="UOX40" s="822"/>
      <c r="UOY40" s="822"/>
      <c r="UOZ40" s="822"/>
      <c r="UPA40" s="822"/>
      <c r="UPB40" s="822"/>
      <c r="UPC40" s="822"/>
      <c r="UPD40" s="822"/>
      <c r="UPE40" s="822"/>
      <c r="UPF40" s="822"/>
      <c r="UPG40" s="822"/>
      <c r="UPH40" s="822"/>
      <c r="UPI40" s="822"/>
      <c r="UPJ40" s="822"/>
      <c r="UPK40" s="822"/>
      <c r="UPL40" s="822"/>
      <c r="UPM40" s="822"/>
      <c r="UPN40" s="822"/>
      <c r="UPO40" s="822"/>
      <c r="UPP40" s="822"/>
      <c r="UPQ40" s="822"/>
      <c r="UPR40" s="822"/>
      <c r="UPS40" s="822"/>
      <c r="UPT40" s="822"/>
      <c r="UPU40" s="822"/>
      <c r="UPV40" s="822"/>
      <c r="UPW40" s="822"/>
      <c r="UPX40" s="822"/>
      <c r="UPY40" s="822"/>
      <c r="UPZ40" s="822"/>
      <c r="UQA40" s="822"/>
      <c r="UQB40" s="822"/>
      <c r="UQC40" s="822"/>
      <c r="UQD40" s="822"/>
      <c r="UQE40" s="822"/>
      <c r="UQF40" s="822"/>
      <c r="UQG40" s="822"/>
      <c r="UQH40" s="822"/>
      <c r="UQI40" s="822"/>
      <c r="UQJ40" s="822"/>
      <c r="UQK40" s="822"/>
      <c r="UQL40" s="822"/>
      <c r="UQM40" s="822"/>
      <c r="UQN40" s="822"/>
      <c r="UQO40" s="822"/>
      <c r="UQP40" s="822"/>
      <c r="UQQ40" s="822"/>
      <c r="UQR40" s="822"/>
      <c r="UQS40" s="822"/>
      <c r="UQT40" s="822"/>
      <c r="UQU40" s="822"/>
      <c r="UQV40" s="822"/>
      <c r="UQW40" s="822"/>
      <c r="UQX40" s="822"/>
      <c r="UQY40" s="822"/>
      <c r="UQZ40" s="822"/>
      <c r="URA40" s="822"/>
      <c r="URB40" s="822"/>
      <c r="URC40" s="822"/>
      <c r="URD40" s="822"/>
      <c r="URE40" s="822"/>
      <c r="URF40" s="822"/>
      <c r="URG40" s="822"/>
      <c r="URH40" s="822"/>
      <c r="URI40" s="822"/>
      <c r="URJ40" s="822"/>
      <c r="URK40" s="822"/>
      <c r="URL40" s="822"/>
      <c r="URM40" s="822"/>
      <c r="URN40" s="822"/>
      <c r="URO40" s="822"/>
      <c r="URP40" s="822"/>
      <c r="URQ40" s="822"/>
      <c r="URR40" s="822"/>
      <c r="URS40" s="822"/>
      <c r="URT40" s="822"/>
      <c r="URU40" s="822"/>
      <c r="URV40" s="822"/>
      <c r="URW40" s="822"/>
      <c r="URX40" s="822"/>
      <c r="URY40" s="822"/>
      <c r="URZ40" s="822"/>
      <c r="USA40" s="822"/>
      <c r="USB40" s="822"/>
      <c r="USC40" s="822"/>
      <c r="USD40" s="822"/>
      <c r="USE40" s="822"/>
      <c r="USF40" s="822"/>
      <c r="USG40" s="822"/>
      <c r="USH40" s="822"/>
      <c r="USI40" s="822"/>
      <c r="USJ40" s="822"/>
      <c r="USK40" s="822"/>
      <c r="USL40" s="822"/>
      <c r="USM40" s="822"/>
      <c r="USN40" s="822"/>
      <c r="USO40" s="822"/>
      <c r="USP40" s="822"/>
      <c r="USQ40" s="822"/>
      <c r="USR40" s="822"/>
      <c r="USS40" s="822"/>
      <c r="UST40" s="822"/>
      <c r="USU40" s="822"/>
      <c r="USV40" s="822"/>
      <c r="USW40" s="822"/>
      <c r="USX40" s="822"/>
      <c r="USY40" s="822"/>
      <c r="USZ40" s="822"/>
      <c r="UTA40" s="822"/>
      <c r="UTB40" s="822"/>
      <c r="UTC40" s="822"/>
      <c r="UTD40" s="822"/>
      <c r="UTE40" s="822"/>
      <c r="UTF40" s="822"/>
      <c r="UTG40" s="822"/>
      <c r="UTH40" s="822"/>
      <c r="UTI40" s="822"/>
      <c r="UTJ40" s="822"/>
      <c r="UTK40" s="822"/>
      <c r="UTL40" s="822"/>
      <c r="UTM40" s="822"/>
      <c r="UTN40" s="822"/>
      <c r="UTO40" s="822"/>
      <c r="UTP40" s="822"/>
      <c r="UTQ40" s="822"/>
      <c r="UTR40" s="822"/>
      <c r="UTS40" s="822"/>
      <c r="UTT40" s="822"/>
      <c r="UTU40" s="822"/>
      <c r="UTV40" s="822"/>
      <c r="UTW40" s="822"/>
      <c r="UTX40" s="822"/>
      <c r="UTY40" s="822"/>
      <c r="UTZ40" s="822"/>
      <c r="UUA40" s="822"/>
      <c r="UUB40" s="822"/>
      <c r="UUC40" s="822"/>
      <c r="UUD40" s="822"/>
      <c r="UUE40" s="822"/>
      <c r="UUF40" s="822"/>
      <c r="UUG40" s="822"/>
      <c r="UUH40" s="822"/>
      <c r="UUI40" s="822"/>
      <c r="UUJ40" s="822"/>
      <c r="UUK40" s="822"/>
      <c r="UUL40" s="822"/>
      <c r="UUM40" s="822"/>
      <c r="UUN40" s="822"/>
      <c r="UUO40" s="822"/>
      <c r="UUP40" s="822"/>
      <c r="UUQ40" s="822"/>
      <c r="UUR40" s="822"/>
      <c r="UUS40" s="822"/>
      <c r="UUT40" s="822"/>
      <c r="UUU40" s="822"/>
      <c r="UUV40" s="822"/>
      <c r="UUW40" s="822"/>
      <c r="UUX40" s="822"/>
      <c r="UUY40" s="822"/>
      <c r="UUZ40" s="822"/>
      <c r="UVA40" s="822"/>
      <c r="UVB40" s="822"/>
      <c r="UVC40" s="822"/>
      <c r="UVD40" s="822"/>
      <c r="UVE40" s="822"/>
      <c r="UVF40" s="822"/>
      <c r="UVG40" s="822"/>
      <c r="UVH40" s="822"/>
      <c r="UVI40" s="822"/>
      <c r="UVJ40" s="822"/>
      <c r="UVK40" s="822"/>
      <c r="UVL40" s="822"/>
      <c r="UVM40" s="822"/>
      <c r="UVN40" s="822"/>
      <c r="UVO40" s="822"/>
      <c r="UVP40" s="822"/>
      <c r="UVQ40" s="822"/>
      <c r="UVR40" s="822"/>
      <c r="UVS40" s="822"/>
      <c r="UVT40" s="822"/>
      <c r="UVU40" s="822"/>
      <c r="UVV40" s="822"/>
      <c r="UVW40" s="822"/>
      <c r="UVX40" s="822"/>
      <c r="UVY40" s="822"/>
      <c r="UVZ40" s="822"/>
      <c r="UWA40" s="822"/>
      <c r="UWB40" s="822"/>
      <c r="UWC40" s="822"/>
      <c r="UWD40" s="822"/>
      <c r="UWE40" s="822"/>
      <c r="UWF40" s="822"/>
      <c r="UWG40" s="822"/>
      <c r="UWH40" s="822"/>
      <c r="UWI40" s="822"/>
      <c r="UWJ40" s="822"/>
      <c r="UWK40" s="822"/>
      <c r="UWL40" s="822"/>
      <c r="UWM40" s="822"/>
      <c r="UWN40" s="822"/>
      <c r="UWO40" s="822"/>
      <c r="UWP40" s="822"/>
      <c r="UWQ40" s="822"/>
      <c r="UWR40" s="822"/>
      <c r="UWS40" s="822"/>
      <c r="UWT40" s="822"/>
      <c r="UWU40" s="822"/>
      <c r="UWV40" s="822"/>
      <c r="UWW40" s="822"/>
      <c r="UWX40" s="822"/>
      <c r="UWY40" s="822"/>
      <c r="UWZ40" s="822"/>
      <c r="UXA40" s="822"/>
      <c r="UXB40" s="822"/>
      <c r="UXC40" s="822"/>
      <c r="UXD40" s="822"/>
      <c r="UXE40" s="822"/>
      <c r="UXF40" s="822"/>
      <c r="UXG40" s="822"/>
      <c r="UXH40" s="822"/>
      <c r="UXI40" s="822"/>
      <c r="UXJ40" s="822"/>
      <c r="UXK40" s="822"/>
      <c r="UXL40" s="822"/>
      <c r="UXM40" s="822"/>
      <c r="UXN40" s="822"/>
      <c r="UXO40" s="822"/>
      <c r="UXP40" s="822"/>
      <c r="UXQ40" s="822"/>
      <c r="UXR40" s="822"/>
      <c r="UXS40" s="822"/>
      <c r="UXT40" s="822"/>
      <c r="UXU40" s="822"/>
      <c r="UXV40" s="822"/>
      <c r="UXW40" s="822"/>
      <c r="UXX40" s="822"/>
      <c r="UXY40" s="822"/>
      <c r="UXZ40" s="822"/>
      <c r="UYA40" s="822"/>
      <c r="UYB40" s="822"/>
      <c r="UYC40" s="822"/>
      <c r="UYD40" s="822"/>
      <c r="UYE40" s="822"/>
      <c r="UYF40" s="822"/>
      <c r="UYG40" s="822"/>
      <c r="UYH40" s="822"/>
      <c r="UYI40" s="822"/>
      <c r="UYJ40" s="822"/>
      <c r="UYK40" s="822"/>
      <c r="UYL40" s="822"/>
      <c r="UYM40" s="822"/>
      <c r="UYN40" s="822"/>
      <c r="UYO40" s="822"/>
      <c r="UYP40" s="822"/>
      <c r="UYQ40" s="822"/>
      <c r="UYR40" s="822"/>
      <c r="UYS40" s="822"/>
      <c r="UYT40" s="822"/>
      <c r="UYU40" s="822"/>
      <c r="UYV40" s="822"/>
      <c r="UYW40" s="822"/>
      <c r="UYX40" s="822"/>
      <c r="UYY40" s="822"/>
      <c r="UYZ40" s="822"/>
      <c r="UZA40" s="822"/>
      <c r="UZB40" s="822"/>
      <c r="UZC40" s="822"/>
      <c r="UZD40" s="822"/>
      <c r="UZE40" s="822"/>
      <c r="UZF40" s="822"/>
      <c r="UZG40" s="822"/>
      <c r="UZH40" s="822"/>
      <c r="UZI40" s="822"/>
      <c r="UZJ40" s="822"/>
      <c r="UZK40" s="822"/>
      <c r="UZL40" s="822"/>
      <c r="UZM40" s="822"/>
      <c r="UZN40" s="822"/>
      <c r="UZO40" s="822"/>
      <c r="UZP40" s="822"/>
      <c r="UZQ40" s="822"/>
      <c r="UZR40" s="822"/>
      <c r="UZS40" s="822"/>
      <c r="UZT40" s="822"/>
      <c r="UZU40" s="822"/>
      <c r="UZV40" s="822"/>
      <c r="UZW40" s="822"/>
      <c r="UZX40" s="822"/>
      <c r="UZY40" s="822"/>
      <c r="UZZ40" s="822"/>
      <c r="VAA40" s="822"/>
      <c r="VAB40" s="822"/>
      <c r="VAC40" s="822"/>
      <c r="VAD40" s="822"/>
      <c r="VAE40" s="822"/>
      <c r="VAF40" s="822"/>
      <c r="VAG40" s="822"/>
      <c r="VAH40" s="822"/>
      <c r="VAI40" s="822"/>
      <c r="VAJ40" s="822"/>
      <c r="VAK40" s="822"/>
      <c r="VAL40" s="822"/>
      <c r="VAM40" s="822"/>
      <c r="VAN40" s="822"/>
      <c r="VAO40" s="822"/>
      <c r="VAP40" s="822"/>
      <c r="VAQ40" s="822"/>
      <c r="VAR40" s="822"/>
      <c r="VAS40" s="822"/>
      <c r="VAT40" s="822"/>
      <c r="VAU40" s="822"/>
      <c r="VAV40" s="822"/>
      <c r="VAW40" s="822"/>
      <c r="VAX40" s="822"/>
      <c r="VAY40" s="822"/>
      <c r="VAZ40" s="822"/>
      <c r="VBA40" s="822"/>
      <c r="VBB40" s="822"/>
      <c r="VBC40" s="822"/>
      <c r="VBD40" s="822"/>
      <c r="VBE40" s="822"/>
      <c r="VBF40" s="822"/>
      <c r="VBG40" s="822"/>
      <c r="VBH40" s="822"/>
      <c r="VBI40" s="822"/>
      <c r="VBJ40" s="822"/>
      <c r="VBK40" s="822"/>
      <c r="VBL40" s="822"/>
      <c r="VBM40" s="822"/>
      <c r="VBN40" s="822"/>
      <c r="VBO40" s="822"/>
      <c r="VBP40" s="822"/>
      <c r="VBQ40" s="822"/>
      <c r="VBR40" s="822"/>
      <c r="VBS40" s="822"/>
      <c r="VBT40" s="822"/>
      <c r="VBU40" s="822"/>
      <c r="VBV40" s="822"/>
      <c r="VBW40" s="822"/>
      <c r="VBX40" s="822"/>
      <c r="VBY40" s="822"/>
      <c r="VBZ40" s="822"/>
      <c r="VCA40" s="822"/>
      <c r="VCB40" s="822"/>
      <c r="VCC40" s="822"/>
      <c r="VCD40" s="822"/>
      <c r="VCE40" s="822"/>
      <c r="VCF40" s="822"/>
      <c r="VCG40" s="822"/>
      <c r="VCH40" s="822"/>
      <c r="VCI40" s="822"/>
      <c r="VCJ40" s="822"/>
      <c r="VCK40" s="822"/>
      <c r="VCL40" s="822"/>
      <c r="VCM40" s="822"/>
      <c r="VCN40" s="822"/>
      <c r="VCO40" s="822"/>
      <c r="VCP40" s="822"/>
      <c r="VCQ40" s="822"/>
      <c r="VCR40" s="822"/>
      <c r="VCS40" s="822"/>
      <c r="VCT40" s="822"/>
      <c r="VCU40" s="822"/>
      <c r="VCV40" s="822"/>
      <c r="VCW40" s="822"/>
      <c r="VCX40" s="822"/>
      <c r="VCY40" s="822"/>
      <c r="VCZ40" s="822"/>
      <c r="VDA40" s="822"/>
      <c r="VDB40" s="822"/>
      <c r="VDC40" s="822"/>
      <c r="VDD40" s="822"/>
      <c r="VDE40" s="822"/>
      <c r="VDF40" s="822"/>
      <c r="VDG40" s="822"/>
      <c r="VDH40" s="822"/>
      <c r="VDI40" s="822"/>
      <c r="VDJ40" s="822"/>
      <c r="VDK40" s="822"/>
      <c r="VDL40" s="822"/>
      <c r="VDM40" s="822"/>
      <c r="VDN40" s="822"/>
      <c r="VDO40" s="822"/>
      <c r="VDP40" s="822"/>
      <c r="VDQ40" s="822"/>
      <c r="VDR40" s="822"/>
      <c r="VDS40" s="822"/>
      <c r="VDT40" s="822"/>
      <c r="VDU40" s="822"/>
      <c r="VDV40" s="822"/>
      <c r="VDW40" s="822"/>
      <c r="VDX40" s="822"/>
      <c r="VDY40" s="822"/>
      <c r="VDZ40" s="822"/>
      <c r="VEA40" s="822"/>
      <c r="VEB40" s="822"/>
      <c r="VEC40" s="822"/>
      <c r="VED40" s="822"/>
      <c r="VEE40" s="822"/>
      <c r="VEF40" s="822"/>
      <c r="VEG40" s="822"/>
      <c r="VEH40" s="822"/>
      <c r="VEI40" s="822"/>
      <c r="VEJ40" s="822"/>
      <c r="VEK40" s="822"/>
      <c r="VEL40" s="822"/>
      <c r="VEM40" s="822"/>
      <c r="VEN40" s="822"/>
      <c r="VEO40" s="822"/>
      <c r="VEP40" s="822"/>
      <c r="VEQ40" s="822"/>
      <c r="VER40" s="822"/>
      <c r="VES40" s="822"/>
      <c r="VET40" s="822"/>
      <c r="VEU40" s="822"/>
      <c r="VEV40" s="822"/>
      <c r="VEW40" s="822"/>
      <c r="VEX40" s="822"/>
      <c r="VEY40" s="822"/>
      <c r="VEZ40" s="822"/>
      <c r="VFA40" s="822"/>
      <c r="VFB40" s="822"/>
      <c r="VFC40" s="822"/>
      <c r="VFD40" s="822"/>
      <c r="VFE40" s="822"/>
      <c r="VFF40" s="822"/>
      <c r="VFG40" s="822"/>
      <c r="VFH40" s="822"/>
      <c r="VFI40" s="822"/>
      <c r="VFJ40" s="822"/>
      <c r="VFK40" s="822"/>
      <c r="VFL40" s="822"/>
      <c r="VFM40" s="822"/>
      <c r="VFN40" s="822"/>
      <c r="VFO40" s="822"/>
      <c r="VFP40" s="822"/>
      <c r="VFQ40" s="822"/>
      <c r="VFR40" s="822"/>
      <c r="VFS40" s="822"/>
      <c r="VFT40" s="822"/>
      <c r="VFU40" s="822"/>
      <c r="VFV40" s="822"/>
      <c r="VFW40" s="822"/>
      <c r="VFX40" s="822"/>
      <c r="VFY40" s="822"/>
      <c r="VFZ40" s="822"/>
      <c r="VGA40" s="822"/>
      <c r="VGB40" s="822"/>
      <c r="VGC40" s="822"/>
      <c r="VGD40" s="822"/>
      <c r="VGE40" s="822"/>
      <c r="VGF40" s="822"/>
      <c r="VGG40" s="822"/>
      <c r="VGH40" s="822"/>
      <c r="VGI40" s="822"/>
      <c r="VGJ40" s="822"/>
      <c r="VGK40" s="822"/>
      <c r="VGL40" s="822"/>
      <c r="VGM40" s="822"/>
      <c r="VGN40" s="822"/>
      <c r="VGO40" s="822"/>
      <c r="VGP40" s="822"/>
      <c r="VGQ40" s="822"/>
      <c r="VGR40" s="822"/>
      <c r="VGS40" s="822"/>
      <c r="VGT40" s="822"/>
      <c r="VGU40" s="822"/>
      <c r="VGV40" s="822"/>
      <c r="VGW40" s="822"/>
      <c r="VGX40" s="822"/>
      <c r="VGY40" s="822"/>
      <c r="VGZ40" s="822"/>
      <c r="VHA40" s="822"/>
      <c r="VHB40" s="822"/>
      <c r="VHC40" s="822"/>
      <c r="VHD40" s="822"/>
      <c r="VHE40" s="822"/>
      <c r="VHF40" s="822"/>
      <c r="VHG40" s="822"/>
      <c r="VHH40" s="822"/>
      <c r="VHI40" s="822"/>
      <c r="VHJ40" s="822"/>
      <c r="VHK40" s="822"/>
      <c r="VHL40" s="822"/>
      <c r="VHM40" s="822"/>
      <c r="VHN40" s="822"/>
      <c r="VHO40" s="822"/>
      <c r="VHP40" s="822"/>
      <c r="VHQ40" s="822"/>
      <c r="VHR40" s="822"/>
      <c r="VHS40" s="822"/>
      <c r="VHT40" s="822"/>
      <c r="VHU40" s="822"/>
      <c r="VHV40" s="822"/>
      <c r="VHW40" s="822"/>
      <c r="VHX40" s="822"/>
      <c r="VHY40" s="822"/>
      <c r="VHZ40" s="822"/>
      <c r="VIA40" s="822"/>
      <c r="VIB40" s="822"/>
      <c r="VIC40" s="822"/>
      <c r="VID40" s="822"/>
      <c r="VIE40" s="822"/>
      <c r="VIF40" s="822"/>
      <c r="VIG40" s="822"/>
      <c r="VIH40" s="822"/>
      <c r="VII40" s="822"/>
      <c r="VIJ40" s="822"/>
      <c r="VIK40" s="822"/>
      <c r="VIL40" s="822"/>
      <c r="VIM40" s="822"/>
      <c r="VIN40" s="822"/>
      <c r="VIO40" s="822"/>
      <c r="VIP40" s="822"/>
      <c r="VIQ40" s="822"/>
      <c r="VIR40" s="822"/>
      <c r="VIS40" s="822"/>
      <c r="VIT40" s="822"/>
      <c r="VIU40" s="822"/>
      <c r="VIV40" s="822"/>
      <c r="VIW40" s="822"/>
      <c r="VIX40" s="822"/>
      <c r="VIY40" s="822"/>
      <c r="VIZ40" s="822"/>
      <c r="VJA40" s="822"/>
      <c r="VJB40" s="822"/>
      <c r="VJC40" s="822"/>
      <c r="VJD40" s="822"/>
      <c r="VJE40" s="822"/>
      <c r="VJF40" s="822"/>
      <c r="VJG40" s="822"/>
      <c r="VJH40" s="822"/>
      <c r="VJI40" s="822"/>
      <c r="VJJ40" s="822"/>
      <c r="VJK40" s="822"/>
      <c r="VJL40" s="822"/>
      <c r="VJM40" s="822"/>
      <c r="VJN40" s="822"/>
      <c r="VJO40" s="822"/>
      <c r="VJP40" s="822"/>
      <c r="VJQ40" s="822"/>
      <c r="VJR40" s="822"/>
      <c r="VJS40" s="822"/>
      <c r="VJT40" s="822"/>
      <c r="VJU40" s="822"/>
      <c r="VJV40" s="822"/>
      <c r="VJW40" s="822"/>
      <c r="VJX40" s="822"/>
      <c r="VJY40" s="822"/>
      <c r="VJZ40" s="822"/>
      <c r="VKA40" s="822"/>
      <c r="VKB40" s="822"/>
      <c r="VKC40" s="822"/>
      <c r="VKD40" s="822"/>
      <c r="VKE40" s="822"/>
      <c r="VKF40" s="822"/>
      <c r="VKG40" s="822"/>
      <c r="VKH40" s="822"/>
      <c r="VKI40" s="822"/>
      <c r="VKJ40" s="822"/>
      <c r="VKK40" s="822"/>
      <c r="VKL40" s="822"/>
      <c r="VKM40" s="822"/>
      <c r="VKN40" s="822"/>
      <c r="VKO40" s="822"/>
      <c r="VKP40" s="822"/>
      <c r="VKQ40" s="822"/>
      <c r="VKR40" s="822"/>
      <c r="VKS40" s="822"/>
      <c r="VKT40" s="822"/>
      <c r="VKU40" s="822"/>
      <c r="VKV40" s="822"/>
      <c r="VKW40" s="822"/>
      <c r="VKX40" s="822"/>
      <c r="VKY40" s="822"/>
      <c r="VKZ40" s="822"/>
      <c r="VLA40" s="822"/>
      <c r="VLB40" s="822"/>
      <c r="VLC40" s="822"/>
      <c r="VLD40" s="822"/>
      <c r="VLE40" s="822"/>
      <c r="VLF40" s="822"/>
      <c r="VLG40" s="822"/>
      <c r="VLH40" s="822"/>
      <c r="VLI40" s="822"/>
      <c r="VLJ40" s="822"/>
      <c r="VLK40" s="822"/>
      <c r="VLL40" s="822"/>
      <c r="VLM40" s="822"/>
      <c r="VLN40" s="822"/>
      <c r="VLO40" s="822"/>
      <c r="VLP40" s="822"/>
      <c r="VLQ40" s="822"/>
      <c r="VLR40" s="822"/>
      <c r="VLS40" s="822"/>
      <c r="VLT40" s="822"/>
      <c r="VLU40" s="822"/>
      <c r="VLV40" s="822"/>
      <c r="VLW40" s="822"/>
      <c r="VLX40" s="822"/>
      <c r="VLY40" s="822"/>
      <c r="VLZ40" s="822"/>
      <c r="VMA40" s="822"/>
      <c r="VMB40" s="822"/>
      <c r="VMC40" s="822"/>
      <c r="VMD40" s="822"/>
      <c r="VME40" s="822"/>
      <c r="VMF40" s="822"/>
      <c r="VMG40" s="822"/>
      <c r="VMH40" s="822"/>
      <c r="VMI40" s="822"/>
      <c r="VMJ40" s="822"/>
      <c r="VMK40" s="822"/>
      <c r="VML40" s="822"/>
      <c r="VMM40" s="822"/>
      <c r="VMN40" s="822"/>
      <c r="VMO40" s="822"/>
      <c r="VMP40" s="822"/>
      <c r="VMQ40" s="822"/>
      <c r="VMR40" s="822"/>
      <c r="VMS40" s="822"/>
      <c r="VMT40" s="822"/>
      <c r="VMU40" s="822"/>
      <c r="VMV40" s="822"/>
      <c r="VMW40" s="822"/>
      <c r="VMX40" s="822"/>
      <c r="VMY40" s="822"/>
      <c r="VMZ40" s="822"/>
      <c r="VNA40" s="822"/>
      <c r="VNB40" s="822"/>
      <c r="VNC40" s="822"/>
      <c r="VND40" s="822"/>
      <c r="VNE40" s="822"/>
      <c r="VNF40" s="822"/>
      <c r="VNG40" s="822"/>
      <c r="VNH40" s="822"/>
      <c r="VNI40" s="822"/>
      <c r="VNJ40" s="822"/>
      <c r="VNK40" s="822"/>
      <c r="VNL40" s="822"/>
      <c r="VNM40" s="822"/>
      <c r="VNN40" s="822"/>
      <c r="VNO40" s="822"/>
      <c r="VNP40" s="822"/>
      <c r="VNQ40" s="822"/>
      <c r="VNR40" s="822"/>
      <c r="VNS40" s="822"/>
      <c r="VNT40" s="822"/>
      <c r="VNU40" s="822"/>
      <c r="VNV40" s="822"/>
      <c r="VNW40" s="822"/>
      <c r="VNX40" s="822"/>
      <c r="VNY40" s="822"/>
      <c r="VNZ40" s="822"/>
      <c r="VOA40" s="822"/>
      <c r="VOB40" s="822"/>
      <c r="VOC40" s="822"/>
      <c r="VOD40" s="822"/>
      <c r="VOE40" s="822"/>
      <c r="VOF40" s="822"/>
      <c r="VOG40" s="822"/>
      <c r="VOH40" s="822"/>
      <c r="VOI40" s="822"/>
      <c r="VOJ40" s="822"/>
      <c r="VOK40" s="822"/>
      <c r="VOL40" s="822"/>
      <c r="VOM40" s="822"/>
      <c r="VON40" s="822"/>
      <c r="VOO40" s="822"/>
      <c r="VOP40" s="822"/>
      <c r="VOQ40" s="822"/>
      <c r="VOR40" s="822"/>
      <c r="VOS40" s="822"/>
      <c r="VOT40" s="822"/>
      <c r="VOU40" s="822"/>
      <c r="VOV40" s="822"/>
      <c r="VOW40" s="822"/>
      <c r="VOX40" s="822"/>
      <c r="VOY40" s="822"/>
      <c r="VOZ40" s="822"/>
      <c r="VPA40" s="822"/>
      <c r="VPB40" s="822"/>
      <c r="VPC40" s="822"/>
      <c r="VPD40" s="822"/>
      <c r="VPE40" s="822"/>
      <c r="VPF40" s="822"/>
      <c r="VPG40" s="822"/>
      <c r="VPH40" s="822"/>
      <c r="VPI40" s="822"/>
      <c r="VPJ40" s="822"/>
      <c r="VPK40" s="822"/>
      <c r="VPL40" s="822"/>
      <c r="VPM40" s="822"/>
      <c r="VPN40" s="822"/>
      <c r="VPO40" s="822"/>
      <c r="VPP40" s="822"/>
      <c r="VPQ40" s="822"/>
      <c r="VPR40" s="822"/>
      <c r="VPS40" s="822"/>
      <c r="VPT40" s="822"/>
      <c r="VPU40" s="822"/>
      <c r="VPV40" s="822"/>
      <c r="VPW40" s="822"/>
      <c r="VPX40" s="822"/>
      <c r="VPY40" s="822"/>
      <c r="VPZ40" s="822"/>
      <c r="VQA40" s="822"/>
      <c r="VQB40" s="822"/>
      <c r="VQC40" s="822"/>
      <c r="VQD40" s="822"/>
      <c r="VQE40" s="822"/>
      <c r="VQF40" s="822"/>
      <c r="VQG40" s="822"/>
      <c r="VQH40" s="822"/>
      <c r="VQI40" s="822"/>
      <c r="VQJ40" s="822"/>
      <c r="VQK40" s="822"/>
      <c r="VQL40" s="822"/>
      <c r="VQM40" s="822"/>
      <c r="VQN40" s="822"/>
      <c r="VQO40" s="822"/>
      <c r="VQP40" s="822"/>
      <c r="VQQ40" s="822"/>
      <c r="VQR40" s="822"/>
      <c r="VQS40" s="822"/>
      <c r="VQT40" s="822"/>
      <c r="VQU40" s="822"/>
      <c r="VQV40" s="822"/>
      <c r="VQW40" s="822"/>
      <c r="VQX40" s="822"/>
      <c r="VQY40" s="822"/>
      <c r="VQZ40" s="822"/>
      <c r="VRA40" s="822"/>
      <c r="VRB40" s="822"/>
      <c r="VRC40" s="822"/>
      <c r="VRD40" s="822"/>
      <c r="VRE40" s="822"/>
      <c r="VRF40" s="822"/>
      <c r="VRG40" s="822"/>
      <c r="VRH40" s="822"/>
      <c r="VRI40" s="822"/>
      <c r="VRJ40" s="822"/>
      <c r="VRK40" s="822"/>
      <c r="VRL40" s="822"/>
      <c r="VRM40" s="822"/>
      <c r="VRN40" s="822"/>
      <c r="VRO40" s="822"/>
      <c r="VRP40" s="822"/>
      <c r="VRQ40" s="822"/>
      <c r="VRR40" s="822"/>
      <c r="VRS40" s="822"/>
      <c r="VRT40" s="822"/>
      <c r="VRU40" s="822"/>
      <c r="VRV40" s="822"/>
      <c r="VRW40" s="822"/>
      <c r="VRX40" s="822"/>
      <c r="VRY40" s="822"/>
      <c r="VRZ40" s="822"/>
      <c r="VSA40" s="822"/>
      <c r="VSB40" s="822"/>
      <c r="VSC40" s="822"/>
      <c r="VSD40" s="822"/>
      <c r="VSE40" s="822"/>
      <c r="VSF40" s="822"/>
      <c r="VSG40" s="822"/>
      <c r="VSH40" s="822"/>
      <c r="VSI40" s="822"/>
      <c r="VSJ40" s="822"/>
      <c r="VSK40" s="822"/>
      <c r="VSL40" s="822"/>
      <c r="VSM40" s="822"/>
      <c r="VSN40" s="822"/>
      <c r="VSO40" s="822"/>
      <c r="VSP40" s="822"/>
      <c r="VSQ40" s="822"/>
      <c r="VSR40" s="822"/>
      <c r="VSS40" s="822"/>
      <c r="VST40" s="822"/>
      <c r="VSU40" s="822"/>
      <c r="VSV40" s="822"/>
      <c r="VSW40" s="822"/>
      <c r="VSX40" s="822"/>
      <c r="VSY40" s="822"/>
      <c r="VSZ40" s="822"/>
      <c r="VTA40" s="822"/>
      <c r="VTB40" s="822"/>
      <c r="VTC40" s="822"/>
      <c r="VTD40" s="822"/>
      <c r="VTE40" s="822"/>
      <c r="VTF40" s="822"/>
      <c r="VTG40" s="822"/>
      <c r="VTH40" s="822"/>
      <c r="VTI40" s="822"/>
      <c r="VTJ40" s="822"/>
      <c r="VTK40" s="822"/>
      <c r="VTL40" s="822"/>
      <c r="VTM40" s="822"/>
      <c r="VTN40" s="822"/>
      <c r="VTO40" s="822"/>
      <c r="VTP40" s="822"/>
      <c r="VTQ40" s="822"/>
      <c r="VTR40" s="822"/>
      <c r="VTS40" s="822"/>
      <c r="VTT40" s="822"/>
      <c r="VTU40" s="822"/>
      <c r="VTV40" s="822"/>
      <c r="VTW40" s="822"/>
      <c r="VTX40" s="822"/>
      <c r="VTY40" s="822"/>
      <c r="VTZ40" s="822"/>
      <c r="VUA40" s="822"/>
      <c r="VUB40" s="822"/>
      <c r="VUC40" s="822"/>
      <c r="VUD40" s="822"/>
      <c r="VUE40" s="822"/>
      <c r="VUF40" s="822"/>
      <c r="VUG40" s="822"/>
      <c r="VUH40" s="822"/>
      <c r="VUI40" s="822"/>
      <c r="VUJ40" s="822"/>
      <c r="VUK40" s="822"/>
      <c r="VUL40" s="822"/>
      <c r="VUM40" s="822"/>
      <c r="VUN40" s="822"/>
      <c r="VUO40" s="822"/>
      <c r="VUP40" s="822"/>
      <c r="VUQ40" s="822"/>
      <c r="VUR40" s="822"/>
      <c r="VUS40" s="822"/>
      <c r="VUT40" s="822"/>
      <c r="VUU40" s="822"/>
      <c r="VUV40" s="822"/>
      <c r="VUW40" s="822"/>
      <c r="VUX40" s="822"/>
      <c r="VUY40" s="822"/>
      <c r="VUZ40" s="822"/>
      <c r="VVA40" s="822"/>
      <c r="VVB40" s="822"/>
      <c r="VVC40" s="822"/>
      <c r="VVD40" s="822"/>
      <c r="VVE40" s="822"/>
      <c r="VVF40" s="822"/>
      <c r="VVG40" s="822"/>
      <c r="VVH40" s="822"/>
      <c r="VVI40" s="822"/>
      <c r="VVJ40" s="822"/>
      <c r="VVK40" s="822"/>
      <c r="VVL40" s="822"/>
      <c r="VVM40" s="822"/>
      <c r="VVN40" s="822"/>
      <c r="VVO40" s="822"/>
      <c r="VVP40" s="822"/>
      <c r="VVQ40" s="822"/>
      <c r="VVR40" s="822"/>
      <c r="VVS40" s="822"/>
      <c r="VVT40" s="822"/>
      <c r="VVU40" s="822"/>
      <c r="VVV40" s="822"/>
      <c r="VVW40" s="822"/>
      <c r="VVX40" s="822"/>
      <c r="VVY40" s="822"/>
      <c r="VVZ40" s="822"/>
      <c r="VWA40" s="822"/>
      <c r="VWB40" s="822"/>
      <c r="VWC40" s="822"/>
      <c r="VWD40" s="822"/>
      <c r="VWE40" s="822"/>
      <c r="VWF40" s="822"/>
      <c r="VWG40" s="822"/>
      <c r="VWH40" s="822"/>
      <c r="VWI40" s="822"/>
      <c r="VWJ40" s="822"/>
      <c r="VWK40" s="822"/>
      <c r="VWL40" s="822"/>
      <c r="VWM40" s="822"/>
      <c r="VWN40" s="822"/>
      <c r="VWO40" s="822"/>
      <c r="VWP40" s="822"/>
      <c r="VWQ40" s="822"/>
      <c r="VWR40" s="822"/>
      <c r="VWS40" s="822"/>
      <c r="VWT40" s="822"/>
      <c r="VWU40" s="822"/>
      <c r="VWV40" s="822"/>
      <c r="VWW40" s="822"/>
      <c r="VWX40" s="822"/>
      <c r="VWY40" s="822"/>
      <c r="VWZ40" s="822"/>
      <c r="VXA40" s="822"/>
      <c r="VXB40" s="822"/>
      <c r="VXC40" s="822"/>
      <c r="VXD40" s="822"/>
      <c r="VXE40" s="822"/>
      <c r="VXF40" s="822"/>
      <c r="VXG40" s="822"/>
      <c r="VXH40" s="822"/>
      <c r="VXI40" s="822"/>
      <c r="VXJ40" s="822"/>
      <c r="VXK40" s="822"/>
      <c r="VXL40" s="822"/>
      <c r="VXM40" s="822"/>
      <c r="VXN40" s="822"/>
      <c r="VXO40" s="822"/>
      <c r="VXP40" s="822"/>
      <c r="VXQ40" s="822"/>
      <c r="VXR40" s="822"/>
      <c r="VXS40" s="822"/>
      <c r="VXT40" s="822"/>
      <c r="VXU40" s="822"/>
      <c r="VXV40" s="822"/>
      <c r="VXW40" s="822"/>
      <c r="VXX40" s="822"/>
      <c r="VXY40" s="822"/>
      <c r="VXZ40" s="822"/>
      <c r="VYA40" s="822"/>
      <c r="VYB40" s="822"/>
      <c r="VYC40" s="822"/>
      <c r="VYD40" s="822"/>
      <c r="VYE40" s="822"/>
      <c r="VYF40" s="822"/>
      <c r="VYG40" s="822"/>
      <c r="VYH40" s="822"/>
      <c r="VYI40" s="822"/>
      <c r="VYJ40" s="822"/>
      <c r="VYK40" s="822"/>
      <c r="VYL40" s="822"/>
      <c r="VYM40" s="822"/>
      <c r="VYN40" s="822"/>
      <c r="VYO40" s="822"/>
      <c r="VYP40" s="822"/>
      <c r="VYQ40" s="822"/>
      <c r="VYR40" s="822"/>
      <c r="VYS40" s="822"/>
      <c r="VYT40" s="822"/>
      <c r="VYU40" s="822"/>
      <c r="VYV40" s="822"/>
      <c r="VYW40" s="822"/>
      <c r="VYX40" s="822"/>
      <c r="VYY40" s="822"/>
      <c r="VYZ40" s="822"/>
      <c r="VZA40" s="822"/>
      <c r="VZB40" s="822"/>
      <c r="VZC40" s="822"/>
      <c r="VZD40" s="822"/>
      <c r="VZE40" s="822"/>
      <c r="VZF40" s="822"/>
      <c r="VZG40" s="822"/>
      <c r="VZH40" s="822"/>
      <c r="VZI40" s="822"/>
      <c r="VZJ40" s="822"/>
      <c r="VZK40" s="822"/>
      <c r="VZL40" s="822"/>
      <c r="VZM40" s="822"/>
      <c r="VZN40" s="822"/>
      <c r="VZO40" s="822"/>
      <c r="VZP40" s="822"/>
      <c r="VZQ40" s="822"/>
      <c r="VZR40" s="822"/>
      <c r="VZS40" s="822"/>
      <c r="VZT40" s="822"/>
      <c r="VZU40" s="822"/>
      <c r="VZV40" s="822"/>
      <c r="VZW40" s="822"/>
      <c r="VZX40" s="822"/>
      <c r="VZY40" s="822"/>
      <c r="VZZ40" s="822"/>
      <c r="WAA40" s="822"/>
      <c r="WAB40" s="822"/>
      <c r="WAC40" s="822"/>
      <c r="WAD40" s="822"/>
      <c r="WAE40" s="822"/>
      <c r="WAF40" s="822"/>
      <c r="WAG40" s="822"/>
      <c r="WAH40" s="822"/>
      <c r="WAI40" s="822"/>
      <c r="WAJ40" s="822"/>
      <c r="WAK40" s="822"/>
      <c r="WAL40" s="822"/>
      <c r="WAM40" s="822"/>
      <c r="WAN40" s="822"/>
      <c r="WAO40" s="822"/>
      <c r="WAP40" s="822"/>
      <c r="WAQ40" s="822"/>
      <c r="WAR40" s="822"/>
      <c r="WAS40" s="822"/>
      <c r="WAT40" s="822"/>
      <c r="WAU40" s="822"/>
      <c r="WAV40" s="822"/>
      <c r="WAW40" s="822"/>
      <c r="WAX40" s="822"/>
      <c r="WAY40" s="822"/>
      <c r="WAZ40" s="822"/>
      <c r="WBA40" s="822"/>
      <c r="WBB40" s="822"/>
      <c r="WBC40" s="822"/>
      <c r="WBD40" s="822"/>
      <c r="WBE40" s="822"/>
      <c r="WBF40" s="822"/>
      <c r="WBG40" s="822"/>
      <c r="WBH40" s="822"/>
      <c r="WBI40" s="822"/>
      <c r="WBJ40" s="822"/>
      <c r="WBK40" s="822"/>
      <c r="WBL40" s="822"/>
      <c r="WBM40" s="822"/>
      <c r="WBN40" s="822"/>
      <c r="WBO40" s="822"/>
      <c r="WBP40" s="822"/>
      <c r="WBQ40" s="822"/>
      <c r="WBR40" s="822"/>
      <c r="WBS40" s="822"/>
      <c r="WBT40" s="822"/>
      <c r="WBU40" s="822"/>
      <c r="WBV40" s="822"/>
      <c r="WBW40" s="822"/>
      <c r="WBX40" s="822"/>
      <c r="WBY40" s="822"/>
      <c r="WBZ40" s="822"/>
      <c r="WCA40" s="822"/>
      <c r="WCB40" s="822"/>
      <c r="WCC40" s="822"/>
      <c r="WCD40" s="822"/>
      <c r="WCE40" s="822"/>
      <c r="WCF40" s="822"/>
      <c r="WCG40" s="822"/>
      <c r="WCH40" s="822"/>
      <c r="WCI40" s="822"/>
      <c r="WCJ40" s="822"/>
      <c r="WCK40" s="822"/>
      <c r="WCL40" s="822"/>
      <c r="WCM40" s="822"/>
      <c r="WCN40" s="822"/>
      <c r="WCO40" s="822"/>
      <c r="WCP40" s="822"/>
      <c r="WCQ40" s="822"/>
      <c r="WCR40" s="822"/>
      <c r="WCS40" s="822"/>
      <c r="WCT40" s="822"/>
      <c r="WCU40" s="822"/>
      <c r="WCV40" s="822"/>
      <c r="WCW40" s="822"/>
      <c r="WCX40" s="822"/>
      <c r="WCY40" s="822"/>
      <c r="WCZ40" s="822"/>
      <c r="WDA40" s="822"/>
      <c r="WDB40" s="822"/>
      <c r="WDC40" s="822"/>
      <c r="WDD40" s="822"/>
      <c r="WDE40" s="822"/>
      <c r="WDF40" s="822"/>
      <c r="WDG40" s="822"/>
      <c r="WDH40" s="822"/>
      <c r="WDI40" s="822"/>
      <c r="WDJ40" s="822"/>
      <c r="WDK40" s="822"/>
      <c r="WDL40" s="822"/>
      <c r="WDM40" s="822"/>
      <c r="WDN40" s="822"/>
      <c r="WDO40" s="822"/>
      <c r="WDP40" s="822"/>
      <c r="WDQ40" s="822"/>
      <c r="WDR40" s="822"/>
      <c r="WDS40" s="822"/>
      <c r="WDT40" s="822"/>
      <c r="WDU40" s="822"/>
      <c r="WDV40" s="822"/>
      <c r="WDW40" s="822"/>
      <c r="WDX40" s="822"/>
      <c r="WDY40" s="822"/>
      <c r="WDZ40" s="822"/>
      <c r="WEA40" s="822"/>
      <c r="WEB40" s="822"/>
      <c r="WEC40" s="822"/>
      <c r="WED40" s="822"/>
      <c r="WEE40" s="822"/>
      <c r="WEF40" s="822"/>
      <c r="WEG40" s="822"/>
      <c r="WEH40" s="822"/>
      <c r="WEI40" s="822"/>
      <c r="WEJ40" s="822"/>
      <c r="WEK40" s="822"/>
      <c r="WEL40" s="822"/>
      <c r="WEM40" s="822"/>
      <c r="WEN40" s="822"/>
      <c r="WEO40" s="822"/>
      <c r="WEP40" s="822"/>
      <c r="WEQ40" s="822"/>
      <c r="WER40" s="822"/>
      <c r="WES40" s="822"/>
      <c r="WET40" s="822"/>
      <c r="WEU40" s="822"/>
      <c r="WEV40" s="822"/>
      <c r="WEW40" s="822"/>
      <c r="WEX40" s="822"/>
      <c r="WEY40" s="822"/>
      <c r="WEZ40" s="822"/>
      <c r="WFA40" s="822"/>
      <c r="WFB40" s="822"/>
      <c r="WFC40" s="822"/>
      <c r="WFD40" s="822"/>
      <c r="WFE40" s="822"/>
      <c r="WFF40" s="822"/>
      <c r="WFG40" s="822"/>
      <c r="WFH40" s="822"/>
      <c r="WFI40" s="822"/>
      <c r="WFJ40" s="822"/>
      <c r="WFK40" s="822"/>
      <c r="WFL40" s="822"/>
      <c r="WFM40" s="822"/>
      <c r="WFN40" s="822"/>
      <c r="WFO40" s="822"/>
      <c r="WFP40" s="822"/>
      <c r="WFQ40" s="822"/>
      <c r="WFR40" s="822"/>
      <c r="WFS40" s="822"/>
      <c r="WFT40" s="822"/>
      <c r="WFU40" s="822"/>
      <c r="WFV40" s="822"/>
      <c r="WFW40" s="822"/>
      <c r="WFX40" s="822"/>
      <c r="WFY40" s="822"/>
      <c r="WFZ40" s="822"/>
      <c r="WGA40" s="822"/>
      <c r="WGB40" s="822"/>
      <c r="WGC40" s="822"/>
      <c r="WGD40" s="822"/>
      <c r="WGE40" s="822"/>
      <c r="WGF40" s="822"/>
      <c r="WGG40" s="822"/>
      <c r="WGH40" s="822"/>
      <c r="WGI40" s="822"/>
      <c r="WGJ40" s="822"/>
      <c r="WGK40" s="822"/>
      <c r="WGL40" s="822"/>
      <c r="WGM40" s="822"/>
      <c r="WGN40" s="822"/>
      <c r="WGO40" s="822"/>
      <c r="WGP40" s="822"/>
      <c r="WGQ40" s="822"/>
      <c r="WGR40" s="822"/>
      <c r="WGS40" s="822"/>
      <c r="WGT40" s="822"/>
      <c r="WGU40" s="822"/>
      <c r="WGV40" s="822"/>
      <c r="WGW40" s="822"/>
      <c r="WGX40" s="822"/>
      <c r="WGY40" s="822"/>
      <c r="WGZ40" s="822"/>
      <c r="WHA40" s="822"/>
      <c r="WHB40" s="822"/>
      <c r="WHC40" s="822"/>
      <c r="WHD40" s="822"/>
      <c r="WHE40" s="822"/>
      <c r="WHF40" s="822"/>
      <c r="WHG40" s="822"/>
      <c r="WHH40" s="822"/>
      <c r="WHI40" s="822"/>
      <c r="WHJ40" s="822"/>
      <c r="WHK40" s="822"/>
      <c r="WHL40" s="822"/>
      <c r="WHM40" s="822"/>
      <c r="WHN40" s="822"/>
      <c r="WHO40" s="822"/>
      <c r="WHP40" s="822"/>
      <c r="WHQ40" s="822"/>
      <c r="WHR40" s="822"/>
      <c r="WHS40" s="822"/>
      <c r="WHT40" s="822"/>
      <c r="WHU40" s="822"/>
      <c r="WHV40" s="822"/>
      <c r="WHW40" s="822"/>
      <c r="WHX40" s="822"/>
      <c r="WHY40" s="822"/>
      <c r="WHZ40" s="822"/>
      <c r="WIA40" s="822"/>
      <c r="WIB40" s="822"/>
      <c r="WIC40" s="822"/>
      <c r="WID40" s="822"/>
      <c r="WIE40" s="822"/>
      <c r="WIF40" s="822"/>
      <c r="WIG40" s="822"/>
      <c r="WIH40" s="822"/>
      <c r="WII40" s="822"/>
      <c r="WIJ40" s="822"/>
      <c r="WIK40" s="822"/>
      <c r="WIL40" s="822"/>
      <c r="WIM40" s="822"/>
      <c r="WIN40" s="822"/>
      <c r="WIO40" s="822"/>
      <c r="WIP40" s="822"/>
      <c r="WIQ40" s="822"/>
      <c r="WIR40" s="822"/>
      <c r="WIS40" s="822"/>
      <c r="WIT40" s="822"/>
      <c r="WIU40" s="822"/>
      <c r="WIV40" s="822"/>
      <c r="WIW40" s="822"/>
      <c r="WIX40" s="822"/>
      <c r="WIY40" s="822"/>
      <c r="WIZ40" s="822"/>
      <c r="WJA40" s="822"/>
      <c r="WJB40" s="822"/>
      <c r="WJC40" s="822"/>
      <c r="WJD40" s="822"/>
      <c r="WJE40" s="822"/>
      <c r="WJF40" s="822"/>
      <c r="WJG40" s="822"/>
      <c r="WJH40" s="822"/>
      <c r="WJI40" s="822"/>
      <c r="WJJ40" s="822"/>
      <c r="WJK40" s="822"/>
      <c r="WJL40" s="822"/>
      <c r="WJM40" s="822"/>
      <c r="WJN40" s="822"/>
      <c r="WJO40" s="822"/>
      <c r="WJP40" s="822"/>
      <c r="WJQ40" s="822"/>
      <c r="WJR40" s="822"/>
      <c r="WJS40" s="822"/>
      <c r="WJT40" s="822"/>
      <c r="WJU40" s="822"/>
      <c r="WJV40" s="822"/>
      <c r="WJW40" s="822"/>
      <c r="WJX40" s="822"/>
      <c r="WJY40" s="822"/>
      <c r="WJZ40" s="822"/>
      <c r="WKA40" s="822"/>
      <c r="WKB40" s="822"/>
      <c r="WKC40" s="822"/>
      <c r="WKD40" s="822"/>
      <c r="WKE40" s="822"/>
      <c r="WKF40" s="822"/>
      <c r="WKG40" s="822"/>
      <c r="WKH40" s="822"/>
      <c r="WKI40" s="822"/>
      <c r="WKJ40" s="822"/>
      <c r="WKK40" s="822"/>
      <c r="WKL40" s="822"/>
      <c r="WKM40" s="822"/>
      <c r="WKN40" s="822"/>
      <c r="WKO40" s="822"/>
      <c r="WKP40" s="822"/>
      <c r="WKQ40" s="822"/>
      <c r="WKR40" s="822"/>
      <c r="WKS40" s="822"/>
      <c r="WKT40" s="822"/>
      <c r="WKU40" s="822"/>
      <c r="WKV40" s="822"/>
      <c r="WKW40" s="822"/>
      <c r="WKX40" s="822"/>
      <c r="WKY40" s="822"/>
      <c r="WKZ40" s="822"/>
      <c r="WLA40" s="822"/>
      <c r="WLB40" s="822"/>
      <c r="WLC40" s="822"/>
      <c r="WLD40" s="822"/>
      <c r="WLE40" s="822"/>
      <c r="WLF40" s="822"/>
      <c r="WLG40" s="822"/>
      <c r="WLH40" s="822"/>
      <c r="WLI40" s="822"/>
      <c r="WLJ40" s="822"/>
      <c r="WLK40" s="822"/>
      <c r="WLL40" s="822"/>
      <c r="WLM40" s="822"/>
      <c r="WLN40" s="822"/>
      <c r="WLO40" s="822"/>
      <c r="WLP40" s="822"/>
      <c r="WLQ40" s="822"/>
      <c r="WLR40" s="822"/>
      <c r="WLS40" s="822"/>
      <c r="WLT40" s="822"/>
      <c r="WLU40" s="822"/>
      <c r="WLV40" s="822"/>
      <c r="WLW40" s="822"/>
      <c r="WLX40" s="822"/>
      <c r="WLY40" s="822"/>
      <c r="WLZ40" s="822"/>
      <c r="WMA40" s="822"/>
      <c r="WMB40" s="822"/>
      <c r="WMC40" s="822"/>
      <c r="WMD40" s="822"/>
      <c r="WME40" s="822"/>
      <c r="WMF40" s="822"/>
      <c r="WMG40" s="822"/>
      <c r="WMH40" s="822"/>
      <c r="WMI40" s="822"/>
      <c r="WMJ40" s="822"/>
      <c r="WMK40" s="822"/>
      <c r="WML40" s="822"/>
      <c r="WMM40" s="822"/>
      <c r="WMN40" s="822"/>
      <c r="WMO40" s="822"/>
      <c r="WMP40" s="822"/>
      <c r="WMQ40" s="822"/>
      <c r="WMR40" s="822"/>
      <c r="WMS40" s="822"/>
      <c r="WMT40" s="822"/>
      <c r="WMU40" s="822"/>
      <c r="WMV40" s="822"/>
      <c r="WMW40" s="822"/>
      <c r="WMX40" s="822"/>
      <c r="WMY40" s="822"/>
      <c r="WMZ40" s="822"/>
      <c r="WNA40" s="822"/>
      <c r="WNB40" s="822"/>
      <c r="WNC40" s="822"/>
      <c r="WND40" s="822"/>
      <c r="WNE40" s="822"/>
      <c r="WNF40" s="822"/>
      <c r="WNG40" s="822"/>
      <c r="WNH40" s="822"/>
      <c r="WNI40" s="822"/>
      <c r="WNJ40" s="822"/>
      <c r="WNK40" s="822"/>
      <c r="WNL40" s="822"/>
      <c r="WNM40" s="822"/>
      <c r="WNN40" s="822"/>
      <c r="WNO40" s="822"/>
      <c r="WNP40" s="822"/>
      <c r="WNQ40" s="822"/>
      <c r="WNR40" s="822"/>
      <c r="WNS40" s="822"/>
      <c r="WNT40" s="822"/>
      <c r="WNU40" s="822"/>
      <c r="WNV40" s="822"/>
      <c r="WNW40" s="822"/>
      <c r="WNX40" s="822"/>
      <c r="WNY40" s="822"/>
      <c r="WNZ40" s="822"/>
      <c r="WOA40" s="822"/>
      <c r="WOB40" s="822"/>
      <c r="WOC40" s="822"/>
      <c r="WOD40" s="822"/>
      <c r="WOE40" s="822"/>
      <c r="WOF40" s="822"/>
      <c r="WOG40" s="822"/>
      <c r="WOH40" s="822"/>
      <c r="WOI40" s="822"/>
      <c r="WOJ40" s="822"/>
      <c r="WOK40" s="822"/>
      <c r="WOL40" s="822"/>
      <c r="WOM40" s="822"/>
      <c r="WON40" s="822"/>
      <c r="WOO40" s="822"/>
      <c r="WOP40" s="822"/>
      <c r="WOQ40" s="822"/>
      <c r="WOR40" s="822"/>
      <c r="WOS40" s="822"/>
      <c r="WOT40" s="822"/>
      <c r="WOU40" s="822"/>
      <c r="WOV40" s="822"/>
      <c r="WOW40" s="822"/>
      <c r="WOX40" s="822"/>
      <c r="WOY40" s="822"/>
      <c r="WOZ40" s="822"/>
      <c r="WPA40" s="822"/>
      <c r="WPB40" s="822"/>
      <c r="WPC40" s="822"/>
      <c r="WPD40" s="822"/>
      <c r="WPE40" s="822"/>
      <c r="WPF40" s="822"/>
      <c r="WPG40" s="822"/>
      <c r="WPH40" s="822"/>
      <c r="WPI40" s="822"/>
      <c r="WPJ40" s="822"/>
      <c r="WPK40" s="822"/>
      <c r="WPL40" s="822"/>
      <c r="WPM40" s="822"/>
      <c r="WPN40" s="822"/>
      <c r="WPO40" s="822"/>
      <c r="WPP40" s="822"/>
      <c r="WPQ40" s="822"/>
      <c r="WPR40" s="822"/>
      <c r="WPS40" s="822"/>
      <c r="WPT40" s="822"/>
      <c r="WPU40" s="822"/>
      <c r="WPV40" s="822"/>
      <c r="WPW40" s="822"/>
      <c r="WPX40" s="822"/>
      <c r="WPY40" s="822"/>
      <c r="WPZ40" s="822"/>
      <c r="WQA40" s="822"/>
      <c r="WQB40" s="822"/>
      <c r="WQC40" s="822"/>
      <c r="WQD40" s="822"/>
      <c r="WQE40" s="822"/>
      <c r="WQF40" s="822"/>
      <c r="WQG40" s="822"/>
      <c r="WQH40" s="822"/>
      <c r="WQI40" s="822"/>
      <c r="WQJ40" s="822"/>
      <c r="WQK40" s="822"/>
      <c r="WQL40" s="822"/>
      <c r="WQM40" s="822"/>
      <c r="WQN40" s="822"/>
      <c r="WQO40" s="822"/>
      <c r="WQP40" s="822"/>
      <c r="WQQ40" s="822"/>
      <c r="WQR40" s="822"/>
      <c r="WQS40" s="822"/>
      <c r="WQT40" s="822"/>
      <c r="WQU40" s="822"/>
      <c r="WQV40" s="822"/>
      <c r="WQW40" s="822"/>
      <c r="WQX40" s="822"/>
      <c r="WQY40" s="822"/>
      <c r="WQZ40" s="822"/>
      <c r="WRA40" s="822"/>
      <c r="WRB40" s="822"/>
      <c r="WRC40" s="822"/>
      <c r="WRD40" s="822"/>
      <c r="WRE40" s="822"/>
      <c r="WRF40" s="822"/>
      <c r="WRG40" s="822"/>
      <c r="WRH40" s="822"/>
      <c r="WRI40" s="822"/>
      <c r="WRJ40" s="822"/>
      <c r="WRK40" s="822"/>
      <c r="WRL40" s="822"/>
      <c r="WRM40" s="822"/>
      <c r="WRN40" s="822"/>
      <c r="WRO40" s="822"/>
      <c r="WRP40" s="822"/>
      <c r="WRQ40" s="822"/>
      <c r="WRR40" s="822"/>
      <c r="WRS40" s="822"/>
      <c r="WRT40" s="822"/>
      <c r="WRU40" s="822"/>
      <c r="WRV40" s="822"/>
      <c r="WRW40" s="822"/>
      <c r="WRX40" s="822"/>
      <c r="WRY40" s="822"/>
      <c r="WRZ40" s="822"/>
      <c r="WSA40" s="822"/>
      <c r="WSB40" s="822"/>
      <c r="WSC40" s="822"/>
      <c r="WSD40" s="822"/>
      <c r="WSE40" s="822"/>
      <c r="WSF40" s="822"/>
      <c r="WSG40" s="822"/>
      <c r="WSH40" s="822"/>
      <c r="WSI40" s="822"/>
      <c r="WSJ40" s="822"/>
      <c r="WSK40" s="822"/>
      <c r="WSL40" s="822"/>
      <c r="WSM40" s="822"/>
      <c r="WSN40" s="822"/>
      <c r="WSO40" s="822"/>
      <c r="WSP40" s="822"/>
      <c r="WSQ40" s="822"/>
      <c r="WSR40" s="822"/>
      <c r="WSS40" s="822"/>
      <c r="WST40" s="822"/>
      <c r="WSU40" s="822"/>
      <c r="WSV40" s="822"/>
      <c r="WSW40" s="822"/>
      <c r="WSX40" s="822"/>
      <c r="WSY40" s="822"/>
      <c r="WSZ40" s="822"/>
      <c r="WTA40" s="822"/>
      <c r="WTB40" s="822"/>
      <c r="WTC40" s="822"/>
      <c r="WTD40" s="822"/>
      <c r="WTE40" s="822"/>
      <c r="WTF40" s="822"/>
      <c r="WTG40" s="822"/>
      <c r="WTH40" s="822"/>
      <c r="WTI40" s="822"/>
      <c r="WTJ40" s="822"/>
      <c r="WTK40" s="822"/>
      <c r="WTL40" s="822"/>
      <c r="WTM40" s="822"/>
      <c r="WTN40" s="822"/>
      <c r="WTO40" s="822"/>
      <c r="WTP40" s="822"/>
      <c r="WTQ40" s="822"/>
      <c r="WTR40" s="822"/>
      <c r="WTS40" s="822"/>
      <c r="WTT40" s="822"/>
      <c r="WTU40" s="822"/>
      <c r="WTV40" s="822"/>
      <c r="WTW40" s="822"/>
      <c r="WTX40" s="822"/>
      <c r="WTY40" s="822"/>
      <c r="WTZ40" s="822"/>
      <c r="WUA40" s="822"/>
      <c r="WUB40" s="822"/>
      <c r="WUC40" s="822"/>
      <c r="WUD40" s="822"/>
      <c r="WUE40" s="822"/>
      <c r="WUF40" s="822"/>
      <c r="WUG40" s="822"/>
      <c r="WUH40" s="822"/>
      <c r="WUI40" s="822"/>
      <c r="WUJ40" s="822"/>
      <c r="WUK40" s="822"/>
      <c r="WUL40" s="822"/>
      <c r="WUM40" s="822"/>
      <c r="WUN40" s="822"/>
      <c r="WUO40" s="822"/>
      <c r="WUP40" s="822"/>
      <c r="WUQ40" s="822"/>
      <c r="WUR40" s="822"/>
      <c r="WUS40" s="822"/>
      <c r="WUT40" s="822"/>
      <c r="WUU40" s="822"/>
      <c r="WUV40" s="822"/>
      <c r="WUW40" s="822"/>
      <c r="WUX40" s="822"/>
      <c r="WUY40" s="822"/>
      <c r="WUZ40" s="822"/>
      <c r="WVA40" s="822"/>
      <c r="WVB40" s="822"/>
      <c r="WVC40" s="822"/>
      <c r="WVD40" s="822"/>
      <c r="WVE40" s="822"/>
      <c r="WVF40" s="822"/>
      <c r="WVG40" s="822"/>
      <c r="WVH40" s="822"/>
      <c r="WVI40" s="822"/>
      <c r="WVJ40" s="822"/>
      <c r="WVK40" s="822"/>
      <c r="WVL40" s="822"/>
      <c r="WVM40" s="822"/>
      <c r="WVN40" s="822"/>
      <c r="WVO40" s="822"/>
      <c r="WVP40" s="822"/>
      <c r="WVQ40" s="822"/>
      <c r="WVR40" s="822"/>
      <c r="WVS40" s="822"/>
      <c r="WVT40" s="822"/>
      <c r="WVU40" s="822"/>
      <c r="WVV40" s="822"/>
      <c r="WVW40" s="822"/>
      <c r="WVX40" s="822"/>
      <c r="WVY40" s="822"/>
      <c r="WVZ40" s="822"/>
      <c r="WWA40" s="822"/>
      <c r="WWB40" s="822"/>
      <c r="WWC40" s="822"/>
      <c r="WWD40" s="822"/>
      <c r="WWE40" s="822"/>
      <c r="WWF40" s="822"/>
      <c r="WWG40" s="822"/>
      <c r="WWH40" s="822"/>
      <c r="WWI40" s="822"/>
      <c r="WWJ40" s="822"/>
      <c r="WWK40" s="822"/>
      <c r="WWL40" s="822"/>
      <c r="WWM40" s="822"/>
      <c r="WWN40" s="822"/>
      <c r="WWO40" s="822"/>
      <c r="WWP40" s="822"/>
      <c r="WWQ40" s="822"/>
      <c r="WWR40" s="822"/>
      <c r="WWS40" s="822"/>
      <c r="WWT40" s="822"/>
      <c r="WWU40" s="822"/>
      <c r="WWV40" s="822"/>
      <c r="WWW40" s="822"/>
      <c r="WWX40" s="822"/>
      <c r="WWY40" s="822"/>
      <c r="WWZ40" s="822"/>
      <c r="WXA40" s="822"/>
      <c r="WXB40" s="822"/>
      <c r="WXC40" s="822"/>
      <c r="WXD40" s="822"/>
      <c r="WXE40" s="822"/>
      <c r="WXF40" s="822"/>
      <c r="WXG40" s="822"/>
      <c r="WXH40" s="822"/>
      <c r="WXI40" s="822"/>
      <c r="WXJ40" s="822"/>
      <c r="WXK40" s="822"/>
      <c r="WXL40" s="822"/>
      <c r="WXM40" s="822"/>
      <c r="WXN40" s="822"/>
      <c r="WXO40" s="822"/>
      <c r="WXP40" s="822"/>
      <c r="WXQ40" s="822"/>
      <c r="WXR40" s="822"/>
      <c r="WXS40" s="822"/>
      <c r="WXT40" s="822"/>
      <c r="WXU40" s="822"/>
      <c r="WXV40" s="822"/>
      <c r="WXW40" s="822"/>
      <c r="WXX40" s="822"/>
      <c r="WXY40" s="822"/>
      <c r="WXZ40" s="822"/>
      <c r="WYA40" s="822"/>
      <c r="WYB40" s="822"/>
      <c r="WYC40" s="822"/>
      <c r="WYD40" s="822"/>
      <c r="WYE40" s="822"/>
      <c r="WYF40" s="822"/>
      <c r="WYG40" s="822"/>
      <c r="WYH40" s="822"/>
      <c r="WYI40" s="822"/>
      <c r="WYJ40" s="822"/>
      <c r="WYK40" s="822"/>
      <c r="WYL40" s="822"/>
      <c r="WYM40" s="822"/>
      <c r="WYN40" s="822"/>
      <c r="WYO40" s="822"/>
      <c r="WYP40" s="822"/>
      <c r="WYQ40" s="822"/>
      <c r="WYR40" s="822"/>
      <c r="WYS40" s="822"/>
      <c r="WYT40" s="822"/>
      <c r="WYU40" s="822"/>
      <c r="WYV40" s="822"/>
      <c r="WYW40" s="822"/>
      <c r="WYX40" s="822"/>
      <c r="WYY40" s="822"/>
      <c r="WYZ40" s="822"/>
      <c r="WZA40" s="822"/>
      <c r="WZB40" s="822"/>
      <c r="WZC40" s="822"/>
      <c r="WZD40" s="822"/>
      <c r="WZE40" s="822"/>
      <c r="WZF40" s="822"/>
      <c r="WZG40" s="822"/>
      <c r="WZH40" s="822"/>
      <c r="WZI40" s="822"/>
      <c r="WZJ40" s="822"/>
      <c r="WZK40" s="822"/>
      <c r="WZL40" s="822"/>
      <c r="WZM40" s="822"/>
      <c r="WZN40" s="822"/>
      <c r="WZO40" s="822"/>
      <c r="WZP40" s="822"/>
      <c r="WZQ40" s="822"/>
      <c r="WZR40" s="822"/>
      <c r="WZS40" s="822"/>
      <c r="WZT40" s="822"/>
      <c r="WZU40" s="822"/>
      <c r="WZV40" s="822"/>
      <c r="WZW40" s="822"/>
      <c r="WZX40" s="822"/>
      <c r="WZY40" s="822"/>
      <c r="WZZ40" s="822"/>
      <c r="XAA40" s="822"/>
      <c r="XAB40" s="822"/>
      <c r="XAC40" s="822"/>
      <c r="XAD40" s="822"/>
      <c r="XAE40" s="822"/>
      <c r="XAF40" s="822"/>
      <c r="XAG40" s="822"/>
      <c r="XAH40" s="822"/>
      <c r="XAI40" s="822"/>
      <c r="XAJ40" s="822"/>
      <c r="XAK40" s="822"/>
      <c r="XAL40" s="822"/>
      <c r="XAM40" s="822"/>
      <c r="XAN40" s="822"/>
      <c r="XAO40" s="822"/>
      <c r="XAP40" s="822"/>
      <c r="XAQ40" s="822"/>
      <c r="XAR40" s="822"/>
      <c r="XAS40" s="822"/>
      <c r="XAT40" s="822"/>
      <c r="XAU40" s="822"/>
      <c r="XAV40" s="822"/>
      <c r="XAW40" s="822"/>
      <c r="XAX40" s="822"/>
      <c r="XAY40" s="822"/>
      <c r="XAZ40" s="822"/>
      <c r="XBA40" s="822"/>
      <c r="XBB40" s="822"/>
      <c r="XBC40" s="822"/>
      <c r="XBD40" s="822"/>
      <c r="XBE40" s="822"/>
      <c r="XBF40" s="822"/>
      <c r="XBG40" s="822"/>
      <c r="XBH40" s="822"/>
      <c r="XBI40" s="822"/>
      <c r="XBJ40" s="822"/>
      <c r="XBK40" s="822"/>
      <c r="XBL40" s="822"/>
      <c r="XBM40" s="822"/>
      <c r="XBN40" s="822"/>
      <c r="XBO40" s="822"/>
      <c r="XBP40" s="822"/>
      <c r="XBQ40" s="822"/>
      <c r="XBR40" s="822"/>
      <c r="XBS40" s="822"/>
      <c r="XBT40" s="822"/>
      <c r="XBU40" s="822"/>
      <c r="XBV40" s="822"/>
      <c r="XBW40" s="822"/>
      <c r="XBX40" s="822"/>
      <c r="XBY40" s="822"/>
      <c r="XBZ40" s="822"/>
      <c r="XCA40" s="822"/>
      <c r="XCB40" s="822"/>
      <c r="XCC40" s="822"/>
      <c r="XCD40" s="822"/>
      <c r="XCE40" s="822"/>
      <c r="XCF40" s="822"/>
      <c r="XCG40" s="822"/>
      <c r="XCH40" s="822"/>
      <c r="XCI40" s="822"/>
      <c r="XCJ40" s="822"/>
      <c r="XCK40" s="822"/>
      <c r="XCL40" s="822"/>
      <c r="XCM40" s="822"/>
      <c r="XCN40" s="822"/>
      <c r="XCO40" s="822"/>
      <c r="XCP40" s="822"/>
      <c r="XCQ40" s="822"/>
      <c r="XCR40" s="822"/>
      <c r="XCS40" s="822"/>
      <c r="XCT40" s="822"/>
      <c r="XCU40" s="822"/>
      <c r="XCV40" s="822"/>
      <c r="XCW40" s="822"/>
      <c r="XCX40" s="822"/>
      <c r="XCY40" s="822"/>
      <c r="XCZ40" s="822"/>
      <c r="XDA40" s="822"/>
      <c r="XDB40" s="822"/>
      <c r="XDC40" s="822"/>
      <c r="XDD40" s="822"/>
      <c r="XDE40" s="822"/>
      <c r="XDF40" s="822"/>
      <c r="XDG40" s="822"/>
      <c r="XDH40" s="822"/>
      <c r="XDI40" s="822"/>
      <c r="XDJ40" s="822"/>
      <c r="XDK40" s="822"/>
      <c r="XDL40" s="822"/>
      <c r="XDM40" s="822"/>
      <c r="XDN40" s="822"/>
      <c r="XDO40" s="822"/>
      <c r="XDP40" s="822"/>
      <c r="XDQ40" s="822"/>
      <c r="XDR40" s="822"/>
      <c r="XDS40" s="822"/>
      <c r="XDT40" s="822"/>
      <c r="XDU40" s="822"/>
      <c r="XDV40" s="822"/>
      <c r="XDW40" s="822"/>
      <c r="XDX40" s="822"/>
      <c r="XDY40" s="822"/>
      <c r="XDZ40" s="822"/>
      <c r="XEA40" s="822"/>
      <c r="XEB40" s="822"/>
      <c r="XEC40" s="822"/>
      <c r="XED40" s="822"/>
      <c r="XEE40" s="822"/>
      <c r="XEF40" s="822"/>
      <c r="XEG40" s="822"/>
      <c r="XEH40" s="822"/>
      <c r="XEI40" s="822"/>
      <c r="XEJ40" s="822"/>
      <c r="XEK40" s="822"/>
    </row>
    <row r="41" spans="1:16365" ht="60.75" customHeight="1">
      <c r="A41" s="120" t="s">
        <v>97</v>
      </c>
      <c r="B41" s="125" t="s">
        <v>98</v>
      </c>
      <c r="C41" s="121"/>
      <c r="D41" s="121"/>
      <c r="E41" s="121"/>
      <c r="F41" s="121"/>
      <c r="G41" s="121"/>
      <c r="H41" s="121"/>
      <c r="I41" s="122"/>
      <c r="J41" s="121"/>
      <c r="K41" s="121"/>
      <c r="L41" s="121"/>
      <c r="M41" s="121"/>
      <c r="N41" s="121"/>
      <c r="O41" s="120"/>
      <c r="P41" s="120"/>
      <c r="Q41" s="120"/>
      <c r="R41" s="120"/>
      <c r="S41" s="822"/>
      <c r="T41" s="822"/>
      <c r="U41" s="822"/>
      <c r="V41" s="822"/>
      <c r="W41" s="822"/>
      <c r="X41" s="822"/>
      <c r="Y41" s="822"/>
      <c r="Z41" s="822"/>
      <c r="AA41" s="822"/>
      <c r="AB41" s="822"/>
      <c r="AC41" s="822"/>
      <c r="AD41" s="822"/>
      <c r="AE41" s="822"/>
      <c r="AF41" s="822"/>
      <c r="AG41" s="822"/>
      <c r="AH41" s="6"/>
      <c r="AI41" s="38"/>
      <c r="AJ41" s="6"/>
      <c r="AK41" s="100"/>
      <c r="AL41" s="5"/>
      <c r="AM41" s="194"/>
      <c r="AN41" s="194"/>
      <c r="AO41" s="194"/>
      <c r="AP41" s="194"/>
      <c r="AQ41" s="194"/>
      <c r="AR41" s="194"/>
      <c r="AS41" s="194"/>
      <c r="AT41" s="194"/>
      <c r="AU41" s="194"/>
      <c r="AV41" s="194"/>
      <c r="AW41" s="194"/>
      <c r="AX41" s="822"/>
      <c r="AY41" s="822"/>
      <c r="AZ41" s="822"/>
      <c r="BA41" s="822"/>
      <c r="BB41" s="822"/>
      <c r="BC41" s="822"/>
      <c r="BD41" s="822"/>
      <c r="BE41" s="822"/>
      <c r="BF41" s="822"/>
      <c r="BG41" s="822"/>
      <c r="BH41" s="822"/>
      <c r="BI41" s="822"/>
      <c r="BJ41" s="822"/>
      <c r="BK41" s="822"/>
      <c r="BL41" s="822"/>
      <c r="BM41" s="822"/>
      <c r="BN41" s="822"/>
      <c r="BO41" s="822"/>
      <c r="BP41" s="822"/>
      <c r="BQ41" s="822"/>
      <c r="BR41" s="822"/>
      <c r="BS41" s="822"/>
      <c r="BT41" s="822"/>
      <c r="BU41" s="822"/>
      <c r="BV41" s="822"/>
      <c r="BW41" s="822"/>
      <c r="BX41" s="822"/>
      <c r="BY41" s="822"/>
      <c r="BZ41" s="822"/>
      <c r="CA41" s="822"/>
      <c r="CB41" s="822"/>
      <c r="CC41" s="822"/>
      <c r="CD41" s="822"/>
      <c r="CE41" s="822"/>
      <c r="CF41" s="822"/>
      <c r="CG41" s="822"/>
      <c r="CH41" s="822"/>
      <c r="CI41" s="822"/>
      <c r="CJ41" s="822"/>
      <c r="CK41" s="822"/>
      <c r="CL41" s="822"/>
      <c r="CM41" s="822"/>
      <c r="CN41" s="822"/>
      <c r="CO41" s="822"/>
      <c r="CP41" s="822"/>
      <c r="CQ41" s="822"/>
      <c r="CR41" s="822"/>
      <c r="CS41" s="822"/>
      <c r="CT41" s="822"/>
      <c r="CU41" s="822"/>
      <c r="CV41" s="822"/>
      <c r="CW41" s="822"/>
      <c r="CX41" s="822"/>
      <c r="CY41" s="822"/>
      <c r="CZ41" s="822"/>
      <c r="DA41" s="822"/>
      <c r="DB41" s="822"/>
      <c r="DC41" s="822"/>
      <c r="DD41" s="822"/>
      <c r="DE41" s="822"/>
      <c r="DF41" s="822"/>
      <c r="DG41" s="822"/>
      <c r="DH41" s="822"/>
      <c r="DI41" s="822"/>
      <c r="DJ41" s="822"/>
      <c r="DK41" s="822"/>
      <c r="DL41" s="822"/>
      <c r="DM41" s="822"/>
      <c r="DN41" s="822"/>
      <c r="DO41" s="822"/>
      <c r="DP41" s="822"/>
      <c r="DQ41" s="822"/>
      <c r="DR41" s="822"/>
      <c r="DS41" s="822"/>
      <c r="DT41" s="822"/>
      <c r="DU41" s="822"/>
      <c r="DV41" s="822"/>
      <c r="DW41" s="822"/>
      <c r="DX41" s="822"/>
      <c r="DY41" s="822"/>
      <c r="DZ41" s="822"/>
      <c r="EA41" s="822"/>
      <c r="EB41" s="822"/>
      <c r="EC41" s="822"/>
      <c r="ED41" s="822"/>
      <c r="EE41" s="822"/>
      <c r="EF41" s="822"/>
      <c r="EG41" s="822"/>
      <c r="EH41" s="822"/>
      <c r="EI41" s="822"/>
      <c r="EJ41" s="822"/>
      <c r="EK41" s="822"/>
      <c r="EL41" s="822"/>
      <c r="EM41" s="822"/>
      <c r="EN41" s="822"/>
      <c r="EO41" s="822"/>
      <c r="EP41" s="822"/>
      <c r="EQ41" s="822"/>
      <c r="ER41" s="822"/>
      <c r="ES41" s="822"/>
      <c r="ET41" s="822"/>
      <c r="EU41" s="822"/>
      <c r="EV41" s="822"/>
      <c r="EW41" s="822"/>
      <c r="EX41" s="822"/>
      <c r="EY41" s="822"/>
      <c r="EZ41" s="822"/>
      <c r="FA41" s="822"/>
      <c r="FB41" s="822"/>
      <c r="FC41" s="822"/>
      <c r="FD41" s="822"/>
      <c r="FE41" s="822"/>
      <c r="FF41" s="822"/>
      <c r="FG41" s="822"/>
      <c r="FH41" s="822"/>
      <c r="FI41" s="822"/>
      <c r="FJ41" s="822"/>
      <c r="FK41" s="822"/>
      <c r="FL41" s="822"/>
      <c r="FM41" s="822"/>
      <c r="FN41" s="822"/>
      <c r="FO41" s="822"/>
      <c r="FP41" s="822"/>
      <c r="FQ41" s="822"/>
      <c r="FR41" s="822"/>
      <c r="FS41" s="822"/>
      <c r="FT41" s="822"/>
      <c r="FU41" s="822"/>
      <c r="FV41" s="822"/>
      <c r="FW41" s="822"/>
      <c r="FX41" s="822"/>
      <c r="FY41" s="822"/>
      <c r="FZ41" s="822"/>
      <c r="GA41" s="822"/>
      <c r="GB41" s="822"/>
      <c r="GC41" s="822"/>
      <c r="GD41" s="822"/>
      <c r="GE41" s="822"/>
      <c r="GF41" s="822"/>
      <c r="GG41" s="822"/>
      <c r="GH41" s="822"/>
      <c r="GI41" s="822"/>
      <c r="GJ41" s="822"/>
      <c r="GK41" s="822"/>
      <c r="GL41" s="822"/>
      <c r="GM41" s="822"/>
      <c r="GN41" s="822"/>
      <c r="GO41" s="822"/>
      <c r="GP41" s="822"/>
      <c r="GQ41" s="822"/>
      <c r="GR41" s="822"/>
      <c r="GS41" s="822"/>
      <c r="GT41" s="822"/>
      <c r="GU41" s="822"/>
      <c r="GV41" s="822"/>
      <c r="GW41" s="822"/>
      <c r="GX41" s="822"/>
      <c r="GY41" s="822"/>
      <c r="GZ41" s="822"/>
      <c r="HA41" s="822"/>
      <c r="HB41" s="822"/>
      <c r="HC41" s="822"/>
      <c r="HD41" s="822"/>
      <c r="HE41" s="822"/>
      <c r="HF41" s="822"/>
      <c r="HG41" s="822"/>
      <c r="HH41" s="822"/>
      <c r="HI41" s="822"/>
      <c r="HJ41" s="822"/>
      <c r="HK41" s="822"/>
      <c r="HL41" s="822"/>
      <c r="HM41" s="822"/>
      <c r="HN41" s="822"/>
      <c r="HO41" s="822"/>
      <c r="HP41" s="822"/>
      <c r="HQ41" s="822"/>
      <c r="HR41" s="822"/>
      <c r="HS41" s="822"/>
      <c r="HT41" s="822"/>
      <c r="HU41" s="822"/>
      <c r="HV41" s="822"/>
      <c r="HW41" s="822"/>
      <c r="HX41" s="822"/>
      <c r="HY41" s="822"/>
      <c r="HZ41" s="822"/>
      <c r="IA41" s="822"/>
      <c r="IB41" s="822"/>
      <c r="IC41" s="822"/>
      <c r="ID41" s="822"/>
      <c r="IE41" s="822"/>
      <c r="IF41" s="822"/>
      <c r="IG41" s="822"/>
      <c r="IH41" s="822"/>
      <c r="II41" s="822"/>
      <c r="IJ41" s="822"/>
      <c r="IK41" s="822"/>
      <c r="IL41" s="822"/>
      <c r="IM41" s="822"/>
      <c r="IN41" s="822"/>
      <c r="IO41" s="822"/>
      <c r="IP41" s="822"/>
      <c r="IQ41" s="822"/>
      <c r="IR41" s="822"/>
      <c r="IS41" s="822"/>
      <c r="IT41" s="822"/>
      <c r="IU41" s="822"/>
      <c r="IV41" s="822"/>
      <c r="IW41" s="822"/>
      <c r="IX41" s="822"/>
      <c r="IY41" s="822"/>
      <c r="IZ41" s="822"/>
      <c r="JA41" s="822"/>
      <c r="JB41" s="822"/>
      <c r="JC41" s="822"/>
      <c r="JD41" s="822"/>
      <c r="JE41" s="822"/>
      <c r="JF41" s="822"/>
      <c r="JG41" s="822"/>
      <c r="JH41" s="822"/>
      <c r="JI41" s="822"/>
      <c r="JJ41" s="822"/>
      <c r="JK41" s="822"/>
      <c r="JL41" s="822"/>
      <c r="JM41" s="822"/>
      <c r="JN41" s="822"/>
      <c r="JO41" s="822"/>
      <c r="JP41" s="822"/>
      <c r="JQ41" s="822"/>
      <c r="JR41" s="822"/>
      <c r="JS41" s="822"/>
      <c r="JT41" s="822"/>
      <c r="JU41" s="822"/>
      <c r="JV41" s="822"/>
      <c r="JW41" s="822"/>
      <c r="JX41" s="822"/>
      <c r="JY41" s="822"/>
      <c r="JZ41" s="822"/>
      <c r="KA41" s="822"/>
      <c r="KB41" s="822"/>
      <c r="KC41" s="822"/>
      <c r="KD41" s="822"/>
      <c r="KE41" s="822"/>
      <c r="KF41" s="822"/>
      <c r="KG41" s="822"/>
      <c r="KH41" s="822"/>
      <c r="KI41" s="822"/>
      <c r="KJ41" s="822"/>
      <c r="KK41" s="822"/>
      <c r="KL41" s="822"/>
      <c r="KM41" s="822"/>
      <c r="KN41" s="822"/>
      <c r="KO41" s="822"/>
      <c r="KP41" s="822"/>
      <c r="KQ41" s="822"/>
      <c r="KR41" s="822"/>
      <c r="KS41" s="822"/>
      <c r="KT41" s="822"/>
      <c r="KU41" s="822"/>
      <c r="KV41" s="822"/>
      <c r="KW41" s="822"/>
      <c r="KX41" s="822"/>
      <c r="KY41" s="822"/>
      <c r="KZ41" s="822"/>
      <c r="LA41" s="822"/>
      <c r="LB41" s="822"/>
      <c r="LC41" s="822"/>
      <c r="LD41" s="822"/>
      <c r="LE41" s="822"/>
      <c r="LF41" s="822"/>
      <c r="LG41" s="822"/>
      <c r="LH41" s="822"/>
      <c r="LI41" s="822"/>
      <c r="LJ41" s="822"/>
      <c r="LK41" s="822"/>
      <c r="LL41" s="822"/>
      <c r="LM41" s="822"/>
      <c r="LN41" s="822"/>
      <c r="LO41" s="822"/>
      <c r="LP41" s="822"/>
      <c r="LQ41" s="822"/>
      <c r="LR41" s="822"/>
      <c r="LS41" s="822"/>
      <c r="LT41" s="822"/>
      <c r="LU41" s="822"/>
      <c r="LV41" s="822"/>
      <c r="LW41" s="822"/>
      <c r="LX41" s="822"/>
      <c r="LY41" s="822"/>
      <c r="LZ41" s="822"/>
      <c r="MA41" s="822"/>
      <c r="MB41" s="822"/>
      <c r="MC41" s="822"/>
      <c r="MD41" s="822"/>
      <c r="ME41" s="822"/>
      <c r="MF41" s="822"/>
      <c r="MG41" s="822"/>
      <c r="MH41" s="822"/>
      <c r="MI41" s="822"/>
      <c r="MJ41" s="822"/>
      <c r="MK41" s="822"/>
      <c r="ML41" s="822"/>
      <c r="MM41" s="822"/>
      <c r="MN41" s="822"/>
      <c r="MO41" s="822"/>
      <c r="MP41" s="822"/>
      <c r="MQ41" s="822"/>
      <c r="MR41" s="822"/>
      <c r="MS41" s="822"/>
      <c r="MT41" s="822"/>
      <c r="MU41" s="822"/>
      <c r="MV41" s="822"/>
      <c r="MW41" s="822"/>
      <c r="MX41" s="822"/>
      <c r="MY41" s="822"/>
      <c r="MZ41" s="822"/>
      <c r="NA41" s="822"/>
      <c r="NB41" s="822"/>
      <c r="NC41" s="822"/>
      <c r="ND41" s="822"/>
      <c r="NE41" s="822"/>
      <c r="NF41" s="822"/>
      <c r="NG41" s="822"/>
      <c r="NH41" s="822"/>
      <c r="NI41" s="822"/>
      <c r="NJ41" s="822"/>
      <c r="NK41" s="822"/>
      <c r="NL41" s="822"/>
      <c r="NM41" s="822"/>
      <c r="NN41" s="822"/>
      <c r="NO41" s="822"/>
      <c r="NP41" s="822"/>
      <c r="NQ41" s="822"/>
      <c r="NR41" s="822"/>
      <c r="NS41" s="822"/>
      <c r="NT41" s="822"/>
      <c r="NU41" s="822"/>
      <c r="NV41" s="822"/>
      <c r="NW41" s="822"/>
      <c r="NX41" s="822"/>
      <c r="NY41" s="822"/>
      <c r="NZ41" s="822"/>
      <c r="OA41" s="822"/>
      <c r="OB41" s="822"/>
      <c r="OC41" s="822"/>
      <c r="OD41" s="822"/>
      <c r="OE41" s="822"/>
      <c r="OF41" s="822"/>
      <c r="OG41" s="822"/>
      <c r="OH41" s="822"/>
      <c r="OI41" s="822"/>
      <c r="OJ41" s="822"/>
      <c r="OK41" s="822"/>
      <c r="OL41" s="822"/>
      <c r="OM41" s="822"/>
      <c r="ON41" s="822"/>
      <c r="OO41" s="822"/>
      <c r="OP41" s="822"/>
      <c r="OQ41" s="822"/>
      <c r="OR41" s="822"/>
      <c r="OS41" s="822"/>
      <c r="OT41" s="822"/>
      <c r="OU41" s="822"/>
      <c r="OV41" s="822"/>
      <c r="OW41" s="822"/>
      <c r="OX41" s="822"/>
      <c r="OY41" s="822"/>
      <c r="OZ41" s="822"/>
      <c r="PA41" s="822"/>
      <c r="PB41" s="822"/>
      <c r="PC41" s="822"/>
      <c r="PD41" s="822"/>
      <c r="PE41" s="822"/>
      <c r="PF41" s="822"/>
      <c r="PG41" s="822"/>
      <c r="PH41" s="822"/>
      <c r="PI41" s="822"/>
      <c r="PJ41" s="822"/>
      <c r="PK41" s="822"/>
      <c r="PL41" s="822"/>
      <c r="PM41" s="822"/>
      <c r="PN41" s="822"/>
      <c r="PO41" s="822"/>
      <c r="PP41" s="822"/>
      <c r="PQ41" s="822"/>
      <c r="PR41" s="822"/>
      <c r="PS41" s="822"/>
      <c r="PT41" s="822"/>
      <c r="PU41" s="822"/>
      <c r="PV41" s="822"/>
      <c r="PW41" s="822"/>
      <c r="PX41" s="822"/>
      <c r="PY41" s="822"/>
      <c r="PZ41" s="822"/>
      <c r="QA41" s="822"/>
      <c r="QB41" s="822"/>
      <c r="QC41" s="822"/>
      <c r="QD41" s="822"/>
      <c r="QE41" s="822"/>
      <c r="QF41" s="822"/>
      <c r="QG41" s="822"/>
      <c r="QH41" s="822"/>
      <c r="QI41" s="822"/>
      <c r="QJ41" s="822"/>
      <c r="QK41" s="822"/>
      <c r="QL41" s="822"/>
      <c r="QM41" s="822"/>
      <c r="QN41" s="822"/>
      <c r="QO41" s="822"/>
      <c r="QP41" s="822"/>
      <c r="QQ41" s="822"/>
      <c r="QR41" s="822"/>
      <c r="QS41" s="822"/>
      <c r="QT41" s="822"/>
      <c r="QU41" s="822"/>
      <c r="QV41" s="822"/>
      <c r="QW41" s="822"/>
      <c r="QX41" s="822"/>
      <c r="QY41" s="822"/>
      <c r="QZ41" s="822"/>
      <c r="RA41" s="822"/>
      <c r="RB41" s="822"/>
      <c r="RC41" s="822"/>
      <c r="RD41" s="822"/>
      <c r="RE41" s="822"/>
      <c r="RF41" s="822"/>
      <c r="RG41" s="822"/>
      <c r="RH41" s="822"/>
      <c r="RI41" s="822"/>
      <c r="RJ41" s="822"/>
      <c r="RK41" s="822"/>
      <c r="RL41" s="822"/>
      <c r="RM41" s="822"/>
      <c r="RN41" s="822"/>
      <c r="RO41" s="822"/>
      <c r="RP41" s="822"/>
      <c r="RQ41" s="822"/>
      <c r="RR41" s="822"/>
      <c r="RS41" s="822"/>
      <c r="RT41" s="822"/>
      <c r="RU41" s="822"/>
      <c r="RV41" s="822"/>
      <c r="RW41" s="822"/>
      <c r="RX41" s="822"/>
      <c r="RY41" s="822"/>
      <c r="RZ41" s="822"/>
      <c r="SA41" s="822"/>
      <c r="SB41" s="822"/>
      <c r="SC41" s="822"/>
      <c r="SD41" s="822"/>
      <c r="SE41" s="822"/>
      <c r="SF41" s="822"/>
      <c r="SG41" s="822"/>
      <c r="SH41" s="822"/>
      <c r="SI41" s="822"/>
      <c r="SJ41" s="822"/>
      <c r="SK41" s="822"/>
      <c r="SL41" s="822"/>
      <c r="SM41" s="822"/>
      <c r="SN41" s="822"/>
      <c r="SO41" s="822"/>
      <c r="SP41" s="822"/>
      <c r="SQ41" s="822"/>
      <c r="SR41" s="822"/>
      <c r="SS41" s="822"/>
      <c r="ST41" s="822"/>
      <c r="SU41" s="822"/>
      <c r="SV41" s="822"/>
      <c r="SW41" s="822"/>
      <c r="SX41" s="822"/>
      <c r="SY41" s="822"/>
      <c r="SZ41" s="822"/>
      <c r="TA41" s="822"/>
      <c r="TB41" s="822"/>
      <c r="TC41" s="822"/>
      <c r="TD41" s="822"/>
      <c r="TE41" s="822"/>
      <c r="TF41" s="822"/>
      <c r="TG41" s="822"/>
      <c r="TH41" s="822"/>
      <c r="TI41" s="822"/>
      <c r="TJ41" s="822"/>
      <c r="TK41" s="822"/>
      <c r="TL41" s="822"/>
      <c r="TM41" s="822"/>
      <c r="TN41" s="822"/>
      <c r="TO41" s="822"/>
      <c r="TP41" s="822"/>
      <c r="TQ41" s="822"/>
      <c r="TR41" s="822"/>
      <c r="TS41" s="822"/>
      <c r="TT41" s="822"/>
      <c r="TU41" s="822"/>
      <c r="TV41" s="822"/>
      <c r="TW41" s="822"/>
      <c r="TX41" s="822"/>
      <c r="TY41" s="822"/>
      <c r="TZ41" s="822"/>
      <c r="UA41" s="822"/>
      <c r="UB41" s="822"/>
      <c r="UC41" s="822"/>
      <c r="UD41" s="822"/>
      <c r="UE41" s="822"/>
      <c r="UF41" s="822"/>
      <c r="UG41" s="822"/>
      <c r="UH41" s="822"/>
      <c r="UI41" s="822"/>
      <c r="UJ41" s="822"/>
      <c r="UK41" s="822"/>
      <c r="UL41" s="822"/>
      <c r="UM41" s="822"/>
      <c r="UN41" s="822"/>
      <c r="UO41" s="822"/>
      <c r="UP41" s="822"/>
      <c r="UQ41" s="822"/>
      <c r="UR41" s="822"/>
      <c r="US41" s="822"/>
      <c r="UT41" s="822"/>
      <c r="UU41" s="822"/>
      <c r="UV41" s="822"/>
      <c r="UW41" s="822"/>
      <c r="UX41" s="822"/>
      <c r="UY41" s="822"/>
      <c r="UZ41" s="822"/>
      <c r="VA41" s="822"/>
      <c r="VB41" s="822"/>
      <c r="VC41" s="822"/>
      <c r="VD41" s="822"/>
      <c r="VE41" s="822"/>
      <c r="VF41" s="822"/>
      <c r="VG41" s="822"/>
      <c r="VH41" s="822"/>
      <c r="VI41" s="822"/>
      <c r="VJ41" s="822"/>
      <c r="VK41" s="822"/>
      <c r="VL41" s="822"/>
      <c r="VM41" s="822"/>
      <c r="VN41" s="822"/>
      <c r="VO41" s="822"/>
      <c r="VP41" s="822"/>
      <c r="VQ41" s="822"/>
      <c r="VR41" s="822"/>
      <c r="VS41" s="822"/>
      <c r="VT41" s="822"/>
      <c r="VU41" s="822"/>
      <c r="VV41" s="822"/>
      <c r="VW41" s="822"/>
      <c r="VX41" s="822"/>
      <c r="VY41" s="822"/>
      <c r="VZ41" s="822"/>
      <c r="WA41" s="822"/>
      <c r="WB41" s="822"/>
      <c r="WC41" s="822"/>
      <c r="WD41" s="822"/>
      <c r="WE41" s="822"/>
      <c r="WF41" s="822"/>
      <c r="WG41" s="822"/>
      <c r="WH41" s="822"/>
      <c r="WI41" s="822"/>
      <c r="WJ41" s="822"/>
      <c r="WK41" s="822"/>
      <c r="WL41" s="822"/>
      <c r="WM41" s="822"/>
      <c r="WN41" s="822"/>
      <c r="WO41" s="822"/>
      <c r="WP41" s="822"/>
      <c r="WQ41" s="822"/>
      <c r="WR41" s="822"/>
      <c r="WS41" s="822"/>
      <c r="WT41" s="822"/>
      <c r="WU41" s="822"/>
      <c r="WV41" s="822"/>
      <c r="WW41" s="822"/>
      <c r="WX41" s="822"/>
      <c r="WY41" s="822"/>
      <c r="WZ41" s="822"/>
      <c r="XA41" s="822"/>
      <c r="XB41" s="822"/>
      <c r="XC41" s="822"/>
      <c r="XD41" s="822"/>
      <c r="XE41" s="822"/>
      <c r="XF41" s="822"/>
      <c r="XG41" s="822"/>
      <c r="XH41" s="822"/>
      <c r="XI41" s="822"/>
      <c r="XJ41" s="822"/>
      <c r="XK41" s="822"/>
      <c r="XL41" s="822"/>
      <c r="XM41" s="822"/>
      <c r="XN41" s="822"/>
      <c r="XO41" s="822"/>
      <c r="XP41" s="822"/>
      <c r="XQ41" s="822"/>
      <c r="XR41" s="822"/>
      <c r="XS41" s="822"/>
      <c r="XT41" s="822"/>
      <c r="XU41" s="822"/>
      <c r="XV41" s="822"/>
      <c r="XW41" s="822"/>
      <c r="XX41" s="822"/>
      <c r="XY41" s="822"/>
      <c r="XZ41" s="822"/>
      <c r="YA41" s="822"/>
      <c r="YB41" s="822"/>
      <c r="YC41" s="822"/>
      <c r="YD41" s="822"/>
      <c r="YE41" s="822"/>
      <c r="YF41" s="822"/>
      <c r="YG41" s="822"/>
      <c r="YH41" s="822"/>
      <c r="YI41" s="822"/>
      <c r="YJ41" s="822"/>
      <c r="YK41" s="822"/>
      <c r="YL41" s="822"/>
      <c r="YM41" s="822"/>
      <c r="YN41" s="822"/>
      <c r="YO41" s="822"/>
      <c r="YP41" s="822"/>
      <c r="YQ41" s="822"/>
      <c r="YR41" s="822"/>
      <c r="YS41" s="822"/>
      <c r="YT41" s="822"/>
      <c r="YU41" s="822"/>
      <c r="YV41" s="822"/>
      <c r="YW41" s="822"/>
      <c r="YX41" s="822"/>
      <c r="YY41" s="822"/>
      <c r="YZ41" s="822"/>
      <c r="ZA41" s="822"/>
      <c r="ZB41" s="822"/>
      <c r="ZC41" s="822"/>
      <c r="ZD41" s="822"/>
      <c r="ZE41" s="822"/>
      <c r="ZF41" s="822"/>
      <c r="ZG41" s="822"/>
      <c r="ZH41" s="822"/>
      <c r="ZI41" s="822"/>
      <c r="ZJ41" s="822"/>
      <c r="ZK41" s="822"/>
      <c r="ZL41" s="822"/>
      <c r="ZM41" s="822"/>
      <c r="ZN41" s="822"/>
      <c r="ZO41" s="822"/>
      <c r="ZP41" s="822"/>
      <c r="ZQ41" s="822"/>
      <c r="ZR41" s="822"/>
      <c r="ZS41" s="822"/>
      <c r="ZT41" s="822"/>
      <c r="ZU41" s="822"/>
      <c r="ZV41" s="822"/>
      <c r="ZW41" s="822"/>
      <c r="ZX41" s="822"/>
      <c r="ZY41" s="822"/>
      <c r="ZZ41" s="822"/>
      <c r="AAA41" s="822"/>
      <c r="AAB41" s="822"/>
      <c r="AAC41" s="822"/>
      <c r="AAD41" s="822"/>
      <c r="AAE41" s="822"/>
      <c r="AAF41" s="822"/>
      <c r="AAG41" s="822"/>
      <c r="AAH41" s="822"/>
      <c r="AAI41" s="822"/>
      <c r="AAJ41" s="822"/>
      <c r="AAK41" s="822"/>
      <c r="AAL41" s="822"/>
      <c r="AAM41" s="822"/>
      <c r="AAN41" s="822"/>
      <c r="AAO41" s="822"/>
      <c r="AAP41" s="822"/>
      <c r="AAQ41" s="822"/>
      <c r="AAR41" s="822"/>
      <c r="AAS41" s="822"/>
      <c r="AAT41" s="822"/>
      <c r="AAU41" s="822"/>
      <c r="AAV41" s="822"/>
      <c r="AAW41" s="822"/>
      <c r="AAX41" s="822"/>
      <c r="AAY41" s="822"/>
      <c r="AAZ41" s="822"/>
      <c r="ABA41" s="822"/>
      <c r="ABB41" s="822"/>
      <c r="ABC41" s="822"/>
      <c r="ABD41" s="822"/>
      <c r="ABE41" s="822"/>
      <c r="ABF41" s="822"/>
      <c r="ABG41" s="822"/>
      <c r="ABH41" s="822"/>
      <c r="ABI41" s="822"/>
      <c r="ABJ41" s="822"/>
      <c r="ABK41" s="822"/>
      <c r="ABL41" s="822"/>
      <c r="ABM41" s="822"/>
      <c r="ABN41" s="822"/>
      <c r="ABO41" s="822"/>
      <c r="ABP41" s="822"/>
      <c r="ABQ41" s="822"/>
      <c r="ABR41" s="822"/>
      <c r="ABS41" s="822"/>
      <c r="ABT41" s="822"/>
      <c r="ABU41" s="822"/>
      <c r="ABV41" s="822"/>
      <c r="ABW41" s="822"/>
      <c r="ABX41" s="822"/>
      <c r="ABY41" s="822"/>
      <c r="ABZ41" s="822"/>
      <c r="ACA41" s="822"/>
      <c r="ACB41" s="822"/>
      <c r="ACC41" s="822"/>
      <c r="ACD41" s="822"/>
      <c r="ACE41" s="822"/>
      <c r="ACF41" s="822"/>
      <c r="ACG41" s="822"/>
      <c r="ACH41" s="822"/>
      <c r="ACI41" s="822"/>
      <c r="ACJ41" s="822"/>
      <c r="ACK41" s="822"/>
      <c r="ACL41" s="822"/>
      <c r="ACM41" s="822"/>
      <c r="ACN41" s="822"/>
      <c r="ACO41" s="822"/>
      <c r="ACP41" s="822"/>
      <c r="ACQ41" s="822"/>
      <c r="ACR41" s="822"/>
      <c r="ACS41" s="822"/>
      <c r="ACT41" s="822"/>
      <c r="ACU41" s="822"/>
      <c r="ACV41" s="822"/>
      <c r="ACW41" s="822"/>
      <c r="ACX41" s="822"/>
      <c r="ACY41" s="822"/>
      <c r="ACZ41" s="822"/>
      <c r="ADA41" s="822"/>
      <c r="ADB41" s="822"/>
      <c r="ADC41" s="822"/>
      <c r="ADD41" s="822"/>
      <c r="ADE41" s="822"/>
      <c r="ADF41" s="822"/>
      <c r="ADG41" s="822"/>
      <c r="ADH41" s="822"/>
      <c r="ADI41" s="822"/>
      <c r="ADJ41" s="822"/>
      <c r="ADK41" s="822"/>
      <c r="ADL41" s="822"/>
      <c r="ADM41" s="822"/>
      <c r="ADN41" s="822"/>
      <c r="ADO41" s="822"/>
      <c r="ADP41" s="822"/>
      <c r="ADQ41" s="822"/>
      <c r="ADR41" s="822"/>
      <c r="ADS41" s="822"/>
      <c r="ADT41" s="822"/>
      <c r="ADU41" s="822"/>
      <c r="ADV41" s="822"/>
      <c r="ADW41" s="822"/>
      <c r="ADX41" s="822"/>
      <c r="ADY41" s="822"/>
      <c r="ADZ41" s="822"/>
      <c r="AEA41" s="822"/>
      <c r="AEB41" s="822"/>
      <c r="AEC41" s="822"/>
      <c r="AED41" s="822"/>
      <c r="AEE41" s="822"/>
      <c r="AEF41" s="822"/>
      <c r="AEG41" s="822"/>
      <c r="AEH41" s="822"/>
      <c r="AEI41" s="822"/>
      <c r="AEJ41" s="822"/>
      <c r="AEK41" s="822"/>
      <c r="AEL41" s="822"/>
      <c r="AEM41" s="822"/>
      <c r="AEN41" s="822"/>
      <c r="AEO41" s="822"/>
      <c r="AEP41" s="822"/>
      <c r="AEQ41" s="822"/>
      <c r="AER41" s="822"/>
      <c r="AES41" s="822"/>
      <c r="AET41" s="822"/>
      <c r="AEU41" s="822"/>
      <c r="AEV41" s="822"/>
      <c r="AEW41" s="822"/>
      <c r="AEX41" s="822"/>
      <c r="AEY41" s="822"/>
      <c r="AEZ41" s="822"/>
      <c r="AFA41" s="822"/>
      <c r="AFB41" s="822"/>
      <c r="AFC41" s="822"/>
      <c r="AFD41" s="822"/>
      <c r="AFE41" s="822"/>
      <c r="AFF41" s="822"/>
      <c r="AFG41" s="822"/>
      <c r="AFH41" s="822"/>
      <c r="AFI41" s="822"/>
      <c r="AFJ41" s="822"/>
      <c r="AFK41" s="822"/>
      <c r="AFL41" s="822"/>
      <c r="AFM41" s="822"/>
      <c r="AFN41" s="822"/>
      <c r="AFO41" s="822"/>
      <c r="AFP41" s="822"/>
      <c r="AFQ41" s="822"/>
      <c r="AFR41" s="822"/>
      <c r="AFS41" s="822"/>
      <c r="AFT41" s="822"/>
      <c r="AFU41" s="822"/>
      <c r="AFV41" s="822"/>
      <c r="AFW41" s="822"/>
      <c r="AFX41" s="822"/>
      <c r="AFY41" s="822"/>
      <c r="AFZ41" s="822"/>
      <c r="AGA41" s="822"/>
      <c r="AGB41" s="822"/>
      <c r="AGC41" s="822"/>
      <c r="AGD41" s="822"/>
      <c r="AGE41" s="822"/>
      <c r="AGF41" s="822"/>
      <c r="AGG41" s="822"/>
      <c r="AGH41" s="822"/>
      <c r="AGI41" s="822"/>
      <c r="AGJ41" s="822"/>
      <c r="AGK41" s="822"/>
      <c r="AGL41" s="822"/>
      <c r="AGM41" s="822"/>
      <c r="AGN41" s="822"/>
      <c r="AGO41" s="822"/>
      <c r="AGP41" s="822"/>
      <c r="AGQ41" s="822"/>
      <c r="AGR41" s="822"/>
      <c r="AGS41" s="822"/>
      <c r="AGT41" s="822"/>
      <c r="AGU41" s="822"/>
      <c r="AGV41" s="822"/>
      <c r="AGW41" s="822"/>
      <c r="AGX41" s="822"/>
      <c r="AGY41" s="822"/>
      <c r="AGZ41" s="822"/>
      <c r="AHA41" s="822"/>
      <c r="AHB41" s="822"/>
      <c r="AHC41" s="822"/>
      <c r="AHD41" s="822"/>
      <c r="AHE41" s="822"/>
      <c r="AHF41" s="822"/>
      <c r="AHG41" s="822"/>
      <c r="AHH41" s="822"/>
      <c r="AHI41" s="822"/>
      <c r="AHJ41" s="822"/>
      <c r="AHK41" s="822"/>
      <c r="AHL41" s="822"/>
      <c r="AHM41" s="822"/>
      <c r="AHN41" s="822"/>
      <c r="AHO41" s="822"/>
      <c r="AHP41" s="822"/>
      <c r="AHQ41" s="822"/>
      <c r="AHR41" s="822"/>
      <c r="AHS41" s="822"/>
      <c r="AHT41" s="822"/>
      <c r="AHU41" s="822"/>
      <c r="AHV41" s="822"/>
      <c r="AHW41" s="822"/>
      <c r="AHX41" s="822"/>
      <c r="AHY41" s="822"/>
      <c r="AHZ41" s="822"/>
      <c r="AIA41" s="822"/>
      <c r="AIB41" s="822"/>
      <c r="AIC41" s="822"/>
      <c r="AID41" s="822"/>
      <c r="AIE41" s="822"/>
      <c r="AIF41" s="822"/>
      <c r="AIG41" s="822"/>
      <c r="AIH41" s="822"/>
      <c r="AII41" s="822"/>
      <c r="AIJ41" s="822"/>
      <c r="AIK41" s="822"/>
      <c r="AIL41" s="822"/>
      <c r="AIM41" s="822"/>
      <c r="AIN41" s="822"/>
      <c r="AIO41" s="822"/>
      <c r="AIP41" s="822"/>
      <c r="AIQ41" s="822"/>
      <c r="AIR41" s="822"/>
      <c r="AIS41" s="822"/>
      <c r="AIT41" s="822"/>
      <c r="AIU41" s="822"/>
      <c r="AIV41" s="822"/>
      <c r="AIW41" s="822"/>
      <c r="AIX41" s="822"/>
      <c r="AIY41" s="822"/>
      <c r="AIZ41" s="822"/>
      <c r="AJA41" s="822"/>
      <c r="AJB41" s="822"/>
      <c r="AJC41" s="822"/>
      <c r="AJD41" s="822"/>
      <c r="AJE41" s="822"/>
      <c r="AJF41" s="822"/>
      <c r="AJG41" s="822"/>
      <c r="AJH41" s="822"/>
      <c r="AJI41" s="822"/>
      <c r="AJJ41" s="822"/>
      <c r="AJK41" s="822"/>
      <c r="AJL41" s="822"/>
      <c r="AJM41" s="822"/>
      <c r="AJN41" s="822"/>
      <c r="AJO41" s="822"/>
      <c r="AJP41" s="822"/>
      <c r="AJQ41" s="822"/>
      <c r="AJR41" s="822"/>
      <c r="AJS41" s="822"/>
      <c r="AJT41" s="822"/>
      <c r="AJU41" s="822"/>
      <c r="AJV41" s="822"/>
      <c r="AJW41" s="822"/>
      <c r="AJX41" s="822"/>
      <c r="AJY41" s="822"/>
      <c r="AJZ41" s="822"/>
      <c r="AKA41" s="822"/>
      <c r="AKB41" s="822"/>
      <c r="AKC41" s="822"/>
      <c r="AKD41" s="822"/>
      <c r="AKE41" s="822"/>
      <c r="AKF41" s="822"/>
      <c r="AKG41" s="822"/>
      <c r="AKH41" s="822"/>
      <c r="AKI41" s="822"/>
      <c r="AKJ41" s="822"/>
      <c r="AKK41" s="822"/>
      <c r="AKL41" s="822"/>
      <c r="AKM41" s="822"/>
      <c r="AKN41" s="822"/>
      <c r="AKO41" s="822"/>
      <c r="AKP41" s="822"/>
      <c r="AKQ41" s="822"/>
      <c r="AKR41" s="822"/>
      <c r="AKS41" s="822"/>
      <c r="AKT41" s="822"/>
      <c r="AKU41" s="822"/>
      <c r="AKV41" s="822"/>
      <c r="AKW41" s="822"/>
      <c r="AKX41" s="822"/>
      <c r="AKY41" s="822"/>
      <c r="AKZ41" s="822"/>
      <c r="ALA41" s="822"/>
      <c r="ALB41" s="822"/>
      <c r="ALC41" s="822"/>
      <c r="ALD41" s="822"/>
      <c r="ALE41" s="822"/>
      <c r="ALF41" s="822"/>
      <c r="ALG41" s="822"/>
      <c r="ALH41" s="822"/>
      <c r="ALI41" s="822"/>
      <c r="ALJ41" s="822"/>
      <c r="ALK41" s="822"/>
      <c r="ALL41" s="822"/>
      <c r="ALM41" s="822"/>
      <c r="ALN41" s="822"/>
      <c r="ALO41" s="822"/>
      <c r="ALP41" s="822"/>
      <c r="ALQ41" s="822"/>
      <c r="ALR41" s="822"/>
      <c r="ALS41" s="822"/>
      <c r="ALT41" s="822"/>
      <c r="ALU41" s="822"/>
      <c r="ALV41" s="822"/>
      <c r="ALW41" s="822"/>
      <c r="ALX41" s="822"/>
      <c r="ALY41" s="822"/>
      <c r="ALZ41" s="822"/>
      <c r="AMA41" s="822"/>
      <c r="AMB41" s="822"/>
      <c r="AMC41" s="822"/>
      <c r="AMD41" s="822"/>
      <c r="AME41" s="822"/>
      <c r="AMF41" s="822"/>
      <c r="AMG41" s="822"/>
      <c r="AMH41" s="822"/>
      <c r="AMI41" s="822"/>
      <c r="AMJ41" s="822"/>
      <c r="AMK41" s="822"/>
      <c r="AML41" s="822"/>
      <c r="AMM41" s="822"/>
      <c r="AMN41" s="822"/>
      <c r="AMO41" s="822"/>
      <c r="AMP41" s="822"/>
      <c r="AMQ41" s="822"/>
      <c r="AMR41" s="822"/>
      <c r="AMS41" s="822"/>
      <c r="AMT41" s="822"/>
      <c r="AMU41" s="822"/>
      <c r="AMV41" s="822"/>
      <c r="AMW41" s="822"/>
      <c r="AMX41" s="822"/>
      <c r="AMY41" s="822"/>
      <c r="AMZ41" s="822"/>
      <c r="ANA41" s="822"/>
      <c r="ANB41" s="822"/>
      <c r="ANC41" s="822"/>
      <c r="AND41" s="822"/>
      <c r="ANE41" s="822"/>
      <c r="ANF41" s="822"/>
      <c r="ANG41" s="822"/>
      <c r="ANH41" s="822"/>
      <c r="ANI41" s="822"/>
      <c r="ANJ41" s="822"/>
      <c r="ANK41" s="822"/>
      <c r="ANL41" s="822"/>
      <c r="ANM41" s="822"/>
      <c r="ANN41" s="822"/>
      <c r="ANO41" s="822"/>
      <c r="ANP41" s="822"/>
      <c r="ANQ41" s="822"/>
      <c r="ANR41" s="822"/>
      <c r="ANS41" s="822"/>
      <c r="ANT41" s="822"/>
      <c r="ANU41" s="822"/>
      <c r="ANV41" s="822"/>
      <c r="ANW41" s="822"/>
      <c r="ANX41" s="822"/>
      <c r="ANY41" s="822"/>
      <c r="ANZ41" s="822"/>
      <c r="AOA41" s="822"/>
      <c r="AOB41" s="822"/>
      <c r="AOC41" s="822"/>
      <c r="AOD41" s="822"/>
      <c r="AOE41" s="822"/>
      <c r="AOF41" s="822"/>
      <c r="AOG41" s="822"/>
      <c r="AOH41" s="822"/>
      <c r="AOI41" s="822"/>
      <c r="AOJ41" s="822"/>
      <c r="AOK41" s="822"/>
      <c r="AOL41" s="822"/>
      <c r="AOM41" s="822"/>
      <c r="AON41" s="822"/>
      <c r="AOO41" s="822"/>
      <c r="AOP41" s="822"/>
      <c r="AOQ41" s="822"/>
      <c r="AOR41" s="822"/>
      <c r="AOS41" s="822"/>
      <c r="AOT41" s="822"/>
      <c r="AOU41" s="822"/>
      <c r="AOV41" s="822"/>
      <c r="AOW41" s="822"/>
      <c r="AOX41" s="822"/>
      <c r="AOY41" s="822"/>
      <c r="AOZ41" s="822"/>
      <c r="APA41" s="822"/>
      <c r="APB41" s="822"/>
      <c r="APC41" s="822"/>
      <c r="APD41" s="822"/>
      <c r="APE41" s="822"/>
      <c r="APF41" s="822"/>
      <c r="APG41" s="822"/>
      <c r="APH41" s="822"/>
      <c r="API41" s="822"/>
      <c r="APJ41" s="822"/>
      <c r="APK41" s="822"/>
      <c r="APL41" s="822"/>
      <c r="APM41" s="822"/>
      <c r="APN41" s="822"/>
      <c r="APO41" s="822"/>
      <c r="APP41" s="822"/>
      <c r="APQ41" s="822"/>
      <c r="APR41" s="822"/>
      <c r="APS41" s="822"/>
      <c r="APT41" s="822"/>
      <c r="APU41" s="822"/>
      <c r="APV41" s="822"/>
      <c r="APW41" s="822"/>
      <c r="APX41" s="822"/>
      <c r="APY41" s="822"/>
      <c r="APZ41" s="822"/>
      <c r="AQA41" s="822"/>
      <c r="AQB41" s="822"/>
      <c r="AQC41" s="822"/>
      <c r="AQD41" s="822"/>
      <c r="AQE41" s="822"/>
      <c r="AQF41" s="822"/>
      <c r="AQG41" s="822"/>
      <c r="AQH41" s="822"/>
      <c r="AQI41" s="822"/>
      <c r="AQJ41" s="822"/>
      <c r="AQK41" s="822"/>
      <c r="AQL41" s="822"/>
      <c r="AQM41" s="822"/>
      <c r="AQN41" s="822"/>
      <c r="AQO41" s="822"/>
      <c r="AQP41" s="822"/>
      <c r="AQQ41" s="822"/>
      <c r="AQR41" s="822"/>
      <c r="AQS41" s="822"/>
      <c r="AQT41" s="822"/>
      <c r="AQU41" s="822"/>
      <c r="AQV41" s="822"/>
      <c r="AQW41" s="822"/>
      <c r="AQX41" s="822"/>
      <c r="AQY41" s="822"/>
      <c r="AQZ41" s="822"/>
      <c r="ARA41" s="822"/>
      <c r="ARB41" s="822"/>
      <c r="ARC41" s="822"/>
      <c r="ARD41" s="822"/>
      <c r="ARE41" s="822"/>
      <c r="ARF41" s="822"/>
      <c r="ARG41" s="822"/>
      <c r="ARH41" s="822"/>
      <c r="ARI41" s="822"/>
      <c r="ARJ41" s="822"/>
      <c r="ARK41" s="822"/>
      <c r="ARL41" s="822"/>
      <c r="ARM41" s="822"/>
      <c r="ARN41" s="822"/>
      <c r="ARO41" s="822"/>
      <c r="ARP41" s="822"/>
      <c r="ARQ41" s="822"/>
      <c r="ARR41" s="822"/>
      <c r="ARS41" s="822"/>
      <c r="ART41" s="822"/>
      <c r="ARU41" s="822"/>
      <c r="ARV41" s="822"/>
      <c r="ARW41" s="822"/>
      <c r="ARX41" s="822"/>
      <c r="ARY41" s="822"/>
      <c r="ARZ41" s="822"/>
      <c r="ASA41" s="822"/>
      <c r="ASB41" s="822"/>
      <c r="ASC41" s="822"/>
      <c r="ASD41" s="822"/>
      <c r="ASE41" s="822"/>
      <c r="ASF41" s="822"/>
      <c r="ASG41" s="822"/>
      <c r="ASH41" s="822"/>
      <c r="ASI41" s="822"/>
      <c r="ASJ41" s="822"/>
      <c r="ASK41" s="822"/>
      <c r="ASL41" s="822"/>
      <c r="ASM41" s="822"/>
      <c r="ASN41" s="822"/>
      <c r="ASO41" s="822"/>
      <c r="ASP41" s="822"/>
      <c r="ASQ41" s="822"/>
      <c r="ASR41" s="822"/>
      <c r="ASS41" s="822"/>
      <c r="AST41" s="822"/>
      <c r="ASU41" s="822"/>
      <c r="ASV41" s="822"/>
      <c r="ASW41" s="822"/>
      <c r="ASX41" s="822"/>
      <c r="ASY41" s="822"/>
      <c r="ASZ41" s="822"/>
      <c r="ATA41" s="822"/>
      <c r="ATB41" s="822"/>
      <c r="ATC41" s="822"/>
      <c r="ATD41" s="822"/>
      <c r="ATE41" s="822"/>
      <c r="ATF41" s="822"/>
      <c r="ATG41" s="822"/>
      <c r="ATH41" s="822"/>
      <c r="ATI41" s="822"/>
      <c r="ATJ41" s="822"/>
      <c r="ATK41" s="822"/>
      <c r="ATL41" s="822"/>
      <c r="ATM41" s="822"/>
      <c r="ATN41" s="822"/>
      <c r="ATO41" s="822"/>
      <c r="ATP41" s="822"/>
      <c r="ATQ41" s="822"/>
      <c r="ATR41" s="822"/>
      <c r="ATS41" s="822"/>
      <c r="ATT41" s="822"/>
      <c r="ATU41" s="822"/>
      <c r="ATV41" s="822"/>
      <c r="ATW41" s="822"/>
      <c r="ATX41" s="822"/>
      <c r="ATY41" s="822"/>
      <c r="ATZ41" s="822"/>
      <c r="AUA41" s="822"/>
      <c r="AUB41" s="822"/>
      <c r="AUC41" s="822"/>
      <c r="AUD41" s="822"/>
      <c r="AUE41" s="822"/>
      <c r="AUF41" s="822"/>
      <c r="AUG41" s="822"/>
      <c r="AUH41" s="822"/>
      <c r="AUI41" s="822"/>
      <c r="AUJ41" s="822"/>
      <c r="AUK41" s="822"/>
      <c r="AUL41" s="822"/>
      <c r="AUM41" s="822"/>
      <c r="AUN41" s="822"/>
      <c r="AUO41" s="822"/>
      <c r="AUP41" s="822"/>
      <c r="AUQ41" s="822"/>
      <c r="AUR41" s="822"/>
      <c r="AUS41" s="822"/>
      <c r="AUT41" s="822"/>
      <c r="AUU41" s="822"/>
      <c r="AUV41" s="822"/>
      <c r="AUW41" s="822"/>
      <c r="AUX41" s="822"/>
      <c r="AUY41" s="822"/>
      <c r="AUZ41" s="822"/>
      <c r="AVA41" s="822"/>
      <c r="AVB41" s="822"/>
      <c r="AVC41" s="822"/>
      <c r="AVD41" s="822"/>
      <c r="AVE41" s="822"/>
      <c r="AVF41" s="822"/>
      <c r="AVG41" s="822"/>
      <c r="AVH41" s="822"/>
      <c r="AVI41" s="822"/>
      <c r="AVJ41" s="822"/>
      <c r="AVK41" s="822"/>
      <c r="AVL41" s="822"/>
      <c r="AVM41" s="822"/>
      <c r="AVN41" s="822"/>
      <c r="AVO41" s="822"/>
      <c r="AVP41" s="822"/>
      <c r="AVQ41" s="822"/>
      <c r="AVR41" s="822"/>
      <c r="AVS41" s="822"/>
      <c r="AVT41" s="822"/>
      <c r="AVU41" s="822"/>
      <c r="AVV41" s="822"/>
      <c r="AVW41" s="822"/>
      <c r="AVX41" s="822"/>
      <c r="AVY41" s="822"/>
      <c r="AVZ41" s="822"/>
      <c r="AWA41" s="822"/>
      <c r="AWB41" s="822"/>
      <c r="AWC41" s="822"/>
      <c r="AWD41" s="822"/>
      <c r="AWE41" s="822"/>
      <c r="AWF41" s="822"/>
      <c r="AWG41" s="822"/>
      <c r="AWH41" s="822"/>
      <c r="AWI41" s="822"/>
      <c r="AWJ41" s="822"/>
      <c r="AWK41" s="822"/>
      <c r="AWL41" s="822"/>
      <c r="AWM41" s="822"/>
      <c r="AWN41" s="822"/>
      <c r="AWO41" s="822"/>
      <c r="AWP41" s="822"/>
      <c r="AWQ41" s="822"/>
      <c r="AWR41" s="822"/>
      <c r="AWS41" s="822"/>
      <c r="AWT41" s="822"/>
      <c r="AWU41" s="822"/>
      <c r="AWV41" s="822"/>
      <c r="AWW41" s="822"/>
      <c r="AWX41" s="822"/>
      <c r="AWY41" s="822"/>
      <c r="AWZ41" s="822"/>
      <c r="AXA41" s="822"/>
      <c r="AXB41" s="822"/>
      <c r="AXC41" s="822"/>
      <c r="AXD41" s="822"/>
      <c r="AXE41" s="822"/>
      <c r="AXF41" s="822"/>
      <c r="AXG41" s="822"/>
      <c r="AXH41" s="822"/>
      <c r="AXI41" s="822"/>
      <c r="AXJ41" s="822"/>
      <c r="AXK41" s="822"/>
      <c r="AXL41" s="822"/>
      <c r="AXM41" s="822"/>
      <c r="AXN41" s="822"/>
      <c r="AXO41" s="822"/>
      <c r="AXP41" s="822"/>
      <c r="AXQ41" s="822"/>
      <c r="AXR41" s="822"/>
      <c r="AXS41" s="822"/>
      <c r="AXT41" s="822"/>
      <c r="AXU41" s="822"/>
      <c r="AXV41" s="822"/>
      <c r="AXW41" s="822"/>
      <c r="AXX41" s="822"/>
      <c r="AXY41" s="822"/>
      <c r="AXZ41" s="822"/>
      <c r="AYA41" s="822"/>
      <c r="AYB41" s="822"/>
      <c r="AYC41" s="822"/>
      <c r="AYD41" s="822"/>
      <c r="AYE41" s="822"/>
      <c r="AYF41" s="822"/>
      <c r="AYG41" s="822"/>
      <c r="AYH41" s="822"/>
      <c r="AYI41" s="822"/>
      <c r="AYJ41" s="822"/>
      <c r="AYK41" s="822"/>
      <c r="AYL41" s="822"/>
      <c r="AYM41" s="822"/>
      <c r="AYN41" s="822"/>
      <c r="AYO41" s="822"/>
      <c r="AYP41" s="822"/>
      <c r="AYQ41" s="822"/>
      <c r="AYR41" s="822"/>
      <c r="AYS41" s="822"/>
      <c r="AYT41" s="822"/>
      <c r="AYU41" s="822"/>
      <c r="AYV41" s="822"/>
      <c r="AYW41" s="822"/>
      <c r="AYX41" s="822"/>
      <c r="AYY41" s="822"/>
      <c r="AYZ41" s="822"/>
      <c r="AZA41" s="822"/>
      <c r="AZB41" s="822"/>
      <c r="AZC41" s="822"/>
      <c r="AZD41" s="822"/>
      <c r="AZE41" s="822"/>
      <c r="AZF41" s="822"/>
      <c r="AZG41" s="822"/>
      <c r="AZH41" s="822"/>
      <c r="AZI41" s="822"/>
      <c r="AZJ41" s="822"/>
      <c r="AZK41" s="822"/>
      <c r="AZL41" s="822"/>
      <c r="AZM41" s="822"/>
      <c r="AZN41" s="822"/>
      <c r="AZO41" s="822"/>
      <c r="AZP41" s="822"/>
      <c r="AZQ41" s="822"/>
      <c r="AZR41" s="822"/>
      <c r="AZS41" s="822"/>
      <c r="AZT41" s="822"/>
      <c r="AZU41" s="822"/>
      <c r="AZV41" s="822"/>
      <c r="AZW41" s="822"/>
      <c r="AZX41" s="822"/>
      <c r="AZY41" s="822"/>
      <c r="AZZ41" s="822"/>
      <c r="BAA41" s="822"/>
      <c r="BAB41" s="822"/>
      <c r="BAC41" s="822"/>
      <c r="BAD41" s="822"/>
      <c r="BAE41" s="822"/>
      <c r="BAF41" s="822"/>
      <c r="BAG41" s="822"/>
      <c r="BAH41" s="822"/>
      <c r="BAI41" s="822"/>
      <c r="BAJ41" s="822"/>
      <c r="BAK41" s="822"/>
      <c r="BAL41" s="822"/>
      <c r="BAM41" s="822"/>
      <c r="BAN41" s="822"/>
      <c r="BAO41" s="822"/>
      <c r="BAP41" s="822"/>
      <c r="BAQ41" s="822"/>
      <c r="BAR41" s="822"/>
      <c r="BAS41" s="822"/>
      <c r="BAT41" s="822"/>
      <c r="BAU41" s="822"/>
      <c r="BAV41" s="822"/>
      <c r="BAW41" s="822"/>
      <c r="BAX41" s="822"/>
      <c r="BAY41" s="822"/>
      <c r="BAZ41" s="822"/>
      <c r="BBA41" s="822"/>
      <c r="BBB41" s="822"/>
      <c r="BBC41" s="822"/>
      <c r="BBD41" s="822"/>
      <c r="BBE41" s="822"/>
      <c r="BBF41" s="822"/>
      <c r="BBG41" s="822"/>
      <c r="BBH41" s="822"/>
      <c r="BBI41" s="822"/>
      <c r="BBJ41" s="822"/>
      <c r="BBK41" s="822"/>
      <c r="BBL41" s="822"/>
      <c r="BBM41" s="822"/>
      <c r="BBN41" s="822"/>
      <c r="BBO41" s="822"/>
      <c r="BBP41" s="822"/>
      <c r="BBQ41" s="822"/>
      <c r="BBR41" s="822"/>
      <c r="BBS41" s="822"/>
      <c r="BBT41" s="822"/>
      <c r="BBU41" s="822"/>
      <c r="BBV41" s="822"/>
      <c r="BBW41" s="822"/>
      <c r="BBX41" s="822"/>
      <c r="BBY41" s="822"/>
      <c r="BBZ41" s="822"/>
      <c r="BCA41" s="822"/>
      <c r="BCB41" s="822"/>
      <c r="BCC41" s="822"/>
      <c r="BCD41" s="822"/>
      <c r="BCE41" s="822"/>
      <c r="BCF41" s="822"/>
      <c r="BCG41" s="822"/>
      <c r="BCH41" s="822"/>
      <c r="BCI41" s="822"/>
      <c r="BCJ41" s="822"/>
      <c r="BCK41" s="822"/>
      <c r="BCL41" s="822"/>
      <c r="BCM41" s="822"/>
      <c r="BCN41" s="822"/>
      <c r="BCO41" s="822"/>
      <c r="BCP41" s="822"/>
      <c r="BCQ41" s="822"/>
      <c r="BCR41" s="822"/>
      <c r="BCS41" s="822"/>
      <c r="BCT41" s="822"/>
      <c r="BCU41" s="822"/>
      <c r="BCV41" s="822"/>
      <c r="BCW41" s="822"/>
      <c r="BCX41" s="822"/>
      <c r="BCY41" s="822"/>
      <c r="BCZ41" s="822"/>
      <c r="BDA41" s="822"/>
      <c r="BDB41" s="822"/>
      <c r="BDC41" s="822"/>
      <c r="BDD41" s="822"/>
      <c r="BDE41" s="822"/>
      <c r="BDF41" s="822"/>
      <c r="BDG41" s="822"/>
      <c r="BDH41" s="822"/>
      <c r="BDI41" s="822"/>
      <c r="BDJ41" s="822"/>
      <c r="BDK41" s="822"/>
      <c r="BDL41" s="822"/>
      <c r="BDM41" s="822"/>
      <c r="BDN41" s="822"/>
      <c r="BDO41" s="822"/>
      <c r="BDP41" s="822"/>
      <c r="BDQ41" s="822"/>
      <c r="BDR41" s="822"/>
      <c r="BDS41" s="822"/>
      <c r="BDT41" s="822"/>
      <c r="BDU41" s="822"/>
      <c r="BDV41" s="822"/>
      <c r="BDW41" s="822"/>
      <c r="BDX41" s="822"/>
      <c r="BDY41" s="822"/>
      <c r="BDZ41" s="822"/>
      <c r="BEA41" s="822"/>
      <c r="BEB41" s="822"/>
      <c r="BEC41" s="822"/>
      <c r="BED41" s="822"/>
      <c r="BEE41" s="822"/>
      <c r="BEF41" s="822"/>
      <c r="BEG41" s="822"/>
      <c r="BEH41" s="822"/>
      <c r="BEI41" s="822"/>
      <c r="BEJ41" s="822"/>
      <c r="BEK41" s="822"/>
      <c r="BEL41" s="822"/>
      <c r="BEM41" s="822"/>
      <c r="BEN41" s="822"/>
      <c r="BEO41" s="822"/>
      <c r="BEP41" s="822"/>
      <c r="BEQ41" s="822"/>
      <c r="BER41" s="822"/>
      <c r="BES41" s="822"/>
      <c r="BET41" s="822"/>
      <c r="BEU41" s="822"/>
      <c r="BEV41" s="822"/>
      <c r="BEW41" s="822"/>
      <c r="BEX41" s="822"/>
      <c r="BEY41" s="822"/>
      <c r="BEZ41" s="822"/>
      <c r="BFA41" s="822"/>
      <c r="BFB41" s="822"/>
      <c r="BFC41" s="822"/>
      <c r="BFD41" s="822"/>
      <c r="BFE41" s="822"/>
      <c r="BFF41" s="822"/>
      <c r="BFG41" s="822"/>
      <c r="BFH41" s="822"/>
      <c r="BFI41" s="822"/>
      <c r="BFJ41" s="822"/>
      <c r="BFK41" s="822"/>
      <c r="BFL41" s="822"/>
      <c r="BFM41" s="822"/>
      <c r="BFN41" s="822"/>
      <c r="BFO41" s="822"/>
      <c r="BFP41" s="822"/>
      <c r="BFQ41" s="822"/>
      <c r="BFR41" s="822"/>
      <c r="BFS41" s="822"/>
      <c r="BFT41" s="822"/>
      <c r="BFU41" s="822"/>
      <c r="BFV41" s="822"/>
      <c r="BFW41" s="822"/>
      <c r="BFX41" s="822"/>
      <c r="BFY41" s="822"/>
      <c r="BFZ41" s="822"/>
      <c r="BGA41" s="822"/>
      <c r="BGB41" s="822"/>
      <c r="BGC41" s="822"/>
      <c r="BGD41" s="822"/>
      <c r="BGE41" s="822"/>
      <c r="BGF41" s="822"/>
      <c r="BGG41" s="822"/>
      <c r="BGH41" s="822"/>
      <c r="BGI41" s="822"/>
      <c r="BGJ41" s="822"/>
      <c r="BGK41" s="822"/>
      <c r="BGL41" s="822"/>
      <c r="BGM41" s="822"/>
      <c r="BGN41" s="822"/>
      <c r="BGO41" s="822"/>
      <c r="BGP41" s="822"/>
      <c r="BGQ41" s="822"/>
      <c r="BGR41" s="822"/>
      <c r="BGS41" s="822"/>
      <c r="BGT41" s="822"/>
      <c r="BGU41" s="822"/>
      <c r="BGV41" s="822"/>
      <c r="BGW41" s="822"/>
      <c r="BGX41" s="822"/>
      <c r="BGY41" s="822"/>
      <c r="BGZ41" s="822"/>
      <c r="BHA41" s="822"/>
      <c r="BHB41" s="822"/>
      <c r="BHC41" s="822"/>
      <c r="BHD41" s="822"/>
      <c r="BHE41" s="822"/>
      <c r="BHF41" s="822"/>
      <c r="BHG41" s="822"/>
      <c r="BHH41" s="822"/>
      <c r="BHI41" s="822"/>
      <c r="BHJ41" s="822"/>
      <c r="BHK41" s="822"/>
      <c r="BHL41" s="822"/>
      <c r="BHM41" s="822"/>
      <c r="BHN41" s="822"/>
      <c r="BHO41" s="822"/>
      <c r="BHP41" s="822"/>
      <c r="BHQ41" s="822"/>
      <c r="BHR41" s="822"/>
      <c r="BHS41" s="822"/>
      <c r="BHT41" s="822"/>
      <c r="BHU41" s="822"/>
      <c r="BHV41" s="822"/>
      <c r="BHW41" s="822"/>
      <c r="BHX41" s="822"/>
      <c r="BHY41" s="822"/>
      <c r="BHZ41" s="822"/>
      <c r="BIA41" s="822"/>
      <c r="BIB41" s="822"/>
      <c r="BIC41" s="822"/>
      <c r="BID41" s="822"/>
      <c r="BIE41" s="822"/>
      <c r="BIF41" s="822"/>
      <c r="BIG41" s="822"/>
      <c r="BIH41" s="822"/>
      <c r="BII41" s="822"/>
      <c r="BIJ41" s="822"/>
      <c r="BIK41" s="822"/>
      <c r="BIL41" s="822"/>
      <c r="BIM41" s="822"/>
      <c r="BIN41" s="822"/>
      <c r="BIO41" s="822"/>
      <c r="BIP41" s="822"/>
      <c r="BIQ41" s="822"/>
      <c r="BIR41" s="822"/>
      <c r="BIS41" s="822"/>
      <c r="BIT41" s="822"/>
      <c r="BIU41" s="822"/>
      <c r="BIV41" s="822"/>
      <c r="BIW41" s="822"/>
      <c r="BIX41" s="822"/>
      <c r="BIY41" s="822"/>
      <c r="BIZ41" s="822"/>
      <c r="BJA41" s="822"/>
      <c r="BJB41" s="822"/>
      <c r="BJC41" s="822"/>
      <c r="BJD41" s="822"/>
      <c r="BJE41" s="822"/>
      <c r="BJF41" s="822"/>
      <c r="BJG41" s="822"/>
      <c r="BJH41" s="822"/>
      <c r="BJI41" s="822"/>
      <c r="BJJ41" s="822"/>
      <c r="BJK41" s="822"/>
      <c r="BJL41" s="822"/>
      <c r="BJM41" s="822"/>
      <c r="BJN41" s="822"/>
      <c r="BJO41" s="822"/>
      <c r="BJP41" s="822"/>
      <c r="BJQ41" s="822"/>
      <c r="BJR41" s="822"/>
      <c r="BJS41" s="822"/>
      <c r="BJT41" s="822"/>
      <c r="BJU41" s="822"/>
      <c r="BJV41" s="822"/>
      <c r="BJW41" s="822"/>
      <c r="BJX41" s="822"/>
      <c r="BJY41" s="822"/>
      <c r="BJZ41" s="822"/>
      <c r="BKA41" s="822"/>
      <c r="BKB41" s="822"/>
      <c r="BKC41" s="822"/>
      <c r="BKD41" s="822"/>
      <c r="BKE41" s="822"/>
      <c r="BKF41" s="822"/>
      <c r="BKG41" s="822"/>
      <c r="BKH41" s="822"/>
      <c r="BKI41" s="822"/>
      <c r="BKJ41" s="822"/>
      <c r="BKK41" s="822"/>
      <c r="BKL41" s="822"/>
      <c r="BKM41" s="822"/>
      <c r="BKN41" s="822"/>
      <c r="BKO41" s="822"/>
      <c r="BKP41" s="822"/>
      <c r="BKQ41" s="822"/>
      <c r="BKR41" s="822"/>
      <c r="BKS41" s="822"/>
      <c r="BKT41" s="822"/>
      <c r="BKU41" s="822"/>
      <c r="BKV41" s="822"/>
      <c r="BKW41" s="822"/>
      <c r="BKX41" s="822"/>
      <c r="BKY41" s="822"/>
      <c r="BKZ41" s="822"/>
      <c r="BLA41" s="822"/>
      <c r="BLB41" s="822"/>
      <c r="BLC41" s="822"/>
      <c r="BLD41" s="822"/>
      <c r="BLE41" s="822"/>
      <c r="BLF41" s="822"/>
      <c r="BLG41" s="822"/>
      <c r="BLH41" s="822"/>
      <c r="BLI41" s="822"/>
      <c r="BLJ41" s="822"/>
      <c r="BLK41" s="822"/>
      <c r="BLL41" s="822"/>
      <c r="BLM41" s="822"/>
      <c r="BLN41" s="822"/>
      <c r="BLO41" s="822"/>
      <c r="BLP41" s="822"/>
      <c r="BLQ41" s="822"/>
      <c r="BLR41" s="822"/>
      <c r="BLS41" s="822"/>
      <c r="BLT41" s="822"/>
      <c r="BLU41" s="822"/>
      <c r="BLV41" s="822"/>
      <c r="BLW41" s="822"/>
      <c r="BLX41" s="822"/>
      <c r="BLY41" s="822"/>
      <c r="BLZ41" s="822"/>
      <c r="BMA41" s="822"/>
      <c r="BMB41" s="822"/>
      <c r="BMC41" s="822"/>
      <c r="BMD41" s="822"/>
      <c r="BME41" s="822"/>
      <c r="BMF41" s="822"/>
      <c r="BMG41" s="822"/>
      <c r="BMH41" s="822"/>
      <c r="BMI41" s="822"/>
      <c r="BMJ41" s="822"/>
      <c r="BMK41" s="822"/>
      <c r="BML41" s="822"/>
      <c r="BMM41" s="822"/>
      <c r="BMN41" s="822"/>
      <c r="BMO41" s="822"/>
      <c r="BMP41" s="822"/>
      <c r="BMQ41" s="822"/>
      <c r="BMR41" s="822"/>
      <c r="BMS41" s="822"/>
      <c r="BMT41" s="822"/>
      <c r="BMU41" s="822"/>
      <c r="BMV41" s="822"/>
      <c r="BMW41" s="822"/>
      <c r="BMX41" s="822"/>
      <c r="BMY41" s="822"/>
      <c r="BMZ41" s="822"/>
      <c r="BNA41" s="822"/>
      <c r="BNB41" s="822"/>
      <c r="BNC41" s="822"/>
      <c r="BND41" s="822"/>
      <c r="BNE41" s="822"/>
      <c r="BNF41" s="822"/>
      <c r="BNG41" s="822"/>
      <c r="BNH41" s="822"/>
      <c r="BNI41" s="822"/>
      <c r="BNJ41" s="822"/>
      <c r="BNK41" s="822"/>
      <c r="BNL41" s="822"/>
      <c r="BNM41" s="822"/>
      <c r="BNN41" s="822"/>
      <c r="BNO41" s="822"/>
      <c r="BNP41" s="822"/>
      <c r="BNQ41" s="822"/>
      <c r="BNR41" s="822"/>
      <c r="BNS41" s="822"/>
      <c r="BNT41" s="822"/>
      <c r="BNU41" s="822"/>
      <c r="BNV41" s="822"/>
      <c r="BNW41" s="822"/>
      <c r="BNX41" s="822"/>
      <c r="BNY41" s="822"/>
      <c r="BNZ41" s="822"/>
      <c r="BOA41" s="822"/>
      <c r="BOB41" s="822"/>
      <c r="BOC41" s="822"/>
      <c r="BOD41" s="822"/>
      <c r="BOE41" s="822"/>
      <c r="BOF41" s="822"/>
      <c r="BOG41" s="822"/>
      <c r="BOH41" s="822"/>
      <c r="BOI41" s="822"/>
      <c r="BOJ41" s="822"/>
      <c r="BOK41" s="822"/>
      <c r="BOL41" s="822"/>
      <c r="BOM41" s="822"/>
      <c r="BON41" s="822"/>
      <c r="BOO41" s="822"/>
      <c r="BOP41" s="822"/>
      <c r="BOQ41" s="822"/>
      <c r="BOR41" s="822"/>
      <c r="BOS41" s="822"/>
      <c r="BOT41" s="822"/>
      <c r="BOU41" s="822"/>
      <c r="BOV41" s="822"/>
      <c r="BOW41" s="822"/>
      <c r="BOX41" s="822"/>
      <c r="BOY41" s="822"/>
      <c r="BOZ41" s="822"/>
      <c r="BPA41" s="822"/>
      <c r="BPB41" s="822"/>
      <c r="BPC41" s="822"/>
      <c r="BPD41" s="822"/>
      <c r="BPE41" s="822"/>
      <c r="BPF41" s="822"/>
      <c r="BPG41" s="822"/>
      <c r="BPH41" s="822"/>
      <c r="BPI41" s="822"/>
      <c r="BPJ41" s="822"/>
      <c r="BPK41" s="822"/>
      <c r="BPL41" s="822"/>
      <c r="BPM41" s="822"/>
      <c r="BPN41" s="822"/>
      <c r="BPO41" s="822"/>
      <c r="BPP41" s="822"/>
      <c r="BPQ41" s="822"/>
      <c r="BPR41" s="822"/>
      <c r="BPS41" s="822"/>
      <c r="BPT41" s="822"/>
      <c r="BPU41" s="822"/>
      <c r="BPV41" s="822"/>
      <c r="BPW41" s="822"/>
      <c r="BPX41" s="822"/>
      <c r="BPY41" s="822"/>
      <c r="BPZ41" s="822"/>
      <c r="BQA41" s="822"/>
      <c r="BQB41" s="822"/>
      <c r="BQC41" s="822"/>
      <c r="BQD41" s="822"/>
      <c r="BQE41" s="822"/>
      <c r="BQF41" s="822"/>
      <c r="BQG41" s="822"/>
      <c r="BQH41" s="822"/>
      <c r="BQI41" s="822"/>
      <c r="BQJ41" s="822"/>
      <c r="BQK41" s="822"/>
      <c r="BQL41" s="822"/>
      <c r="BQM41" s="822"/>
      <c r="BQN41" s="822"/>
      <c r="BQO41" s="822"/>
      <c r="BQP41" s="822"/>
      <c r="BQQ41" s="822"/>
      <c r="BQR41" s="822"/>
      <c r="BQS41" s="822"/>
      <c r="BQT41" s="822"/>
      <c r="BQU41" s="822"/>
      <c r="BQV41" s="822"/>
      <c r="BQW41" s="822"/>
      <c r="BQX41" s="822"/>
      <c r="BQY41" s="822"/>
      <c r="BQZ41" s="822"/>
      <c r="BRA41" s="822"/>
      <c r="BRB41" s="822"/>
      <c r="BRC41" s="822"/>
      <c r="BRD41" s="822"/>
      <c r="BRE41" s="822"/>
      <c r="BRF41" s="822"/>
      <c r="BRG41" s="822"/>
      <c r="BRH41" s="822"/>
      <c r="BRI41" s="822"/>
      <c r="BRJ41" s="822"/>
      <c r="BRK41" s="822"/>
      <c r="BRL41" s="822"/>
      <c r="BRM41" s="822"/>
      <c r="BRN41" s="822"/>
      <c r="BRO41" s="822"/>
      <c r="BRP41" s="822"/>
      <c r="BRQ41" s="822"/>
      <c r="BRR41" s="822"/>
      <c r="BRS41" s="822"/>
      <c r="BRT41" s="822"/>
      <c r="BRU41" s="822"/>
      <c r="BRV41" s="822"/>
      <c r="BRW41" s="822"/>
      <c r="BRX41" s="822"/>
      <c r="BRY41" s="822"/>
      <c r="BRZ41" s="822"/>
      <c r="BSA41" s="822"/>
      <c r="BSB41" s="822"/>
      <c r="BSC41" s="822"/>
      <c r="BSD41" s="822"/>
      <c r="BSE41" s="822"/>
      <c r="BSF41" s="822"/>
      <c r="BSG41" s="822"/>
      <c r="BSH41" s="822"/>
      <c r="BSI41" s="822"/>
      <c r="BSJ41" s="822"/>
      <c r="BSK41" s="822"/>
      <c r="BSL41" s="822"/>
      <c r="BSM41" s="822"/>
      <c r="BSN41" s="822"/>
      <c r="BSO41" s="822"/>
      <c r="BSP41" s="822"/>
      <c r="BSQ41" s="822"/>
      <c r="BSR41" s="822"/>
      <c r="BSS41" s="822"/>
      <c r="BST41" s="822"/>
      <c r="BSU41" s="822"/>
      <c r="BSV41" s="822"/>
      <c r="BSW41" s="822"/>
      <c r="BSX41" s="822"/>
      <c r="BSY41" s="822"/>
      <c r="BSZ41" s="822"/>
      <c r="BTA41" s="822"/>
      <c r="BTB41" s="822"/>
      <c r="BTC41" s="822"/>
      <c r="BTD41" s="822"/>
      <c r="BTE41" s="822"/>
      <c r="BTF41" s="822"/>
      <c r="BTG41" s="822"/>
      <c r="BTH41" s="822"/>
      <c r="BTI41" s="822"/>
      <c r="BTJ41" s="822"/>
      <c r="BTK41" s="822"/>
      <c r="BTL41" s="822"/>
      <c r="BTM41" s="822"/>
      <c r="BTN41" s="822"/>
      <c r="BTO41" s="822"/>
      <c r="BTP41" s="822"/>
      <c r="BTQ41" s="822"/>
      <c r="BTR41" s="822"/>
      <c r="BTS41" s="822"/>
      <c r="BTT41" s="822"/>
      <c r="BTU41" s="822"/>
      <c r="BTV41" s="822"/>
      <c r="BTW41" s="822"/>
      <c r="BTX41" s="822"/>
      <c r="BTY41" s="822"/>
      <c r="BTZ41" s="822"/>
      <c r="BUA41" s="822"/>
      <c r="BUB41" s="822"/>
      <c r="BUC41" s="822"/>
      <c r="BUD41" s="822"/>
      <c r="BUE41" s="822"/>
      <c r="BUF41" s="822"/>
      <c r="BUG41" s="822"/>
      <c r="BUH41" s="822"/>
      <c r="BUI41" s="822"/>
      <c r="BUJ41" s="822"/>
      <c r="BUK41" s="822"/>
      <c r="BUL41" s="822"/>
      <c r="BUM41" s="822"/>
      <c r="BUN41" s="822"/>
      <c r="BUO41" s="822"/>
      <c r="BUP41" s="822"/>
      <c r="BUQ41" s="822"/>
      <c r="BUR41" s="822"/>
      <c r="BUS41" s="822"/>
      <c r="BUT41" s="822"/>
      <c r="BUU41" s="822"/>
      <c r="BUV41" s="822"/>
      <c r="BUW41" s="822"/>
      <c r="BUX41" s="822"/>
      <c r="BUY41" s="822"/>
      <c r="BUZ41" s="822"/>
      <c r="BVA41" s="822"/>
      <c r="BVB41" s="822"/>
      <c r="BVC41" s="822"/>
      <c r="BVD41" s="822"/>
      <c r="BVE41" s="822"/>
      <c r="BVF41" s="822"/>
      <c r="BVG41" s="822"/>
      <c r="BVH41" s="822"/>
      <c r="BVI41" s="822"/>
      <c r="BVJ41" s="822"/>
      <c r="BVK41" s="822"/>
      <c r="BVL41" s="822"/>
      <c r="BVM41" s="822"/>
      <c r="BVN41" s="822"/>
      <c r="BVO41" s="822"/>
      <c r="BVP41" s="822"/>
      <c r="BVQ41" s="822"/>
      <c r="BVR41" s="822"/>
      <c r="BVS41" s="822"/>
      <c r="BVT41" s="822"/>
      <c r="BVU41" s="822"/>
      <c r="BVV41" s="822"/>
      <c r="BVW41" s="822"/>
      <c r="BVX41" s="822"/>
      <c r="BVY41" s="822"/>
      <c r="BVZ41" s="822"/>
      <c r="BWA41" s="822"/>
      <c r="BWB41" s="822"/>
      <c r="BWC41" s="822"/>
      <c r="BWD41" s="822"/>
      <c r="BWE41" s="822"/>
      <c r="BWF41" s="822"/>
      <c r="BWG41" s="822"/>
      <c r="BWH41" s="822"/>
      <c r="BWI41" s="822"/>
      <c r="BWJ41" s="822"/>
      <c r="BWK41" s="822"/>
      <c r="BWL41" s="822"/>
      <c r="BWM41" s="822"/>
      <c r="BWN41" s="822"/>
      <c r="BWO41" s="822"/>
      <c r="BWP41" s="822"/>
      <c r="BWQ41" s="822"/>
      <c r="BWR41" s="822"/>
      <c r="BWS41" s="822"/>
      <c r="BWT41" s="822"/>
      <c r="BWU41" s="822"/>
      <c r="BWV41" s="822"/>
      <c r="BWW41" s="822"/>
      <c r="BWX41" s="822"/>
      <c r="BWY41" s="822"/>
      <c r="BWZ41" s="822"/>
      <c r="BXA41" s="822"/>
      <c r="BXB41" s="822"/>
      <c r="BXC41" s="822"/>
      <c r="BXD41" s="822"/>
      <c r="BXE41" s="822"/>
      <c r="BXF41" s="822"/>
      <c r="BXG41" s="822"/>
      <c r="BXH41" s="822"/>
      <c r="BXI41" s="822"/>
      <c r="BXJ41" s="822"/>
      <c r="BXK41" s="822"/>
      <c r="BXL41" s="822"/>
      <c r="BXM41" s="822"/>
      <c r="BXN41" s="822"/>
      <c r="BXO41" s="822"/>
      <c r="BXP41" s="822"/>
      <c r="BXQ41" s="822"/>
      <c r="BXR41" s="822"/>
      <c r="BXS41" s="822"/>
      <c r="BXT41" s="822"/>
      <c r="BXU41" s="822"/>
      <c r="BXV41" s="822"/>
      <c r="BXW41" s="822"/>
      <c r="BXX41" s="822"/>
      <c r="BXY41" s="822"/>
      <c r="BXZ41" s="822"/>
      <c r="BYA41" s="822"/>
      <c r="BYB41" s="822"/>
      <c r="BYC41" s="822"/>
      <c r="BYD41" s="822"/>
      <c r="BYE41" s="822"/>
      <c r="BYF41" s="822"/>
      <c r="BYG41" s="822"/>
      <c r="BYH41" s="822"/>
      <c r="BYI41" s="822"/>
      <c r="BYJ41" s="822"/>
      <c r="BYK41" s="822"/>
      <c r="BYL41" s="822"/>
      <c r="BYM41" s="822"/>
      <c r="BYN41" s="822"/>
      <c r="BYO41" s="822"/>
      <c r="BYP41" s="822"/>
      <c r="BYQ41" s="822"/>
      <c r="BYR41" s="822"/>
      <c r="BYS41" s="822"/>
      <c r="BYT41" s="822"/>
      <c r="BYU41" s="822"/>
      <c r="BYV41" s="822"/>
      <c r="BYW41" s="822"/>
      <c r="BYX41" s="822"/>
      <c r="BYY41" s="822"/>
      <c r="BYZ41" s="822"/>
      <c r="BZA41" s="822"/>
      <c r="BZB41" s="822"/>
      <c r="BZC41" s="822"/>
      <c r="BZD41" s="822"/>
      <c r="BZE41" s="822"/>
      <c r="BZF41" s="822"/>
      <c r="BZG41" s="822"/>
      <c r="BZH41" s="822"/>
      <c r="BZI41" s="822"/>
      <c r="BZJ41" s="822"/>
      <c r="BZK41" s="822"/>
      <c r="BZL41" s="822"/>
      <c r="BZM41" s="822"/>
      <c r="BZN41" s="822"/>
      <c r="BZO41" s="822"/>
      <c r="BZP41" s="822"/>
      <c r="BZQ41" s="822"/>
      <c r="BZR41" s="822"/>
      <c r="BZS41" s="822"/>
      <c r="BZT41" s="822"/>
      <c r="BZU41" s="822"/>
      <c r="BZV41" s="822"/>
      <c r="BZW41" s="822"/>
      <c r="BZX41" s="822"/>
      <c r="BZY41" s="822"/>
      <c r="BZZ41" s="822"/>
      <c r="CAA41" s="822"/>
      <c r="CAB41" s="822"/>
      <c r="CAC41" s="822"/>
      <c r="CAD41" s="822"/>
      <c r="CAE41" s="822"/>
      <c r="CAF41" s="822"/>
      <c r="CAG41" s="822"/>
      <c r="CAH41" s="822"/>
      <c r="CAI41" s="822"/>
      <c r="CAJ41" s="822"/>
      <c r="CAK41" s="822"/>
      <c r="CAL41" s="822"/>
      <c r="CAM41" s="822"/>
      <c r="CAN41" s="822"/>
      <c r="CAO41" s="822"/>
      <c r="CAP41" s="822"/>
      <c r="CAQ41" s="822"/>
      <c r="CAR41" s="822"/>
      <c r="CAS41" s="822"/>
      <c r="CAT41" s="822"/>
      <c r="CAU41" s="822"/>
      <c r="CAV41" s="822"/>
      <c r="CAW41" s="822"/>
      <c r="CAX41" s="822"/>
      <c r="CAY41" s="822"/>
      <c r="CAZ41" s="822"/>
      <c r="CBA41" s="822"/>
      <c r="CBB41" s="822"/>
      <c r="CBC41" s="822"/>
      <c r="CBD41" s="822"/>
      <c r="CBE41" s="822"/>
      <c r="CBF41" s="822"/>
      <c r="CBG41" s="822"/>
      <c r="CBH41" s="822"/>
      <c r="CBI41" s="822"/>
      <c r="CBJ41" s="822"/>
      <c r="CBK41" s="822"/>
      <c r="CBL41" s="822"/>
      <c r="CBM41" s="822"/>
      <c r="CBN41" s="822"/>
      <c r="CBO41" s="822"/>
      <c r="CBP41" s="822"/>
      <c r="CBQ41" s="822"/>
      <c r="CBR41" s="822"/>
      <c r="CBS41" s="822"/>
      <c r="CBT41" s="822"/>
      <c r="CBU41" s="822"/>
      <c r="CBV41" s="822"/>
      <c r="CBW41" s="822"/>
      <c r="CBX41" s="822"/>
      <c r="CBY41" s="822"/>
      <c r="CBZ41" s="822"/>
      <c r="CCA41" s="822"/>
      <c r="CCB41" s="822"/>
      <c r="CCC41" s="822"/>
      <c r="CCD41" s="822"/>
      <c r="CCE41" s="822"/>
      <c r="CCF41" s="822"/>
      <c r="CCG41" s="822"/>
      <c r="CCH41" s="822"/>
      <c r="CCI41" s="822"/>
      <c r="CCJ41" s="822"/>
      <c r="CCK41" s="822"/>
      <c r="CCL41" s="822"/>
      <c r="CCM41" s="822"/>
      <c r="CCN41" s="822"/>
      <c r="CCO41" s="822"/>
      <c r="CCP41" s="822"/>
      <c r="CCQ41" s="822"/>
      <c r="CCR41" s="822"/>
      <c r="CCS41" s="822"/>
      <c r="CCT41" s="822"/>
      <c r="CCU41" s="822"/>
      <c r="CCV41" s="822"/>
      <c r="CCW41" s="822"/>
      <c r="CCX41" s="822"/>
      <c r="CCY41" s="822"/>
      <c r="CCZ41" s="822"/>
      <c r="CDA41" s="822"/>
      <c r="CDB41" s="822"/>
      <c r="CDC41" s="822"/>
      <c r="CDD41" s="822"/>
      <c r="CDE41" s="822"/>
      <c r="CDF41" s="822"/>
      <c r="CDG41" s="822"/>
      <c r="CDH41" s="822"/>
      <c r="CDI41" s="822"/>
      <c r="CDJ41" s="822"/>
      <c r="CDK41" s="822"/>
      <c r="CDL41" s="822"/>
      <c r="CDM41" s="822"/>
      <c r="CDN41" s="822"/>
      <c r="CDO41" s="822"/>
      <c r="CDP41" s="822"/>
      <c r="CDQ41" s="822"/>
      <c r="CDR41" s="822"/>
      <c r="CDS41" s="822"/>
      <c r="CDT41" s="822"/>
      <c r="CDU41" s="822"/>
      <c r="CDV41" s="822"/>
      <c r="CDW41" s="822"/>
      <c r="CDX41" s="822"/>
      <c r="CDY41" s="822"/>
      <c r="CDZ41" s="822"/>
      <c r="CEA41" s="822"/>
      <c r="CEB41" s="822"/>
      <c r="CEC41" s="822"/>
      <c r="CED41" s="822"/>
      <c r="CEE41" s="822"/>
      <c r="CEF41" s="822"/>
      <c r="CEG41" s="822"/>
      <c r="CEH41" s="822"/>
      <c r="CEI41" s="822"/>
      <c r="CEJ41" s="822"/>
      <c r="CEK41" s="822"/>
      <c r="CEL41" s="822"/>
      <c r="CEM41" s="822"/>
      <c r="CEN41" s="822"/>
      <c r="CEO41" s="822"/>
      <c r="CEP41" s="822"/>
      <c r="CEQ41" s="822"/>
      <c r="CER41" s="822"/>
      <c r="CES41" s="822"/>
      <c r="CET41" s="822"/>
      <c r="CEU41" s="822"/>
      <c r="CEV41" s="822"/>
      <c r="CEW41" s="822"/>
      <c r="CEX41" s="822"/>
      <c r="CEY41" s="822"/>
      <c r="CEZ41" s="822"/>
      <c r="CFA41" s="822"/>
      <c r="CFB41" s="822"/>
      <c r="CFC41" s="822"/>
      <c r="CFD41" s="822"/>
      <c r="CFE41" s="822"/>
      <c r="CFF41" s="822"/>
      <c r="CFG41" s="822"/>
      <c r="CFH41" s="822"/>
      <c r="CFI41" s="822"/>
      <c r="CFJ41" s="822"/>
      <c r="CFK41" s="822"/>
      <c r="CFL41" s="822"/>
      <c r="CFM41" s="822"/>
      <c r="CFN41" s="822"/>
      <c r="CFO41" s="822"/>
      <c r="CFP41" s="822"/>
      <c r="CFQ41" s="822"/>
      <c r="CFR41" s="822"/>
      <c r="CFS41" s="822"/>
      <c r="CFT41" s="822"/>
      <c r="CFU41" s="822"/>
      <c r="CFV41" s="822"/>
      <c r="CFW41" s="822"/>
      <c r="CFX41" s="822"/>
      <c r="CFY41" s="822"/>
      <c r="CFZ41" s="822"/>
      <c r="CGA41" s="822"/>
      <c r="CGB41" s="822"/>
      <c r="CGC41" s="822"/>
      <c r="CGD41" s="822"/>
      <c r="CGE41" s="822"/>
      <c r="CGF41" s="822"/>
      <c r="CGG41" s="822"/>
      <c r="CGH41" s="822"/>
      <c r="CGI41" s="822"/>
      <c r="CGJ41" s="822"/>
      <c r="CGK41" s="822"/>
      <c r="CGL41" s="822"/>
      <c r="CGM41" s="822"/>
      <c r="CGN41" s="822"/>
      <c r="CGO41" s="822"/>
      <c r="CGP41" s="822"/>
      <c r="CGQ41" s="822"/>
      <c r="CGR41" s="822"/>
      <c r="CGS41" s="822"/>
      <c r="CGT41" s="822"/>
      <c r="CGU41" s="822"/>
      <c r="CGV41" s="822"/>
      <c r="CGW41" s="822"/>
      <c r="CGX41" s="822"/>
      <c r="CGY41" s="822"/>
      <c r="CGZ41" s="822"/>
      <c r="CHA41" s="822"/>
      <c r="CHB41" s="822"/>
      <c r="CHC41" s="822"/>
      <c r="CHD41" s="822"/>
      <c r="CHE41" s="822"/>
      <c r="CHF41" s="822"/>
      <c r="CHG41" s="822"/>
      <c r="CHH41" s="822"/>
      <c r="CHI41" s="822"/>
      <c r="CHJ41" s="822"/>
      <c r="CHK41" s="822"/>
      <c r="CHL41" s="822"/>
      <c r="CHM41" s="822"/>
      <c r="CHN41" s="822"/>
      <c r="CHO41" s="822"/>
      <c r="CHP41" s="822"/>
      <c r="CHQ41" s="822"/>
      <c r="CHR41" s="822"/>
      <c r="CHS41" s="822"/>
      <c r="CHT41" s="822"/>
      <c r="CHU41" s="822"/>
      <c r="CHV41" s="822"/>
      <c r="CHW41" s="822"/>
      <c r="CHX41" s="822"/>
      <c r="CHY41" s="822"/>
      <c r="CHZ41" s="822"/>
      <c r="CIA41" s="822"/>
      <c r="CIB41" s="822"/>
      <c r="CIC41" s="822"/>
      <c r="CID41" s="822"/>
      <c r="CIE41" s="822"/>
      <c r="CIF41" s="822"/>
      <c r="CIG41" s="822"/>
      <c r="CIH41" s="822"/>
      <c r="CII41" s="822"/>
      <c r="CIJ41" s="822"/>
      <c r="CIK41" s="822"/>
      <c r="CIL41" s="822"/>
      <c r="CIM41" s="822"/>
      <c r="CIN41" s="822"/>
      <c r="CIO41" s="822"/>
      <c r="CIP41" s="822"/>
      <c r="CIQ41" s="822"/>
      <c r="CIR41" s="822"/>
      <c r="CIS41" s="822"/>
      <c r="CIT41" s="822"/>
      <c r="CIU41" s="822"/>
      <c r="CIV41" s="822"/>
      <c r="CIW41" s="822"/>
      <c r="CIX41" s="822"/>
      <c r="CIY41" s="822"/>
      <c r="CIZ41" s="822"/>
      <c r="CJA41" s="822"/>
      <c r="CJB41" s="822"/>
      <c r="CJC41" s="822"/>
      <c r="CJD41" s="822"/>
      <c r="CJE41" s="822"/>
      <c r="CJF41" s="822"/>
      <c r="CJG41" s="822"/>
      <c r="CJH41" s="822"/>
      <c r="CJI41" s="822"/>
      <c r="CJJ41" s="822"/>
      <c r="CJK41" s="822"/>
      <c r="CJL41" s="822"/>
      <c r="CJM41" s="822"/>
      <c r="CJN41" s="822"/>
      <c r="CJO41" s="822"/>
      <c r="CJP41" s="822"/>
      <c r="CJQ41" s="822"/>
      <c r="CJR41" s="822"/>
      <c r="CJS41" s="822"/>
      <c r="CJT41" s="822"/>
      <c r="CJU41" s="822"/>
      <c r="CJV41" s="822"/>
      <c r="CJW41" s="822"/>
      <c r="CJX41" s="822"/>
      <c r="CJY41" s="822"/>
      <c r="CJZ41" s="822"/>
      <c r="CKA41" s="822"/>
      <c r="CKB41" s="822"/>
      <c r="CKC41" s="822"/>
      <c r="CKD41" s="822"/>
      <c r="CKE41" s="822"/>
      <c r="CKF41" s="822"/>
      <c r="CKG41" s="822"/>
      <c r="CKH41" s="822"/>
      <c r="CKI41" s="822"/>
      <c r="CKJ41" s="822"/>
      <c r="CKK41" s="822"/>
      <c r="CKL41" s="822"/>
      <c r="CKM41" s="822"/>
      <c r="CKN41" s="822"/>
      <c r="CKO41" s="822"/>
      <c r="CKP41" s="822"/>
      <c r="CKQ41" s="822"/>
      <c r="CKR41" s="822"/>
      <c r="CKS41" s="822"/>
      <c r="CKT41" s="822"/>
      <c r="CKU41" s="822"/>
      <c r="CKV41" s="822"/>
      <c r="CKW41" s="822"/>
      <c r="CKX41" s="822"/>
      <c r="CKY41" s="822"/>
      <c r="CKZ41" s="822"/>
      <c r="CLA41" s="822"/>
      <c r="CLB41" s="822"/>
      <c r="CLC41" s="822"/>
      <c r="CLD41" s="822"/>
      <c r="CLE41" s="822"/>
      <c r="CLF41" s="822"/>
      <c r="CLG41" s="822"/>
      <c r="CLH41" s="822"/>
      <c r="CLI41" s="822"/>
      <c r="CLJ41" s="822"/>
      <c r="CLK41" s="822"/>
      <c r="CLL41" s="822"/>
      <c r="CLM41" s="822"/>
      <c r="CLN41" s="822"/>
      <c r="CLO41" s="822"/>
      <c r="CLP41" s="822"/>
      <c r="CLQ41" s="822"/>
      <c r="CLR41" s="822"/>
      <c r="CLS41" s="822"/>
      <c r="CLT41" s="822"/>
      <c r="CLU41" s="822"/>
      <c r="CLV41" s="822"/>
      <c r="CLW41" s="822"/>
      <c r="CLX41" s="822"/>
      <c r="CLY41" s="822"/>
      <c r="CLZ41" s="822"/>
      <c r="CMA41" s="822"/>
      <c r="CMB41" s="822"/>
      <c r="CMC41" s="822"/>
      <c r="CMD41" s="822"/>
      <c r="CME41" s="822"/>
      <c r="CMF41" s="822"/>
      <c r="CMG41" s="822"/>
      <c r="CMH41" s="822"/>
      <c r="CMI41" s="822"/>
      <c r="CMJ41" s="822"/>
      <c r="CMK41" s="822"/>
      <c r="CML41" s="822"/>
      <c r="CMM41" s="822"/>
      <c r="CMN41" s="822"/>
      <c r="CMO41" s="822"/>
      <c r="CMP41" s="822"/>
      <c r="CMQ41" s="822"/>
      <c r="CMR41" s="822"/>
      <c r="CMS41" s="822"/>
      <c r="CMT41" s="822"/>
      <c r="CMU41" s="822"/>
      <c r="CMV41" s="822"/>
      <c r="CMW41" s="822"/>
      <c r="CMX41" s="822"/>
      <c r="CMY41" s="822"/>
      <c r="CMZ41" s="822"/>
      <c r="CNA41" s="822"/>
      <c r="CNB41" s="822"/>
      <c r="CNC41" s="822"/>
      <c r="CND41" s="822"/>
      <c r="CNE41" s="822"/>
      <c r="CNF41" s="822"/>
      <c r="CNG41" s="822"/>
      <c r="CNH41" s="822"/>
      <c r="CNI41" s="822"/>
      <c r="CNJ41" s="822"/>
      <c r="CNK41" s="822"/>
      <c r="CNL41" s="822"/>
      <c r="CNM41" s="822"/>
      <c r="CNN41" s="822"/>
      <c r="CNO41" s="822"/>
      <c r="CNP41" s="822"/>
      <c r="CNQ41" s="822"/>
      <c r="CNR41" s="822"/>
      <c r="CNS41" s="822"/>
      <c r="CNT41" s="822"/>
      <c r="CNU41" s="822"/>
      <c r="CNV41" s="822"/>
      <c r="CNW41" s="822"/>
      <c r="CNX41" s="822"/>
      <c r="CNY41" s="822"/>
      <c r="CNZ41" s="822"/>
      <c r="COA41" s="822"/>
      <c r="COB41" s="822"/>
      <c r="COC41" s="822"/>
      <c r="COD41" s="822"/>
      <c r="COE41" s="822"/>
      <c r="COF41" s="822"/>
      <c r="COG41" s="822"/>
      <c r="COH41" s="822"/>
      <c r="COI41" s="822"/>
      <c r="COJ41" s="822"/>
      <c r="COK41" s="822"/>
      <c r="COL41" s="822"/>
      <c r="COM41" s="822"/>
      <c r="CON41" s="822"/>
      <c r="COO41" s="822"/>
      <c r="COP41" s="822"/>
      <c r="COQ41" s="822"/>
      <c r="COR41" s="822"/>
      <c r="COS41" s="822"/>
      <c r="COT41" s="822"/>
      <c r="COU41" s="822"/>
      <c r="COV41" s="822"/>
      <c r="COW41" s="822"/>
      <c r="COX41" s="822"/>
      <c r="COY41" s="822"/>
      <c r="COZ41" s="822"/>
      <c r="CPA41" s="822"/>
      <c r="CPB41" s="822"/>
      <c r="CPC41" s="822"/>
      <c r="CPD41" s="822"/>
      <c r="CPE41" s="822"/>
      <c r="CPF41" s="822"/>
      <c r="CPG41" s="822"/>
      <c r="CPH41" s="822"/>
      <c r="CPI41" s="822"/>
      <c r="CPJ41" s="822"/>
      <c r="CPK41" s="822"/>
      <c r="CPL41" s="822"/>
      <c r="CPM41" s="822"/>
      <c r="CPN41" s="822"/>
      <c r="CPO41" s="822"/>
      <c r="CPP41" s="822"/>
      <c r="CPQ41" s="822"/>
      <c r="CPR41" s="822"/>
      <c r="CPS41" s="822"/>
      <c r="CPT41" s="822"/>
      <c r="CPU41" s="822"/>
      <c r="CPV41" s="822"/>
      <c r="CPW41" s="822"/>
      <c r="CPX41" s="822"/>
      <c r="CPY41" s="822"/>
      <c r="CPZ41" s="822"/>
      <c r="CQA41" s="822"/>
      <c r="CQB41" s="822"/>
      <c r="CQC41" s="822"/>
      <c r="CQD41" s="822"/>
      <c r="CQE41" s="822"/>
      <c r="CQF41" s="822"/>
      <c r="CQG41" s="822"/>
      <c r="CQH41" s="822"/>
      <c r="CQI41" s="822"/>
      <c r="CQJ41" s="822"/>
      <c r="CQK41" s="822"/>
      <c r="CQL41" s="822"/>
      <c r="CQM41" s="822"/>
      <c r="CQN41" s="822"/>
      <c r="CQO41" s="822"/>
      <c r="CQP41" s="822"/>
      <c r="CQQ41" s="822"/>
      <c r="CQR41" s="822"/>
      <c r="CQS41" s="822"/>
      <c r="CQT41" s="822"/>
      <c r="CQU41" s="822"/>
      <c r="CQV41" s="822"/>
      <c r="CQW41" s="822"/>
      <c r="CQX41" s="822"/>
      <c r="CQY41" s="822"/>
      <c r="CQZ41" s="822"/>
      <c r="CRA41" s="822"/>
      <c r="CRB41" s="822"/>
      <c r="CRC41" s="822"/>
      <c r="CRD41" s="822"/>
      <c r="CRE41" s="822"/>
      <c r="CRF41" s="822"/>
      <c r="CRG41" s="822"/>
      <c r="CRH41" s="822"/>
      <c r="CRI41" s="822"/>
      <c r="CRJ41" s="822"/>
      <c r="CRK41" s="822"/>
      <c r="CRL41" s="822"/>
      <c r="CRM41" s="822"/>
      <c r="CRN41" s="822"/>
      <c r="CRO41" s="822"/>
      <c r="CRP41" s="822"/>
      <c r="CRQ41" s="822"/>
      <c r="CRR41" s="822"/>
      <c r="CRS41" s="822"/>
      <c r="CRT41" s="822"/>
      <c r="CRU41" s="822"/>
      <c r="CRV41" s="822"/>
      <c r="CRW41" s="822"/>
      <c r="CRX41" s="822"/>
      <c r="CRY41" s="822"/>
      <c r="CRZ41" s="822"/>
      <c r="CSA41" s="822"/>
      <c r="CSB41" s="822"/>
      <c r="CSC41" s="822"/>
      <c r="CSD41" s="822"/>
      <c r="CSE41" s="822"/>
      <c r="CSF41" s="822"/>
      <c r="CSG41" s="822"/>
      <c r="CSH41" s="822"/>
      <c r="CSI41" s="822"/>
      <c r="CSJ41" s="822"/>
      <c r="CSK41" s="822"/>
      <c r="CSL41" s="822"/>
      <c r="CSM41" s="822"/>
      <c r="CSN41" s="822"/>
      <c r="CSO41" s="822"/>
      <c r="CSP41" s="822"/>
      <c r="CSQ41" s="822"/>
      <c r="CSR41" s="822"/>
      <c r="CSS41" s="822"/>
      <c r="CST41" s="822"/>
      <c r="CSU41" s="822"/>
      <c r="CSV41" s="822"/>
      <c r="CSW41" s="822"/>
      <c r="CSX41" s="822"/>
      <c r="CSY41" s="822"/>
      <c r="CSZ41" s="822"/>
      <c r="CTA41" s="822"/>
      <c r="CTB41" s="822"/>
      <c r="CTC41" s="822"/>
      <c r="CTD41" s="822"/>
      <c r="CTE41" s="822"/>
      <c r="CTF41" s="822"/>
      <c r="CTG41" s="822"/>
      <c r="CTH41" s="822"/>
      <c r="CTI41" s="822"/>
      <c r="CTJ41" s="822"/>
      <c r="CTK41" s="822"/>
      <c r="CTL41" s="822"/>
      <c r="CTM41" s="822"/>
      <c r="CTN41" s="822"/>
      <c r="CTO41" s="822"/>
      <c r="CTP41" s="822"/>
      <c r="CTQ41" s="822"/>
      <c r="CTR41" s="822"/>
      <c r="CTS41" s="822"/>
      <c r="CTT41" s="822"/>
      <c r="CTU41" s="822"/>
      <c r="CTV41" s="822"/>
      <c r="CTW41" s="822"/>
      <c r="CTX41" s="822"/>
      <c r="CTY41" s="822"/>
      <c r="CTZ41" s="822"/>
      <c r="CUA41" s="822"/>
      <c r="CUB41" s="822"/>
      <c r="CUC41" s="822"/>
      <c r="CUD41" s="822"/>
      <c r="CUE41" s="822"/>
      <c r="CUF41" s="822"/>
      <c r="CUG41" s="822"/>
      <c r="CUH41" s="822"/>
      <c r="CUI41" s="822"/>
      <c r="CUJ41" s="822"/>
      <c r="CUK41" s="822"/>
      <c r="CUL41" s="822"/>
      <c r="CUM41" s="822"/>
      <c r="CUN41" s="822"/>
      <c r="CUO41" s="822"/>
      <c r="CUP41" s="822"/>
      <c r="CUQ41" s="822"/>
      <c r="CUR41" s="822"/>
      <c r="CUS41" s="822"/>
      <c r="CUT41" s="822"/>
      <c r="CUU41" s="822"/>
      <c r="CUV41" s="822"/>
      <c r="CUW41" s="822"/>
      <c r="CUX41" s="822"/>
      <c r="CUY41" s="822"/>
      <c r="CUZ41" s="822"/>
      <c r="CVA41" s="822"/>
      <c r="CVB41" s="822"/>
      <c r="CVC41" s="822"/>
      <c r="CVD41" s="822"/>
      <c r="CVE41" s="822"/>
      <c r="CVF41" s="822"/>
      <c r="CVG41" s="822"/>
      <c r="CVH41" s="822"/>
      <c r="CVI41" s="822"/>
      <c r="CVJ41" s="822"/>
      <c r="CVK41" s="822"/>
      <c r="CVL41" s="822"/>
      <c r="CVM41" s="822"/>
      <c r="CVN41" s="822"/>
      <c r="CVO41" s="822"/>
      <c r="CVP41" s="822"/>
      <c r="CVQ41" s="822"/>
      <c r="CVR41" s="822"/>
      <c r="CVS41" s="822"/>
      <c r="CVT41" s="822"/>
      <c r="CVU41" s="822"/>
      <c r="CVV41" s="822"/>
      <c r="CVW41" s="822"/>
      <c r="CVX41" s="822"/>
      <c r="CVY41" s="822"/>
      <c r="CVZ41" s="822"/>
      <c r="CWA41" s="822"/>
      <c r="CWB41" s="822"/>
      <c r="CWC41" s="822"/>
      <c r="CWD41" s="822"/>
      <c r="CWE41" s="822"/>
      <c r="CWF41" s="822"/>
      <c r="CWG41" s="822"/>
      <c r="CWH41" s="822"/>
      <c r="CWI41" s="822"/>
      <c r="CWJ41" s="822"/>
      <c r="CWK41" s="822"/>
      <c r="CWL41" s="822"/>
      <c r="CWM41" s="822"/>
      <c r="CWN41" s="822"/>
      <c r="CWO41" s="822"/>
      <c r="CWP41" s="822"/>
      <c r="CWQ41" s="822"/>
      <c r="CWR41" s="822"/>
      <c r="CWS41" s="822"/>
      <c r="CWT41" s="822"/>
      <c r="CWU41" s="822"/>
      <c r="CWV41" s="822"/>
      <c r="CWW41" s="822"/>
      <c r="CWX41" s="822"/>
      <c r="CWY41" s="822"/>
      <c r="CWZ41" s="822"/>
      <c r="CXA41" s="822"/>
      <c r="CXB41" s="822"/>
      <c r="CXC41" s="822"/>
      <c r="CXD41" s="822"/>
      <c r="CXE41" s="822"/>
      <c r="CXF41" s="822"/>
      <c r="CXG41" s="822"/>
      <c r="CXH41" s="822"/>
      <c r="CXI41" s="822"/>
      <c r="CXJ41" s="822"/>
      <c r="CXK41" s="822"/>
      <c r="CXL41" s="822"/>
      <c r="CXM41" s="822"/>
      <c r="CXN41" s="822"/>
      <c r="CXO41" s="822"/>
      <c r="CXP41" s="822"/>
      <c r="CXQ41" s="822"/>
      <c r="CXR41" s="822"/>
      <c r="CXS41" s="822"/>
      <c r="CXT41" s="822"/>
      <c r="CXU41" s="822"/>
      <c r="CXV41" s="822"/>
      <c r="CXW41" s="822"/>
      <c r="CXX41" s="822"/>
      <c r="CXY41" s="822"/>
      <c r="CXZ41" s="822"/>
      <c r="CYA41" s="822"/>
      <c r="CYB41" s="822"/>
      <c r="CYC41" s="822"/>
      <c r="CYD41" s="822"/>
      <c r="CYE41" s="822"/>
      <c r="CYF41" s="822"/>
      <c r="CYG41" s="822"/>
      <c r="CYH41" s="822"/>
      <c r="CYI41" s="822"/>
      <c r="CYJ41" s="822"/>
      <c r="CYK41" s="822"/>
      <c r="CYL41" s="822"/>
      <c r="CYM41" s="822"/>
      <c r="CYN41" s="822"/>
      <c r="CYO41" s="822"/>
      <c r="CYP41" s="822"/>
      <c r="CYQ41" s="822"/>
      <c r="CYR41" s="822"/>
      <c r="CYS41" s="822"/>
      <c r="CYT41" s="822"/>
      <c r="CYU41" s="822"/>
      <c r="CYV41" s="822"/>
      <c r="CYW41" s="822"/>
      <c r="CYX41" s="822"/>
      <c r="CYY41" s="822"/>
      <c r="CYZ41" s="822"/>
      <c r="CZA41" s="822"/>
      <c r="CZB41" s="822"/>
      <c r="CZC41" s="822"/>
      <c r="CZD41" s="822"/>
      <c r="CZE41" s="822"/>
      <c r="CZF41" s="822"/>
      <c r="CZG41" s="822"/>
      <c r="CZH41" s="822"/>
      <c r="CZI41" s="822"/>
      <c r="CZJ41" s="822"/>
      <c r="CZK41" s="822"/>
      <c r="CZL41" s="822"/>
      <c r="CZM41" s="822"/>
      <c r="CZN41" s="822"/>
      <c r="CZO41" s="822"/>
      <c r="CZP41" s="822"/>
      <c r="CZQ41" s="822"/>
      <c r="CZR41" s="822"/>
      <c r="CZS41" s="822"/>
      <c r="CZT41" s="822"/>
      <c r="CZU41" s="822"/>
      <c r="CZV41" s="822"/>
      <c r="CZW41" s="822"/>
      <c r="CZX41" s="822"/>
      <c r="CZY41" s="822"/>
      <c r="CZZ41" s="822"/>
      <c r="DAA41" s="822"/>
      <c r="DAB41" s="822"/>
      <c r="DAC41" s="822"/>
      <c r="DAD41" s="822"/>
      <c r="DAE41" s="822"/>
      <c r="DAF41" s="822"/>
      <c r="DAG41" s="822"/>
      <c r="DAH41" s="822"/>
      <c r="DAI41" s="822"/>
      <c r="DAJ41" s="822"/>
      <c r="DAK41" s="822"/>
      <c r="DAL41" s="822"/>
      <c r="DAM41" s="822"/>
      <c r="DAN41" s="822"/>
      <c r="DAO41" s="822"/>
      <c r="DAP41" s="822"/>
      <c r="DAQ41" s="822"/>
      <c r="DAR41" s="822"/>
      <c r="DAS41" s="822"/>
      <c r="DAT41" s="822"/>
      <c r="DAU41" s="822"/>
      <c r="DAV41" s="822"/>
      <c r="DAW41" s="822"/>
      <c r="DAX41" s="822"/>
      <c r="DAY41" s="822"/>
      <c r="DAZ41" s="822"/>
      <c r="DBA41" s="822"/>
      <c r="DBB41" s="822"/>
      <c r="DBC41" s="822"/>
      <c r="DBD41" s="822"/>
      <c r="DBE41" s="822"/>
      <c r="DBF41" s="822"/>
      <c r="DBG41" s="822"/>
      <c r="DBH41" s="822"/>
      <c r="DBI41" s="822"/>
      <c r="DBJ41" s="822"/>
      <c r="DBK41" s="822"/>
      <c r="DBL41" s="822"/>
      <c r="DBM41" s="822"/>
      <c r="DBN41" s="822"/>
      <c r="DBO41" s="822"/>
      <c r="DBP41" s="822"/>
      <c r="DBQ41" s="822"/>
      <c r="DBR41" s="822"/>
      <c r="DBS41" s="822"/>
      <c r="DBT41" s="822"/>
      <c r="DBU41" s="822"/>
      <c r="DBV41" s="822"/>
      <c r="DBW41" s="822"/>
      <c r="DBX41" s="822"/>
      <c r="DBY41" s="822"/>
      <c r="DBZ41" s="822"/>
      <c r="DCA41" s="822"/>
      <c r="DCB41" s="822"/>
      <c r="DCC41" s="822"/>
      <c r="DCD41" s="822"/>
      <c r="DCE41" s="822"/>
      <c r="DCF41" s="822"/>
      <c r="DCG41" s="822"/>
      <c r="DCH41" s="822"/>
      <c r="DCI41" s="822"/>
      <c r="DCJ41" s="822"/>
      <c r="DCK41" s="822"/>
      <c r="DCL41" s="822"/>
      <c r="DCM41" s="822"/>
      <c r="DCN41" s="822"/>
      <c r="DCO41" s="822"/>
      <c r="DCP41" s="822"/>
      <c r="DCQ41" s="822"/>
      <c r="DCR41" s="822"/>
      <c r="DCS41" s="822"/>
      <c r="DCT41" s="822"/>
      <c r="DCU41" s="822"/>
      <c r="DCV41" s="822"/>
      <c r="DCW41" s="822"/>
      <c r="DCX41" s="822"/>
      <c r="DCY41" s="822"/>
      <c r="DCZ41" s="822"/>
      <c r="DDA41" s="822"/>
      <c r="DDB41" s="822"/>
      <c r="DDC41" s="822"/>
      <c r="DDD41" s="822"/>
      <c r="DDE41" s="822"/>
      <c r="DDF41" s="822"/>
      <c r="DDG41" s="822"/>
      <c r="DDH41" s="822"/>
      <c r="DDI41" s="822"/>
      <c r="DDJ41" s="822"/>
      <c r="DDK41" s="822"/>
      <c r="DDL41" s="822"/>
      <c r="DDM41" s="822"/>
      <c r="DDN41" s="822"/>
      <c r="DDO41" s="822"/>
      <c r="DDP41" s="822"/>
      <c r="DDQ41" s="822"/>
      <c r="DDR41" s="822"/>
      <c r="DDS41" s="822"/>
      <c r="DDT41" s="822"/>
      <c r="DDU41" s="822"/>
      <c r="DDV41" s="822"/>
      <c r="DDW41" s="822"/>
      <c r="DDX41" s="822"/>
      <c r="DDY41" s="822"/>
      <c r="DDZ41" s="822"/>
      <c r="DEA41" s="822"/>
      <c r="DEB41" s="822"/>
      <c r="DEC41" s="822"/>
      <c r="DED41" s="822"/>
      <c r="DEE41" s="822"/>
      <c r="DEF41" s="822"/>
      <c r="DEG41" s="822"/>
      <c r="DEH41" s="822"/>
      <c r="DEI41" s="822"/>
      <c r="DEJ41" s="822"/>
      <c r="DEK41" s="822"/>
      <c r="DEL41" s="822"/>
      <c r="DEM41" s="822"/>
      <c r="DEN41" s="822"/>
      <c r="DEO41" s="822"/>
      <c r="DEP41" s="822"/>
      <c r="DEQ41" s="822"/>
      <c r="DER41" s="822"/>
      <c r="DES41" s="822"/>
      <c r="DET41" s="822"/>
      <c r="DEU41" s="822"/>
      <c r="DEV41" s="822"/>
      <c r="DEW41" s="822"/>
      <c r="DEX41" s="822"/>
      <c r="DEY41" s="822"/>
      <c r="DEZ41" s="822"/>
      <c r="DFA41" s="822"/>
      <c r="DFB41" s="822"/>
      <c r="DFC41" s="822"/>
      <c r="DFD41" s="822"/>
      <c r="DFE41" s="822"/>
      <c r="DFF41" s="822"/>
      <c r="DFG41" s="822"/>
      <c r="DFH41" s="822"/>
      <c r="DFI41" s="822"/>
      <c r="DFJ41" s="822"/>
      <c r="DFK41" s="822"/>
      <c r="DFL41" s="822"/>
      <c r="DFM41" s="822"/>
      <c r="DFN41" s="822"/>
      <c r="DFO41" s="822"/>
      <c r="DFP41" s="822"/>
      <c r="DFQ41" s="822"/>
      <c r="DFR41" s="822"/>
      <c r="DFS41" s="822"/>
      <c r="DFT41" s="822"/>
      <c r="DFU41" s="822"/>
      <c r="DFV41" s="822"/>
      <c r="DFW41" s="822"/>
      <c r="DFX41" s="822"/>
      <c r="DFY41" s="822"/>
      <c r="DFZ41" s="822"/>
      <c r="DGA41" s="822"/>
      <c r="DGB41" s="822"/>
      <c r="DGC41" s="822"/>
      <c r="DGD41" s="822"/>
      <c r="DGE41" s="822"/>
      <c r="DGF41" s="822"/>
      <c r="DGG41" s="822"/>
      <c r="DGH41" s="822"/>
      <c r="DGI41" s="822"/>
      <c r="DGJ41" s="822"/>
      <c r="DGK41" s="822"/>
      <c r="DGL41" s="822"/>
      <c r="DGM41" s="822"/>
      <c r="DGN41" s="822"/>
      <c r="DGO41" s="822"/>
      <c r="DGP41" s="822"/>
      <c r="DGQ41" s="822"/>
      <c r="DGR41" s="822"/>
      <c r="DGS41" s="822"/>
      <c r="DGT41" s="822"/>
      <c r="DGU41" s="822"/>
      <c r="DGV41" s="822"/>
      <c r="DGW41" s="822"/>
      <c r="DGX41" s="822"/>
      <c r="DGY41" s="822"/>
      <c r="DGZ41" s="822"/>
      <c r="DHA41" s="822"/>
      <c r="DHB41" s="822"/>
      <c r="DHC41" s="822"/>
      <c r="DHD41" s="822"/>
      <c r="DHE41" s="822"/>
      <c r="DHF41" s="822"/>
      <c r="DHG41" s="822"/>
      <c r="DHH41" s="822"/>
      <c r="DHI41" s="822"/>
      <c r="DHJ41" s="822"/>
      <c r="DHK41" s="822"/>
      <c r="DHL41" s="822"/>
      <c r="DHM41" s="822"/>
      <c r="DHN41" s="822"/>
      <c r="DHO41" s="822"/>
      <c r="DHP41" s="822"/>
      <c r="DHQ41" s="822"/>
      <c r="DHR41" s="822"/>
      <c r="DHS41" s="822"/>
      <c r="DHT41" s="822"/>
      <c r="DHU41" s="822"/>
      <c r="DHV41" s="822"/>
      <c r="DHW41" s="822"/>
      <c r="DHX41" s="822"/>
      <c r="DHY41" s="822"/>
      <c r="DHZ41" s="822"/>
      <c r="DIA41" s="822"/>
      <c r="DIB41" s="822"/>
      <c r="DIC41" s="822"/>
      <c r="DID41" s="822"/>
      <c r="DIE41" s="822"/>
      <c r="DIF41" s="822"/>
      <c r="DIG41" s="822"/>
      <c r="DIH41" s="822"/>
      <c r="DII41" s="822"/>
      <c r="DIJ41" s="822"/>
      <c r="DIK41" s="822"/>
      <c r="DIL41" s="822"/>
      <c r="DIM41" s="822"/>
      <c r="DIN41" s="822"/>
      <c r="DIO41" s="822"/>
      <c r="DIP41" s="822"/>
      <c r="DIQ41" s="822"/>
      <c r="DIR41" s="822"/>
      <c r="DIS41" s="822"/>
      <c r="DIT41" s="822"/>
      <c r="DIU41" s="822"/>
      <c r="DIV41" s="822"/>
      <c r="DIW41" s="822"/>
      <c r="DIX41" s="822"/>
      <c r="DIY41" s="822"/>
      <c r="DIZ41" s="822"/>
      <c r="DJA41" s="822"/>
      <c r="DJB41" s="822"/>
      <c r="DJC41" s="822"/>
      <c r="DJD41" s="822"/>
      <c r="DJE41" s="822"/>
      <c r="DJF41" s="822"/>
      <c r="DJG41" s="822"/>
      <c r="DJH41" s="822"/>
      <c r="DJI41" s="822"/>
      <c r="DJJ41" s="822"/>
      <c r="DJK41" s="822"/>
      <c r="DJL41" s="822"/>
      <c r="DJM41" s="822"/>
      <c r="DJN41" s="822"/>
      <c r="DJO41" s="822"/>
      <c r="DJP41" s="822"/>
      <c r="DJQ41" s="822"/>
      <c r="DJR41" s="822"/>
      <c r="DJS41" s="822"/>
      <c r="DJT41" s="822"/>
      <c r="DJU41" s="822"/>
      <c r="DJV41" s="822"/>
      <c r="DJW41" s="822"/>
      <c r="DJX41" s="822"/>
      <c r="DJY41" s="822"/>
      <c r="DJZ41" s="822"/>
      <c r="DKA41" s="822"/>
      <c r="DKB41" s="822"/>
      <c r="DKC41" s="822"/>
      <c r="DKD41" s="822"/>
      <c r="DKE41" s="822"/>
      <c r="DKF41" s="822"/>
      <c r="DKG41" s="822"/>
      <c r="DKH41" s="822"/>
      <c r="DKI41" s="822"/>
      <c r="DKJ41" s="822"/>
      <c r="DKK41" s="822"/>
      <c r="DKL41" s="822"/>
      <c r="DKM41" s="822"/>
      <c r="DKN41" s="822"/>
      <c r="DKO41" s="822"/>
      <c r="DKP41" s="822"/>
      <c r="DKQ41" s="822"/>
      <c r="DKR41" s="822"/>
      <c r="DKS41" s="822"/>
      <c r="DKT41" s="822"/>
      <c r="DKU41" s="822"/>
      <c r="DKV41" s="822"/>
      <c r="DKW41" s="822"/>
      <c r="DKX41" s="822"/>
      <c r="DKY41" s="822"/>
      <c r="DKZ41" s="822"/>
      <c r="DLA41" s="822"/>
      <c r="DLB41" s="822"/>
      <c r="DLC41" s="822"/>
      <c r="DLD41" s="822"/>
      <c r="DLE41" s="822"/>
      <c r="DLF41" s="822"/>
      <c r="DLG41" s="822"/>
      <c r="DLH41" s="822"/>
      <c r="DLI41" s="822"/>
      <c r="DLJ41" s="822"/>
      <c r="DLK41" s="822"/>
      <c r="DLL41" s="822"/>
      <c r="DLM41" s="822"/>
      <c r="DLN41" s="822"/>
      <c r="DLO41" s="822"/>
      <c r="DLP41" s="822"/>
      <c r="DLQ41" s="822"/>
      <c r="DLR41" s="822"/>
      <c r="DLS41" s="822"/>
      <c r="DLT41" s="822"/>
      <c r="DLU41" s="822"/>
      <c r="DLV41" s="822"/>
      <c r="DLW41" s="822"/>
      <c r="DLX41" s="822"/>
      <c r="DLY41" s="822"/>
      <c r="DLZ41" s="822"/>
      <c r="DMA41" s="822"/>
      <c r="DMB41" s="822"/>
      <c r="DMC41" s="822"/>
      <c r="DMD41" s="822"/>
      <c r="DME41" s="822"/>
      <c r="DMF41" s="822"/>
      <c r="DMG41" s="822"/>
      <c r="DMH41" s="822"/>
      <c r="DMI41" s="822"/>
      <c r="DMJ41" s="822"/>
      <c r="DMK41" s="822"/>
      <c r="DML41" s="822"/>
      <c r="DMM41" s="822"/>
      <c r="DMN41" s="822"/>
      <c r="DMO41" s="822"/>
      <c r="DMP41" s="822"/>
      <c r="DMQ41" s="822"/>
      <c r="DMR41" s="822"/>
      <c r="DMS41" s="822"/>
      <c r="DMT41" s="822"/>
      <c r="DMU41" s="822"/>
      <c r="DMV41" s="822"/>
      <c r="DMW41" s="822"/>
      <c r="DMX41" s="822"/>
      <c r="DMY41" s="822"/>
      <c r="DMZ41" s="822"/>
      <c r="DNA41" s="822"/>
      <c r="DNB41" s="822"/>
      <c r="DNC41" s="822"/>
      <c r="DND41" s="822"/>
      <c r="DNE41" s="822"/>
      <c r="DNF41" s="822"/>
      <c r="DNG41" s="822"/>
      <c r="DNH41" s="822"/>
      <c r="DNI41" s="822"/>
      <c r="DNJ41" s="822"/>
      <c r="DNK41" s="822"/>
      <c r="DNL41" s="822"/>
      <c r="DNM41" s="822"/>
      <c r="DNN41" s="822"/>
      <c r="DNO41" s="822"/>
      <c r="DNP41" s="822"/>
      <c r="DNQ41" s="822"/>
      <c r="DNR41" s="822"/>
      <c r="DNS41" s="822"/>
      <c r="DNT41" s="822"/>
      <c r="DNU41" s="822"/>
      <c r="DNV41" s="822"/>
      <c r="DNW41" s="822"/>
      <c r="DNX41" s="822"/>
      <c r="DNY41" s="822"/>
      <c r="DNZ41" s="822"/>
      <c r="DOA41" s="822"/>
      <c r="DOB41" s="822"/>
      <c r="DOC41" s="822"/>
      <c r="DOD41" s="822"/>
      <c r="DOE41" s="822"/>
      <c r="DOF41" s="822"/>
      <c r="DOG41" s="822"/>
      <c r="DOH41" s="822"/>
      <c r="DOI41" s="822"/>
      <c r="DOJ41" s="822"/>
      <c r="DOK41" s="822"/>
      <c r="DOL41" s="822"/>
      <c r="DOM41" s="822"/>
      <c r="DON41" s="822"/>
      <c r="DOO41" s="822"/>
      <c r="DOP41" s="822"/>
      <c r="DOQ41" s="822"/>
      <c r="DOR41" s="822"/>
      <c r="DOS41" s="822"/>
      <c r="DOT41" s="822"/>
      <c r="DOU41" s="822"/>
      <c r="DOV41" s="822"/>
      <c r="DOW41" s="822"/>
      <c r="DOX41" s="822"/>
      <c r="DOY41" s="822"/>
      <c r="DOZ41" s="822"/>
      <c r="DPA41" s="822"/>
      <c r="DPB41" s="822"/>
      <c r="DPC41" s="822"/>
      <c r="DPD41" s="822"/>
      <c r="DPE41" s="822"/>
      <c r="DPF41" s="822"/>
      <c r="DPG41" s="822"/>
      <c r="DPH41" s="822"/>
      <c r="DPI41" s="822"/>
      <c r="DPJ41" s="822"/>
      <c r="DPK41" s="822"/>
      <c r="DPL41" s="822"/>
      <c r="DPM41" s="822"/>
      <c r="DPN41" s="822"/>
      <c r="DPO41" s="822"/>
      <c r="DPP41" s="822"/>
      <c r="DPQ41" s="822"/>
      <c r="DPR41" s="822"/>
      <c r="DPS41" s="822"/>
      <c r="DPT41" s="822"/>
      <c r="DPU41" s="822"/>
      <c r="DPV41" s="822"/>
      <c r="DPW41" s="822"/>
      <c r="DPX41" s="822"/>
      <c r="DPY41" s="822"/>
      <c r="DPZ41" s="822"/>
      <c r="DQA41" s="822"/>
      <c r="DQB41" s="822"/>
      <c r="DQC41" s="822"/>
      <c r="DQD41" s="822"/>
      <c r="DQE41" s="822"/>
      <c r="DQF41" s="822"/>
      <c r="DQG41" s="822"/>
      <c r="DQH41" s="822"/>
      <c r="DQI41" s="822"/>
      <c r="DQJ41" s="822"/>
      <c r="DQK41" s="822"/>
      <c r="DQL41" s="822"/>
      <c r="DQM41" s="822"/>
      <c r="DQN41" s="822"/>
      <c r="DQO41" s="822"/>
      <c r="DQP41" s="822"/>
      <c r="DQQ41" s="822"/>
      <c r="DQR41" s="822"/>
      <c r="DQS41" s="822"/>
      <c r="DQT41" s="822"/>
      <c r="DQU41" s="822"/>
      <c r="DQV41" s="822"/>
      <c r="DQW41" s="822"/>
      <c r="DQX41" s="822"/>
      <c r="DQY41" s="822"/>
      <c r="DQZ41" s="822"/>
      <c r="DRA41" s="822"/>
      <c r="DRB41" s="822"/>
      <c r="DRC41" s="822"/>
      <c r="DRD41" s="822"/>
      <c r="DRE41" s="822"/>
      <c r="DRF41" s="822"/>
      <c r="DRG41" s="822"/>
      <c r="DRH41" s="822"/>
      <c r="DRI41" s="822"/>
      <c r="DRJ41" s="822"/>
      <c r="DRK41" s="822"/>
      <c r="DRL41" s="822"/>
      <c r="DRM41" s="822"/>
      <c r="DRN41" s="822"/>
      <c r="DRO41" s="822"/>
      <c r="DRP41" s="822"/>
      <c r="DRQ41" s="822"/>
      <c r="DRR41" s="822"/>
      <c r="DRS41" s="822"/>
      <c r="DRT41" s="822"/>
      <c r="DRU41" s="822"/>
      <c r="DRV41" s="822"/>
      <c r="DRW41" s="822"/>
      <c r="DRX41" s="822"/>
      <c r="DRY41" s="822"/>
      <c r="DRZ41" s="822"/>
      <c r="DSA41" s="822"/>
      <c r="DSB41" s="822"/>
      <c r="DSC41" s="822"/>
      <c r="DSD41" s="822"/>
      <c r="DSE41" s="822"/>
      <c r="DSF41" s="822"/>
      <c r="DSG41" s="822"/>
      <c r="DSH41" s="822"/>
      <c r="DSI41" s="822"/>
      <c r="DSJ41" s="822"/>
      <c r="DSK41" s="822"/>
      <c r="DSL41" s="822"/>
      <c r="DSM41" s="822"/>
      <c r="DSN41" s="822"/>
      <c r="DSO41" s="822"/>
      <c r="DSP41" s="822"/>
      <c r="DSQ41" s="822"/>
      <c r="DSR41" s="822"/>
      <c r="DSS41" s="822"/>
      <c r="DST41" s="822"/>
      <c r="DSU41" s="822"/>
      <c r="DSV41" s="822"/>
      <c r="DSW41" s="822"/>
      <c r="DSX41" s="822"/>
      <c r="DSY41" s="822"/>
      <c r="DSZ41" s="822"/>
      <c r="DTA41" s="822"/>
      <c r="DTB41" s="822"/>
      <c r="DTC41" s="822"/>
      <c r="DTD41" s="822"/>
      <c r="DTE41" s="822"/>
      <c r="DTF41" s="822"/>
      <c r="DTG41" s="822"/>
      <c r="DTH41" s="822"/>
      <c r="DTI41" s="822"/>
      <c r="DTJ41" s="822"/>
      <c r="DTK41" s="822"/>
      <c r="DTL41" s="822"/>
      <c r="DTM41" s="822"/>
      <c r="DTN41" s="822"/>
      <c r="DTO41" s="822"/>
      <c r="DTP41" s="822"/>
      <c r="DTQ41" s="822"/>
      <c r="DTR41" s="822"/>
      <c r="DTS41" s="822"/>
      <c r="DTT41" s="822"/>
      <c r="DTU41" s="822"/>
      <c r="DTV41" s="822"/>
      <c r="DTW41" s="822"/>
      <c r="DTX41" s="822"/>
      <c r="DTY41" s="822"/>
      <c r="DTZ41" s="822"/>
      <c r="DUA41" s="822"/>
      <c r="DUB41" s="822"/>
      <c r="DUC41" s="822"/>
      <c r="DUD41" s="822"/>
      <c r="DUE41" s="822"/>
      <c r="DUF41" s="822"/>
      <c r="DUG41" s="822"/>
      <c r="DUH41" s="822"/>
      <c r="DUI41" s="822"/>
      <c r="DUJ41" s="822"/>
      <c r="DUK41" s="822"/>
      <c r="DUL41" s="822"/>
      <c r="DUM41" s="822"/>
      <c r="DUN41" s="822"/>
      <c r="DUO41" s="822"/>
      <c r="DUP41" s="822"/>
      <c r="DUQ41" s="822"/>
      <c r="DUR41" s="822"/>
      <c r="DUS41" s="822"/>
      <c r="DUT41" s="822"/>
      <c r="DUU41" s="822"/>
      <c r="DUV41" s="822"/>
      <c r="DUW41" s="822"/>
      <c r="DUX41" s="822"/>
      <c r="DUY41" s="822"/>
      <c r="DUZ41" s="822"/>
      <c r="DVA41" s="822"/>
      <c r="DVB41" s="822"/>
      <c r="DVC41" s="822"/>
      <c r="DVD41" s="822"/>
      <c r="DVE41" s="822"/>
      <c r="DVF41" s="822"/>
      <c r="DVG41" s="822"/>
      <c r="DVH41" s="822"/>
      <c r="DVI41" s="822"/>
      <c r="DVJ41" s="822"/>
      <c r="DVK41" s="822"/>
      <c r="DVL41" s="822"/>
      <c r="DVM41" s="822"/>
      <c r="DVN41" s="822"/>
      <c r="DVO41" s="822"/>
      <c r="DVP41" s="822"/>
      <c r="DVQ41" s="822"/>
      <c r="DVR41" s="822"/>
      <c r="DVS41" s="822"/>
      <c r="DVT41" s="822"/>
      <c r="DVU41" s="822"/>
      <c r="DVV41" s="822"/>
      <c r="DVW41" s="822"/>
      <c r="DVX41" s="822"/>
      <c r="DVY41" s="822"/>
      <c r="DVZ41" s="822"/>
      <c r="DWA41" s="822"/>
      <c r="DWB41" s="822"/>
      <c r="DWC41" s="822"/>
      <c r="DWD41" s="822"/>
      <c r="DWE41" s="822"/>
      <c r="DWF41" s="822"/>
      <c r="DWG41" s="822"/>
      <c r="DWH41" s="822"/>
      <c r="DWI41" s="822"/>
      <c r="DWJ41" s="822"/>
      <c r="DWK41" s="822"/>
      <c r="DWL41" s="822"/>
      <c r="DWM41" s="822"/>
      <c r="DWN41" s="822"/>
      <c r="DWO41" s="822"/>
      <c r="DWP41" s="822"/>
      <c r="DWQ41" s="822"/>
      <c r="DWR41" s="822"/>
      <c r="DWS41" s="822"/>
      <c r="DWT41" s="822"/>
      <c r="DWU41" s="822"/>
      <c r="DWV41" s="822"/>
      <c r="DWW41" s="822"/>
      <c r="DWX41" s="822"/>
      <c r="DWY41" s="822"/>
      <c r="DWZ41" s="822"/>
      <c r="DXA41" s="822"/>
      <c r="DXB41" s="822"/>
      <c r="DXC41" s="822"/>
      <c r="DXD41" s="822"/>
      <c r="DXE41" s="822"/>
      <c r="DXF41" s="822"/>
      <c r="DXG41" s="822"/>
      <c r="DXH41" s="822"/>
      <c r="DXI41" s="822"/>
      <c r="DXJ41" s="822"/>
      <c r="DXK41" s="822"/>
      <c r="DXL41" s="822"/>
      <c r="DXM41" s="822"/>
      <c r="DXN41" s="822"/>
      <c r="DXO41" s="822"/>
      <c r="DXP41" s="822"/>
      <c r="DXQ41" s="822"/>
      <c r="DXR41" s="822"/>
      <c r="DXS41" s="822"/>
      <c r="DXT41" s="822"/>
      <c r="DXU41" s="822"/>
      <c r="DXV41" s="822"/>
      <c r="DXW41" s="822"/>
      <c r="DXX41" s="822"/>
      <c r="DXY41" s="822"/>
      <c r="DXZ41" s="822"/>
      <c r="DYA41" s="822"/>
      <c r="DYB41" s="822"/>
      <c r="DYC41" s="822"/>
      <c r="DYD41" s="822"/>
      <c r="DYE41" s="822"/>
      <c r="DYF41" s="822"/>
      <c r="DYG41" s="822"/>
      <c r="DYH41" s="822"/>
      <c r="DYI41" s="822"/>
      <c r="DYJ41" s="822"/>
      <c r="DYK41" s="822"/>
      <c r="DYL41" s="822"/>
      <c r="DYM41" s="822"/>
      <c r="DYN41" s="822"/>
      <c r="DYO41" s="822"/>
      <c r="DYP41" s="822"/>
      <c r="DYQ41" s="822"/>
      <c r="DYR41" s="822"/>
      <c r="DYS41" s="822"/>
      <c r="DYT41" s="822"/>
      <c r="DYU41" s="822"/>
      <c r="DYV41" s="822"/>
      <c r="DYW41" s="822"/>
      <c r="DYX41" s="822"/>
      <c r="DYY41" s="822"/>
      <c r="DYZ41" s="822"/>
      <c r="DZA41" s="822"/>
      <c r="DZB41" s="822"/>
      <c r="DZC41" s="822"/>
      <c r="DZD41" s="822"/>
      <c r="DZE41" s="822"/>
      <c r="DZF41" s="822"/>
      <c r="DZG41" s="822"/>
      <c r="DZH41" s="822"/>
      <c r="DZI41" s="822"/>
      <c r="DZJ41" s="822"/>
      <c r="DZK41" s="822"/>
      <c r="DZL41" s="822"/>
      <c r="DZM41" s="822"/>
      <c r="DZN41" s="822"/>
      <c r="DZO41" s="822"/>
      <c r="DZP41" s="822"/>
      <c r="DZQ41" s="822"/>
      <c r="DZR41" s="822"/>
      <c r="DZS41" s="822"/>
      <c r="DZT41" s="822"/>
      <c r="DZU41" s="822"/>
      <c r="DZV41" s="822"/>
      <c r="DZW41" s="822"/>
      <c r="DZX41" s="822"/>
      <c r="DZY41" s="822"/>
      <c r="DZZ41" s="822"/>
      <c r="EAA41" s="822"/>
      <c r="EAB41" s="822"/>
      <c r="EAC41" s="822"/>
      <c r="EAD41" s="822"/>
      <c r="EAE41" s="822"/>
      <c r="EAF41" s="822"/>
      <c r="EAG41" s="822"/>
      <c r="EAH41" s="822"/>
      <c r="EAI41" s="822"/>
      <c r="EAJ41" s="822"/>
      <c r="EAK41" s="822"/>
      <c r="EAL41" s="822"/>
      <c r="EAM41" s="822"/>
      <c r="EAN41" s="822"/>
      <c r="EAO41" s="822"/>
      <c r="EAP41" s="822"/>
      <c r="EAQ41" s="822"/>
      <c r="EAR41" s="822"/>
      <c r="EAS41" s="822"/>
      <c r="EAT41" s="822"/>
      <c r="EAU41" s="822"/>
      <c r="EAV41" s="822"/>
      <c r="EAW41" s="822"/>
      <c r="EAX41" s="822"/>
      <c r="EAY41" s="822"/>
      <c r="EAZ41" s="822"/>
      <c r="EBA41" s="822"/>
      <c r="EBB41" s="822"/>
      <c r="EBC41" s="822"/>
      <c r="EBD41" s="822"/>
      <c r="EBE41" s="822"/>
      <c r="EBF41" s="822"/>
      <c r="EBG41" s="822"/>
      <c r="EBH41" s="822"/>
      <c r="EBI41" s="822"/>
      <c r="EBJ41" s="822"/>
      <c r="EBK41" s="822"/>
      <c r="EBL41" s="822"/>
      <c r="EBM41" s="822"/>
      <c r="EBN41" s="822"/>
      <c r="EBO41" s="822"/>
      <c r="EBP41" s="822"/>
      <c r="EBQ41" s="822"/>
      <c r="EBR41" s="822"/>
      <c r="EBS41" s="822"/>
      <c r="EBT41" s="822"/>
      <c r="EBU41" s="822"/>
      <c r="EBV41" s="822"/>
      <c r="EBW41" s="822"/>
      <c r="EBX41" s="822"/>
      <c r="EBY41" s="822"/>
      <c r="EBZ41" s="822"/>
      <c r="ECA41" s="822"/>
      <c r="ECB41" s="822"/>
      <c r="ECC41" s="822"/>
      <c r="ECD41" s="822"/>
      <c r="ECE41" s="822"/>
      <c r="ECF41" s="822"/>
      <c r="ECG41" s="822"/>
      <c r="ECH41" s="822"/>
      <c r="ECI41" s="822"/>
      <c r="ECJ41" s="822"/>
      <c r="ECK41" s="822"/>
      <c r="ECL41" s="822"/>
      <c r="ECM41" s="822"/>
      <c r="ECN41" s="822"/>
      <c r="ECO41" s="822"/>
      <c r="ECP41" s="822"/>
      <c r="ECQ41" s="822"/>
      <c r="ECR41" s="822"/>
      <c r="ECS41" s="822"/>
      <c r="ECT41" s="822"/>
      <c r="ECU41" s="822"/>
      <c r="ECV41" s="822"/>
      <c r="ECW41" s="822"/>
      <c r="ECX41" s="822"/>
      <c r="ECY41" s="822"/>
      <c r="ECZ41" s="822"/>
      <c r="EDA41" s="822"/>
      <c r="EDB41" s="822"/>
      <c r="EDC41" s="822"/>
      <c r="EDD41" s="822"/>
      <c r="EDE41" s="822"/>
      <c r="EDF41" s="822"/>
      <c r="EDG41" s="822"/>
      <c r="EDH41" s="822"/>
      <c r="EDI41" s="822"/>
      <c r="EDJ41" s="822"/>
      <c r="EDK41" s="822"/>
      <c r="EDL41" s="822"/>
      <c r="EDM41" s="822"/>
      <c r="EDN41" s="822"/>
      <c r="EDO41" s="822"/>
      <c r="EDP41" s="822"/>
      <c r="EDQ41" s="822"/>
      <c r="EDR41" s="822"/>
      <c r="EDS41" s="822"/>
      <c r="EDT41" s="822"/>
      <c r="EDU41" s="822"/>
      <c r="EDV41" s="822"/>
      <c r="EDW41" s="822"/>
      <c r="EDX41" s="822"/>
      <c r="EDY41" s="822"/>
      <c r="EDZ41" s="822"/>
      <c r="EEA41" s="822"/>
      <c r="EEB41" s="822"/>
      <c r="EEC41" s="822"/>
      <c r="EED41" s="822"/>
      <c r="EEE41" s="822"/>
      <c r="EEF41" s="822"/>
      <c r="EEG41" s="822"/>
      <c r="EEH41" s="822"/>
      <c r="EEI41" s="822"/>
      <c r="EEJ41" s="822"/>
      <c r="EEK41" s="822"/>
      <c r="EEL41" s="822"/>
      <c r="EEM41" s="822"/>
      <c r="EEN41" s="822"/>
      <c r="EEO41" s="822"/>
      <c r="EEP41" s="822"/>
      <c r="EEQ41" s="822"/>
      <c r="EER41" s="822"/>
      <c r="EES41" s="822"/>
      <c r="EET41" s="822"/>
      <c r="EEU41" s="822"/>
      <c r="EEV41" s="822"/>
      <c r="EEW41" s="822"/>
      <c r="EEX41" s="822"/>
      <c r="EEY41" s="822"/>
      <c r="EEZ41" s="822"/>
      <c r="EFA41" s="822"/>
      <c r="EFB41" s="822"/>
      <c r="EFC41" s="822"/>
      <c r="EFD41" s="822"/>
      <c r="EFE41" s="822"/>
      <c r="EFF41" s="822"/>
      <c r="EFG41" s="822"/>
      <c r="EFH41" s="822"/>
      <c r="EFI41" s="822"/>
      <c r="EFJ41" s="822"/>
      <c r="EFK41" s="822"/>
      <c r="EFL41" s="822"/>
      <c r="EFM41" s="822"/>
      <c r="EFN41" s="822"/>
      <c r="EFO41" s="822"/>
      <c r="EFP41" s="822"/>
      <c r="EFQ41" s="822"/>
      <c r="EFR41" s="822"/>
      <c r="EFS41" s="822"/>
      <c r="EFT41" s="822"/>
      <c r="EFU41" s="822"/>
      <c r="EFV41" s="822"/>
      <c r="EFW41" s="822"/>
      <c r="EFX41" s="822"/>
      <c r="EFY41" s="822"/>
      <c r="EFZ41" s="822"/>
      <c r="EGA41" s="822"/>
      <c r="EGB41" s="822"/>
      <c r="EGC41" s="822"/>
      <c r="EGD41" s="822"/>
      <c r="EGE41" s="822"/>
      <c r="EGF41" s="822"/>
      <c r="EGG41" s="822"/>
      <c r="EGH41" s="822"/>
      <c r="EGI41" s="822"/>
      <c r="EGJ41" s="822"/>
      <c r="EGK41" s="822"/>
      <c r="EGL41" s="822"/>
      <c r="EGM41" s="822"/>
      <c r="EGN41" s="822"/>
      <c r="EGO41" s="822"/>
      <c r="EGP41" s="822"/>
      <c r="EGQ41" s="822"/>
      <c r="EGR41" s="822"/>
      <c r="EGS41" s="822"/>
      <c r="EGT41" s="822"/>
      <c r="EGU41" s="822"/>
      <c r="EGV41" s="822"/>
      <c r="EGW41" s="822"/>
      <c r="EGX41" s="822"/>
      <c r="EGY41" s="822"/>
      <c r="EGZ41" s="822"/>
      <c r="EHA41" s="822"/>
      <c r="EHB41" s="822"/>
      <c r="EHC41" s="822"/>
      <c r="EHD41" s="822"/>
      <c r="EHE41" s="822"/>
      <c r="EHF41" s="822"/>
      <c r="EHG41" s="822"/>
      <c r="EHH41" s="822"/>
      <c r="EHI41" s="822"/>
      <c r="EHJ41" s="822"/>
      <c r="EHK41" s="822"/>
      <c r="EHL41" s="822"/>
      <c r="EHM41" s="822"/>
      <c r="EHN41" s="822"/>
      <c r="EHO41" s="822"/>
      <c r="EHP41" s="822"/>
      <c r="EHQ41" s="822"/>
      <c r="EHR41" s="822"/>
      <c r="EHS41" s="822"/>
      <c r="EHT41" s="822"/>
      <c r="EHU41" s="822"/>
      <c r="EHV41" s="822"/>
      <c r="EHW41" s="822"/>
      <c r="EHX41" s="822"/>
      <c r="EHY41" s="822"/>
      <c r="EHZ41" s="822"/>
      <c r="EIA41" s="822"/>
      <c r="EIB41" s="822"/>
      <c r="EIC41" s="822"/>
      <c r="EID41" s="822"/>
      <c r="EIE41" s="822"/>
      <c r="EIF41" s="822"/>
      <c r="EIG41" s="822"/>
      <c r="EIH41" s="822"/>
      <c r="EII41" s="822"/>
      <c r="EIJ41" s="822"/>
      <c r="EIK41" s="822"/>
      <c r="EIL41" s="822"/>
      <c r="EIM41" s="822"/>
      <c r="EIN41" s="822"/>
      <c r="EIO41" s="822"/>
      <c r="EIP41" s="822"/>
      <c r="EIQ41" s="822"/>
      <c r="EIR41" s="822"/>
      <c r="EIS41" s="822"/>
      <c r="EIT41" s="822"/>
      <c r="EIU41" s="822"/>
      <c r="EIV41" s="822"/>
      <c r="EIW41" s="822"/>
      <c r="EIX41" s="822"/>
      <c r="EIY41" s="822"/>
      <c r="EIZ41" s="822"/>
      <c r="EJA41" s="822"/>
      <c r="EJB41" s="822"/>
      <c r="EJC41" s="822"/>
      <c r="EJD41" s="822"/>
      <c r="EJE41" s="822"/>
      <c r="EJF41" s="822"/>
      <c r="EJG41" s="822"/>
      <c r="EJH41" s="822"/>
      <c r="EJI41" s="822"/>
      <c r="EJJ41" s="822"/>
      <c r="EJK41" s="822"/>
      <c r="EJL41" s="822"/>
      <c r="EJM41" s="822"/>
      <c r="EJN41" s="822"/>
      <c r="EJO41" s="822"/>
      <c r="EJP41" s="822"/>
      <c r="EJQ41" s="822"/>
      <c r="EJR41" s="822"/>
      <c r="EJS41" s="822"/>
      <c r="EJT41" s="822"/>
      <c r="EJU41" s="822"/>
      <c r="EJV41" s="822"/>
      <c r="EJW41" s="822"/>
      <c r="EJX41" s="822"/>
      <c r="EJY41" s="822"/>
      <c r="EJZ41" s="822"/>
      <c r="EKA41" s="822"/>
      <c r="EKB41" s="822"/>
      <c r="EKC41" s="822"/>
      <c r="EKD41" s="822"/>
      <c r="EKE41" s="822"/>
      <c r="EKF41" s="822"/>
      <c r="EKG41" s="822"/>
      <c r="EKH41" s="822"/>
      <c r="EKI41" s="822"/>
      <c r="EKJ41" s="822"/>
      <c r="EKK41" s="822"/>
      <c r="EKL41" s="822"/>
      <c r="EKM41" s="822"/>
      <c r="EKN41" s="822"/>
      <c r="EKO41" s="822"/>
      <c r="EKP41" s="822"/>
      <c r="EKQ41" s="822"/>
      <c r="EKR41" s="822"/>
      <c r="EKS41" s="822"/>
      <c r="EKT41" s="822"/>
      <c r="EKU41" s="822"/>
      <c r="EKV41" s="822"/>
      <c r="EKW41" s="822"/>
      <c r="EKX41" s="822"/>
      <c r="EKY41" s="822"/>
      <c r="EKZ41" s="822"/>
      <c r="ELA41" s="822"/>
      <c r="ELB41" s="822"/>
      <c r="ELC41" s="822"/>
      <c r="ELD41" s="822"/>
      <c r="ELE41" s="822"/>
      <c r="ELF41" s="822"/>
      <c r="ELG41" s="822"/>
      <c r="ELH41" s="822"/>
      <c r="ELI41" s="822"/>
      <c r="ELJ41" s="822"/>
      <c r="ELK41" s="822"/>
      <c r="ELL41" s="822"/>
      <c r="ELM41" s="822"/>
      <c r="ELN41" s="822"/>
      <c r="ELO41" s="822"/>
      <c r="ELP41" s="822"/>
      <c r="ELQ41" s="822"/>
      <c r="ELR41" s="822"/>
      <c r="ELS41" s="822"/>
      <c r="ELT41" s="822"/>
      <c r="ELU41" s="822"/>
      <c r="ELV41" s="822"/>
      <c r="ELW41" s="822"/>
      <c r="ELX41" s="822"/>
      <c r="ELY41" s="822"/>
      <c r="ELZ41" s="822"/>
      <c r="EMA41" s="822"/>
      <c r="EMB41" s="822"/>
      <c r="EMC41" s="822"/>
      <c r="EMD41" s="822"/>
      <c r="EME41" s="822"/>
      <c r="EMF41" s="822"/>
      <c r="EMG41" s="822"/>
      <c r="EMH41" s="822"/>
      <c r="EMI41" s="822"/>
      <c r="EMJ41" s="822"/>
      <c r="EMK41" s="822"/>
      <c r="EML41" s="822"/>
      <c r="EMM41" s="822"/>
      <c r="EMN41" s="822"/>
      <c r="EMO41" s="822"/>
      <c r="EMP41" s="822"/>
      <c r="EMQ41" s="822"/>
      <c r="EMR41" s="822"/>
      <c r="EMS41" s="822"/>
      <c r="EMT41" s="822"/>
      <c r="EMU41" s="822"/>
      <c r="EMV41" s="822"/>
      <c r="EMW41" s="822"/>
      <c r="EMX41" s="822"/>
      <c r="EMY41" s="822"/>
      <c r="EMZ41" s="822"/>
      <c r="ENA41" s="822"/>
      <c r="ENB41" s="822"/>
      <c r="ENC41" s="822"/>
      <c r="END41" s="822"/>
      <c r="ENE41" s="822"/>
      <c r="ENF41" s="822"/>
      <c r="ENG41" s="822"/>
      <c r="ENH41" s="822"/>
      <c r="ENI41" s="822"/>
      <c r="ENJ41" s="822"/>
      <c r="ENK41" s="822"/>
      <c r="ENL41" s="822"/>
      <c r="ENM41" s="822"/>
      <c r="ENN41" s="822"/>
      <c r="ENO41" s="822"/>
      <c r="ENP41" s="822"/>
      <c r="ENQ41" s="822"/>
      <c r="ENR41" s="822"/>
      <c r="ENS41" s="822"/>
      <c r="ENT41" s="822"/>
      <c r="ENU41" s="822"/>
      <c r="ENV41" s="822"/>
      <c r="ENW41" s="822"/>
      <c r="ENX41" s="822"/>
      <c r="ENY41" s="822"/>
      <c r="ENZ41" s="822"/>
      <c r="EOA41" s="822"/>
      <c r="EOB41" s="822"/>
      <c r="EOC41" s="822"/>
      <c r="EOD41" s="822"/>
      <c r="EOE41" s="822"/>
      <c r="EOF41" s="822"/>
      <c r="EOG41" s="822"/>
      <c r="EOH41" s="822"/>
      <c r="EOI41" s="822"/>
      <c r="EOJ41" s="822"/>
      <c r="EOK41" s="822"/>
      <c r="EOL41" s="822"/>
      <c r="EOM41" s="822"/>
      <c r="EON41" s="822"/>
      <c r="EOO41" s="822"/>
      <c r="EOP41" s="822"/>
      <c r="EOQ41" s="822"/>
      <c r="EOR41" s="822"/>
      <c r="EOS41" s="822"/>
      <c r="EOT41" s="822"/>
      <c r="EOU41" s="822"/>
      <c r="EOV41" s="822"/>
      <c r="EOW41" s="822"/>
      <c r="EOX41" s="822"/>
      <c r="EOY41" s="822"/>
      <c r="EOZ41" s="822"/>
      <c r="EPA41" s="822"/>
      <c r="EPB41" s="822"/>
      <c r="EPC41" s="822"/>
      <c r="EPD41" s="822"/>
      <c r="EPE41" s="822"/>
      <c r="EPF41" s="822"/>
      <c r="EPG41" s="822"/>
      <c r="EPH41" s="822"/>
      <c r="EPI41" s="822"/>
      <c r="EPJ41" s="822"/>
      <c r="EPK41" s="822"/>
      <c r="EPL41" s="822"/>
      <c r="EPM41" s="822"/>
      <c r="EPN41" s="822"/>
      <c r="EPO41" s="822"/>
      <c r="EPP41" s="822"/>
      <c r="EPQ41" s="822"/>
      <c r="EPR41" s="822"/>
      <c r="EPS41" s="822"/>
      <c r="EPT41" s="822"/>
      <c r="EPU41" s="822"/>
      <c r="EPV41" s="822"/>
      <c r="EPW41" s="822"/>
      <c r="EPX41" s="822"/>
      <c r="EPY41" s="822"/>
      <c r="EPZ41" s="822"/>
      <c r="EQA41" s="822"/>
      <c r="EQB41" s="822"/>
      <c r="EQC41" s="822"/>
      <c r="EQD41" s="822"/>
      <c r="EQE41" s="822"/>
      <c r="EQF41" s="822"/>
      <c r="EQG41" s="822"/>
      <c r="EQH41" s="822"/>
      <c r="EQI41" s="822"/>
      <c r="EQJ41" s="822"/>
      <c r="EQK41" s="822"/>
      <c r="EQL41" s="822"/>
      <c r="EQM41" s="822"/>
      <c r="EQN41" s="822"/>
      <c r="EQO41" s="822"/>
      <c r="EQP41" s="822"/>
      <c r="EQQ41" s="822"/>
      <c r="EQR41" s="822"/>
      <c r="EQS41" s="822"/>
      <c r="EQT41" s="822"/>
      <c r="EQU41" s="822"/>
      <c r="EQV41" s="822"/>
      <c r="EQW41" s="822"/>
      <c r="EQX41" s="822"/>
      <c r="EQY41" s="822"/>
      <c r="EQZ41" s="822"/>
      <c r="ERA41" s="822"/>
      <c r="ERB41" s="822"/>
      <c r="ERC41" s="822"/>
      <c r="ERD41" s="822"/>
      <c r="ERE41" s="822"/>
      <c r="ERF41" s="822"/>
      <c r="ERG41" s="822"/>
      <c r="ERH41" s="822"/>
      <c r="ERI41" s="822"/>
      <c r="ERJ41" s="822"/>
      <c r="ERK41" s="822"/>
      <c r="ERL41" s="822"/>
      <c r="ERM41" s="822"/>
      <c r="ERN41" s="822"/>
      <c r="ERO41" s="822"/>
      <c r="ERP41" s="822"/>
      <c r="ERQ41" s="822"/>
      <c r="ERR41" s="822"/>
      <c r="ERS41" s="822"/>
      <c r="ERT41" s="822"/>
      <c r="ERU41" s="822"/>
      <c r="ERV41" s="822"/>
      <c r="ERW41" s="822"/>
      <c r="ERX41" s="822"/>
      <c r="ERY41" s="822"/>
      <c r="ERZ41" s="822"/>
      <c r="ESA41" s="822"/>
      <c r="ESB41" s="822"/>
      <c r="ESC41" s="822"/>
      <c r="ESD41" s="822"/>
      <c r="ESE41" s="822"/>
      <c r="ESF41" s="822"/>
      <c r="ESG41" s="822"/>
      <c r="ESH41" s="822"/>
      <c r="ESI41" s="822"/>
      <c r="ESJ41" s="822"/>
      <c r="ESK41" s="822"/>
      <c r="ESL41" s="822"/>
      <c r="ESM41" s="822"/>
      <c r="ESN41" s="822"/>
      <c r="ESO41" s="822"/>
      <c r="ESP41" s="822"/>
      <c r="ESQ41" s="822"/>
      <c r="ESR41" s="822"/>
      <c r="ESS41" s="822"/>
      <c r="EST41" s="822"/>
      <c r="ESU41" s="822"/>
      <c r="ESV41" s="822"/>
      <c r="ESW41" s="822"/>
      <c r="ESX41" s="822"/>
      <c r="ESY41" s="822"/>
      <c r="ESZ41" s="822"/>
      <c r="ETA41" s="822"/>
      <c r="ETB41" s="822"/>
      <c r="ETC41" s="822"/>
      <c r="ETD41" s="822"/>
      <c r="ETE41" s="822"/>
      <c r="ETF41" s="822"/>
      <c r="ETG41" s="822"/>
      <c r="ETH41" s="822"/>
      <c r="ETI41" s="822"/>
      <c r="ETJ41" s="822"/>
      <c r="ETK41" s="822"/>
      <c r="ETL41" s="822"/>
      <c r="ETM41" s="822"/>
      <c r="ETN41" s="822"/>
      <c r="ETO41" s="822"/>
      <c r="ETP41" s="822"/>
      <c r="ETQ41" s="822"/>
      <c r="ETR41" s="822"/>
      <c r="ETS41" s="822"/>
      <c r="ETT41" s="822"/>
      <c r="ETU41" s="822"/>
      <c r="ETV41" s="822"/>
      <c r="ETW41" s="822"/>
      <c r="ETX41" s="822"/>
      <c r="ETY41" s="822"/>
      <c r="ETZ41" s="822"/>
      <c r="EUA41" s="822"/>
      <c r="EUB41" s="822"/>
      <c r="EUC41" s="822"/>
      <c r="EUD41" s="822"/>
      <c r="EUE41" s="822"/>
      <c r="EUF41" s="822"/>
      <c r="EUG41" s="822"/>
      <c r="EUH41" s="822"/>
      <c r="EUI41" s="822"/>
      <c r="EUJ41" s="822"/>
      <c r="EUK41" s="822"/>
      <c r="EUL41" s="822"/>
      <c r="EUM41" s="822"/>
      <c r="EUN41" s="822"/>
      <c r="EUO41" s="822"/>
      <c r="EUP41" s="822"/>
      <c r="EUQ41" s="822"/>
      <c r="EUR41" s="822"/>
      <c r="EUS41" s="822"/>
      <c r="EUT41" s="822"/>
      <c r="EUU41" s="822"/>
      <c r="EUV41" s="822"/>
      <c r="EUW41" s="822"/>
      <c r="EUX41" s="822"/>
      <c r="EUY41" s="822"/>
      <c r="EUZ41" s="822"/>
      <c r="EVA41" s="822"/>
      <c r="EVB41" s="822"/>
      <c r="EVC41" s="822"/>
      <c r="EVD41" s="822"/>
      <c r="EVE41" s="822"/>
      <c r="EVF41" s="822"/>
      <c r="EVG41" s="822"/>
      <c r="EVH41" s="822"/>
      <c r="EVI41" s="822"/>
      <c r="EVJ41" s="822"/>
      <c r="EVK41" s="822"/>
      <c r="EVL41" s="822"/>
      <c r="EVM41" s="822"/>
      <c r="EVN41" s="822"/>
      <c r="EVO41" s="822"/>
      <c r="EVP41" s="822"/>
      <c r="EVQ41" s="822"/>
      <c r="EVR41" s="822"/>
      <c r="EVS41" s="822"/>
      <c r="EVT41" s="822"/>
      <c r="EVU41" s="822"/>
      <c r="EVV41" s="822"/>
      <c r="EVW41" s="822"/>
      <c r="EVX41" s="822"/>
      <c r="EVY41" s="822"/>
      <c r="EVZ41" s="822"/>
      <c r="EWA41" s="822"/>
      <c r="EWB41" s="822"/>
      <c r="EWC41" s="822"/>
      <c r="EWD41" s="822"/>
      <c r="EWE41" s="822"/>
      <c r="EWF41" s="822"/>
      <c r="EWG41" s="822"/>
      <c r="EWH41" s="822"/>
      <c r="EWI41" s="822"/>
      <c r="EWJ41" s="822"/>
      <c r="EWK41" s="822"/>
      <c r="EWL41" s="822"/>
      <c r="EWM41" s="822"/>
      <c r="EWN41" s="822"/>
      <c r="EWO41" s="822"/>
      <c r="EWP41" s="822"/>
      <c r="EWQ41" s="822"/>
      <c r="EWR41" s="822"/>
      <c r="EWS41" s="822"/>
      <c r="EWT41" s="822"/>
      <c r="EWU41" s="822"/>
      <c r="EWV41" s="822"/>
      <c r="EWW41" s="822"/>
      <c r="EWX41" s="822"/>
      <c r="EWY41" s="822"/>
      <c r="EWZ41" s="822"/>
      <c r="EXA41" s="822"/>
      <c r="EXB41" s="822"/>
      <c r="EXC41" s="822"/>
      <c r="EXD41" s="822"/>
      <c r="EXE41" s="822"/>
      <c r="EXF41" s="822"/>
      <c r="EXG41" s="822"/>
      <c r="EXH41" s="822"/>
      <c r="EXI41" s="822"/>
      <c r="EXJ41" s="822"/>
      <c r="EXK41" s="822"/>
      <c r="EXL41" s="822"/>
      <c r="EXM41" s="822"/>
      <c r="EXN41" s="822"/>
      <c r="EXO41" s="822"/>
      <c r="EXP41" s="822"/>
      <c r="EXQ41" s="822"/>
      <c r="EXR41" s="822"/>
      <c r="EXS41" s="822"/>
      <c r="EXT41" s="822"/>
      <c r="EXU41" s="822"/>
      <c r="EXV41" s="822"/>
      <c r="EXW41" s="822"/>
      <c r="EXX41" s="822"/>
      <c r="EXY41" s="822"/>
      <c r="EXZ41" s="822"/>
      <c r="EYA41" s="822"/>
      <c r="EYB41" s="822"/>
      <c r="EYC41" s="822"/>
      <c r="EYD41" s="822"/>
      <c r="EYE41" s="822"/>
      <c r="EYF41" s="822"/>
      <c r="EYG41" s="822"/>
      <c r="EYH41" s="822"/>
      <c r="EYI41" s="822"/>
      <c r="EYJ41" s="822"/>
      <c r="EYK41" s="822"/>
      <c r="EYL41" s="822"/>
      <c r="EYM41" s="822"/>
      <c r="EYN41" s="822"/>
      <c r="EYO41" s="822"/>
      <c r="EYP41" s="822"/>
      <c r="EYQ41" s="822"/>
      <c r="EYR41" s="822"/>
      <c r="EYS41" s="822"/>
      <c r="EYT41" s="822"/>
      <c r="EYU41" s="822"/>
      <c r="EYV41" s="822"/>
      <c r="EYW41" s="822"/>
      <c r="EYX41" s="822"/>
      <c r="EYY41" s="822"/>
      <c r="EYZ41" s="822"/>
      <c r="EZA41" s="822"/>
      <c r="EZB41" s="822"/>
      <c r="EZC41" s="822"/>
      <c r="EZD41" s="822"/>
      <c r="EZE41" s="822"/>
      <c r="EZF41" s="822"/>
      <c r="EZG41" s="822"/>
      <c r="EZH41" s="822"/>
      <c r="EZI41" s="822"/>
      <c r="EZJ41" s="822"/>
      <c r="EZK41" s="822"/>
      <c r="EZL41" s="822"/>
      <c r="EZM41" s="822"/>
      <c r="EZN41" s="822"/>
      <c r="EZO41" s="822"/>
      <c r="EZP41" s="822"/>
      <c r="EZQ41" s="822"/>
      <c r="EZR41" s="822"/>
      <c r="EZS41" s="822"/>
      <c r="EZT41" s="822"/>
      <c r="EZU41" s="822"/>
      <c r="EZV41" s="822"/>
      <c r="EZW41" s="822"/>
      <c r="EZX41" s="822"/>
      <c r="EZY41" s="822"/>
      <c r="EZZ41" s="822"/>
      <c r="FAA41" s="822"/>
      <c r="FAB41" s="822"/>
      <c r="FAC41" s="822"/>
      <c r="FAD41" s="822"/>
      <c r="FAE41" s="822"/>
      <c r="FAF41" s="822"/>
      <c r="FAG41" s="822"/>
      <c r="FAH41" s="822"/>
      <c r="FAI41" s="822"/>
      <c r="FAJ41" s="822"/>
      <c r="FAK41" s="822"/>
      <c r="FAL41" s="822"/>
      <c r="FAM41" s="822"/>
      <c r="FAN41" s="822"/>
      <c r="FAO41" s="822"/>
      <c r="FAP41" s="822"/>
      <c r="FAQ41" s="822"/>
      <c r="FAR41" s="822"/>
      <c r="FAS41" s="822"/>
      <c r="FAT41" s="822"/>
      <c r="FAU41" s="822"/>
      <c r="FAV41" s="822"/>
      <c r="FAW41" s="822"/>
      <c r="FAX41" s="822"/>
      <c r="FAY41" s="822"/>
      <c r="FAZ41" s="822"/>
      <c r="FBA41" s="822"/>
      <c r="FBB41" s="822"/>
      <c r="FBC41" s="822"/>
      <c r="FBD41" s="822"/>
      <c r="FBE41" s="822"/>
      <c r="FBF41" s="822"/>
      <c r="FBG41" s="822"/>
      <c r="FBH41" s="822"/>
      <c r="FBI41" s="822"/>
      <c r="FBJ41" s="822"/>
      <c r="FBK41" s="822"/>
      <c r="FBL41" s="822"/>
      <c r="FBM41" s="822"/>
      <c r="FBN41" s="822"/>
      <c r="FBO41" s="822"/>
      <c r="FBP41" s="822"/>
      <c r="FBQ41" s="822"/>
      <c r="FBR41" s="822"/>
      <c r="FBS41" s="822"/>
      <c r="FBT41" s="822"/>
      <c r="FBU41" s="822"/>
      <c r="FBV41" s="822"/>
      <c r="FBW41" s="822"/>
      <c r="FBX41" s="822"/>
      <c r="FBY41" s="822"/>
      <c r="FBZ41" s="822"/>
      <c r="FCA41" s="822"/>
      <c r="FCB41" s="822"/>
      <c r="FCC41" s="822"/>
      <c r="FCD41" s="822"/>
      <c r="FCE41" s="822"/>
      <c r="FCF41" s="822"/>
      <c r="FCG41" s="822"/>
      <c r="FCH41" s="822"/>
      <c r="FCI41" s="822"/>
      <c r="FCJ41" s="822"/>
      <c r="FCK41" s="822"/>
      <c r="FCL41" s="822"/>
      <c r="FCM41" s="822"/>
      <c r="FCN41" s="822"/>
      <c r="FCO41" s="822"/>
      <c r="FCP41" s="822"/>
      <c r="FCQ41" s="822"/>
      <c r="FCR41" s="822"/>
      <c r="FCS41" s="822"/>
      <c r="FCT41" s="822"/>
      <c r="FCU41" s="822"/>
      <c r="FCV41" s="822"/>
      <c r="FCW41" s="822"/>
      <c r="FCX41" s="822"/>
      <c r="FCY41" s="822"/>
      <c r="FCZ41" s="822"/>
      <c r="FDA41" s="822"/>
      <c r="FDB41" s="822"/>
      <c r="FDC41" s="822"/>
      <c r="FDD41" s="822"/>
      <c r="FDE41" s="822"/>
      <c r="FDF41" s="822"/>
      <c r="FDG41" s="822"/>
      <c r="FDH41" s="822"/>
      <c r="FDI41" s="822"/>
      <c r="FDJ41" s="822"/>
      <c r="FDK41" s="822"/>
      <c r="FDL41" s="822"/>
      <c r="FDM41" s="822"/>
      <c r="FDN41" s="822"/>
      <c r="FDO41" s="822"/>
      <c r="FDP41" s="822"/>
      <c r="FDQ41" s="822"/>
      <c r="FDR41" s="822"/>
      <c r="FDS41" s="822"/>
      <c r="FDT41" s="822"/>
      <c r="FDU41" s="822"/>
      <c r="FDV41" s="822"/>
      <c r="FDW41" s="822"/>
      <c r="FDX41" s="822"/>
      <c r="FDY41" s="822"/>
      <c r="FDZ41" s="822"/>
      <c r="FEA41" s="822"/>
      <c r="FEB41" s="822"/>
      <c r="FEC41" s="822"/>
      <c r="FED41" s="822"/>
      <c r="FEE41" s="822"/>
      <c r="FEF41" s="822"/>
      <c r="FEG41" s="822"/>
      <c r="FEH41" s="822"/>
      <c r="FEI41" s="822"/>
      <c r="FEJ41" s="822"/>
      <c r="FEK41" s="822"/>
      <c r="FEL41" s="822"/>
      <c r="FEM41" s="822"/>
      <c r="FEN41" s="822"/>
      <c r="FEO41" s="822"/>
      <c r="FEP41" s="822"/>
      <c r="FEQ41" s="822"/>
      <c r="FER41" s="822"/>
      <c r="FES41" s="822"/>
      <c r="FET41" s="822"/>
      <c r="FEU41" s="822"/>
      <c r="FEV41" s="822"/>
      <c r="FEW41" s="822"/>
      <c r="FEX41" s="822"/>
      <c r="FEY41" s="822"/>
      <c r="FEZ41" s="822"/>
      <c r="FFA41" s="822"/>
      <c r="FFB41" s="822"/>
      <c r="FFC41" s="822"/>
      <c r="FFD41" s="822"/>
      <c r="FFE41" s="822"/>
      <c r="FFF41" s="822"/>
      <c r="FFG41" s="822"/>
      <c r="FFH41" s="822"/>
      <c r="FFI41" s="822"/>
      <c r="FFJ41" s="822"/>
      <c r="FFK41" s="822"/>
      <c r="FFL41" s="822"/>
      <c r="FFM41" s="822"/>
      <c r="FFN41" s="822"/>
      <c r="FFO41" s="822"/>
      <c r="FFP41" s="822"/>
      <c r="FFQ41" s="822"/>
      <c r="FFR41" s="822"/>
      <c r="FFS41" s="822"/>
      <c r="FFT41" s="822"/>
      <c r="FFU41" s="822"/>
      <c r="FFV41" s="822"/>
      <c r="FFW41" s="822"/>
      <c r="FFX41" s="822"/>
      <c r="FFY41" s="822"/>
      <c r="FFZ41" s="822"/>
      <c r="FGA41" s="822"/>
      <c r="FGB41" s="822"/>
      <c r="FGC41" s="822"/>
      <c r="FGD41" s="822"/>
      <c r="FGE41" s="822"/>
      <c r="FGF41" s="822"/>
      <c r="FGG41" s="822"/>
      <c r="FGH41" s="822"/>
      <c r="FGI41" s="822"/>
      <c r="FGJ41" s="822"/>
      <c r="FGK41" s="822"/>
      <c r="FGL41" s="822"/>
      <c r="FGM41" s="822"/>
      <c r="FGN41" s="822"/>
      <c r="FGO41" s="822"/>
      <c r="FGP41" s="822"/>
      <c r="FGQ41" s="822"/>
      <c r="FGR41" s="822"/>
      <c r="FGS41" s="822"/>
      <c r="FGT41" s="822"/>
      <c r="FGU41" s="822"/>
      <c r="FGV41" s="822"/>
      <c r="FGW41" s="822"/>
      <c r="FGX41" s="822"/>
      <c r="FGY41" s="822"/>
      <c r="FGZ41" s="822"/>
      <c r="FHA41" s="822"/>
      <c r="FHB41" s="822"/>
      <c r="FHC41" s="822"/>
      <c r="FHD41" s="822"/>
      <c r="FHE41" s="822"/>
      <c r="FHF41" s="822"/>
      <c r="FHG41" s="822"/>
      <c r="FHH41" s="822"/>
      <c r="FHI41" s="822"/>
      <c r="FHJ41" s="822"/>
      <c r="FHK41" s="822"/>
      <c r="FHL41" s="822"/>
      <c r="FHM41" s="822"/>
      <c r="FHN41" s="822"/>
      <c r="FHO41" s="822"/>
      <c r="FHP41" s="822"/>
      <c r="FHQ41" s="822"/>
      <c r="FHR41" s="822"/>
      <c r="FHS41" s="822"/>
      <c r="FHT41" s="822"/>
      <c r="FHU41" s="822"/>
      <c r="FHV41" s="822"/>
      <c r="FHW41" s="822"/>
      <c r="FHX41" s="822"/>
      <c r="FHY41" s="822"/>
      <c r="FHZ41" s="822"/>
      <c r="FIA41" s="822"/>
      <c r="FIB41" s="822"/>
      <c r="FIC41" s="822"/>
      <c r="FID41" s="822"/>
      <c r="FIE41" s="822"/>
      <c r="FIF41" s="822"/>
      <c r="FIG41" s="822"/>
      <c r="FIH41" s="822"/>
      <c r="FII41" s="822"/>
      <c r="FIJ41" s="822"/>
      <c r="FIK41" s="822"/>
      <c r="FIL41" s="822"/>
      <c r="FIM41" s="822"/>
      <c r="FIN41" s="822"/>
      <c r="FIO41" s="822"/>
      <c r="FIP41" s="822"/>
      <c r="FIQ41" s="822"/>
      <c r="FIR41" s="822"/>
      <c r="FIS41" s="822"/>
      <c r="FIT41" s="822"/>
      <c r="FIU41" s="822"/>
      <c r="FIV41" s="822"/>
      <c r="FIW41" s="822"/>
      <c r="FIX41" s="822"/>
      <c r="FIY41" s="822"/>
      <c r="FIZ41" s="822"/>
      <c r="FJA41" s="822"/>
      <c r="FJB41" s="822"/>
      <c r="FJC41" s="822"/>
      <c r="FJD41" s="822"/>
      <c r="FJE41" s="822"/>
      <c r="FJF41" s="822"/>
      <c r="FJG41" s="822"/>
      <c r="FJH41" s="822"/>
      <c r="FJI41" s="822"/>
      <c r="FJJ41" s="822"/>
      <c r="FJK41" s="822"/>
      <c r="FJL41" s="822"/>
      <c r="FJM41" s="822"/>
      <c r="FJN41" s="822"/>
      <c r="FJO41" s="822"/>
      <c r="FJP41" s="822"/>
      <c r="FJQ41" s="822"/>
      <c r="FJR41" s="822"/>
      <c r="FJS41" s="822"/>
      <c r="FJT41" s="822"/>
      <c r="FJU41" s="822"/>
      <c r="FJV41" s="822"/>
      <c r="FJW41" s="822"/>
      <c r="FJX41" s="822"/>
      <c r="FJY41" s="822"/>
      <c r="FJZ41" s="822"/>
      <c r="FKA41" s="822"/>
      <c r="FKB41" s="822"/>
      <c r="FKC41" s="822"/>
      <c r="FKD41" s="822"/>
      <c r="FKE41" s="822"/>
      <c r="FKF41" s="822"/>
      <c r="FKG41" s="822"/>
      <c r="FKH41" s="822"/>
      <c r="FKI41" s="822"/>
      <c r="FKJ41" s="822"/>
      <c r="FKK41" s="822"/>
      <c r="FKL41" s="822"/>
      <c r="FKM41" s="822"/>
      <c r="FKN41" s="822"/>
      <c r="FKO41" s="822"/>
      <c r="FKP41" s="822"/>
      <c r="FKQ41" s="822"/>
      <c r="FKR41" s="822"/>
      <c r="FKS41" s="822"/>
      <c r="FKT41" s="822"/>
      <c r="FKU41" s="822"/>
      <c r="FKV41" s="822"/>
      <c r="FKW41" s="822"/>
      <c r="FKX41" s="822"/>
      <c r="FKY41" s="822"/>
      <c r="FKZ41" s="822"/>
      <c r="FLA41" s="822"/>
      <c r="FLB41" s="822"/>
      <c r="FLC41" s="822"/>
      <c r="FLD41" s="822"/>
      <c r="FLE41" s="822"/>
      <c r="FLF41" s="822"/>
      <c r="FLG41" s="822"/>
      <c r="FLH41" s="822"/>
      <c r="FLI41" s="822"/>
      <c r="FLJ41" s="822"/>
      <c r="FLK41" s="822"/>
      <c r="FLL41" s="822"/>
      <c r="FLM41" s="822"/>
      <c r="FLN41" s="822"/>
      <c r="FLO41" s="822"/>
      <c r="FLP41" s="822"/>
      <c r="FLQ41" s="822"/>
      <c r="FLR41" s="822"/>
      <c r="FLS41" s="822"/>
      <c r="FLT41" s="822"/>
      <c r="FLU41" s="822"/>
      <c r="FLV41" s="822"/>
      <c r="FLW41" s="822"/>
      <c r="FLX41" s="822"/>
      <c r="FLY41" s="822"/>
      <c r="FLZ41" s="822"/>
      <c r="FMA41" s="822"/>
      <c r="FMB41" s="822"/>
      <c r="FMC41" s="822"/>
      <c r="FMD41" s="822"/>
      <c r="FME41" s="822"/>
      <c r="FMF41" s="822"/>
      <c r="FMG41" s="822"/>
      <c r="FMH41" s="822"/>
      <c r="FMI41" s="822"/>
      <c r="FMJ41" s="822"/>
      <c r="FMK41" s="822"/>
      <c r="FML41" s="822"/>
      <c r="FMM41" s="822"/>
      <c r="FMN41" s="822"/>
      <c r="FMO41" s="822"/>
      <c r="FMP41" s="822"/>
      <c r="FMQ41" s="822"/>
      <c r="FMR41" s="822"/>
      <c r="FMS41" s="822"/>
      <c r="FMT41" s="822"/>
      <c r="FMU41" s="822"/>
      <c r="FMV41" s="822"/>
      <c r="FMW41" s="822"/>
      <c r="FMX41" s="822"/>
      <c r="FMY41" s="822"/>
      <c r="FMZ41" s="822"/>
      <c r="FNA41" s="822"/>
      <c r="FNB41" s="822"/>
      <c r="FNC41" s="822"/>
      <c r="FND41" s="822"/>
      <c r="FNE41" s="822"/>
      <c r="FNF41" s="822"/>
      <c r="FNG41" s="822"/>
      <c r="FNH41" s="822"/>
      <c r="FNI41" s="822"/>
      <c r="FNJ41" s="822"/>
      <c r="FNK41" s="822"/>
      <c r="FNL41" s="822"/>
      <c r="FNM41" s="822"/>
      <c r="FNN41" s="822"/>
      <c r="FNO41" s="822"/>
      <c r="FNP41" s="822"/>
      <c r="FNQ41" s="822"/>
      <c r="FNR41" s="822"/>
      <c r="FNS41" s="822"/>
      <c r="FNT41" s="822"/>
      <c r="FNU41" s="822"/>
      <c r="FNV41" s="822"/>
      <c r="FNW41" s="822"/>
      <c r="FNX41" s="822"/>
      <c r="FNY41" s="822"/>
      <c r="FNZ41" s="822"/>
      <c r="FOA41" s="822"/>
      <c r="FOB41" s="822"/>
      <c r="FOC41" s="822"/>
      <c r="FOD41" s="822"/>
      <c r="FOE41" s="822"/>
      <c r="FOF41" s="822"/>
      <c r="FOG41" s="822"/>
      <c r="FOH41" s="822"/>
      <c r="FOI41" s="822"/>
      <c r="FOJ41" s="822"/>
      <c r="FOK41" s="822"/>
      <c r="FOL41" s="822"/>
      <c r="FOM41" s="822"/>
      <c r="FON41" s="822"/>
      <c r="FOO41" s="822"/>
      <c r="FOP41" s="822"/>
      <c r="FOQ41" s="822"/>
      <c r="FOR41" s="822"/>
      <c r="FOS41" s="822"/>
      <c r="FOT41" s="822"/>
      <c r="FOU41" s="822"/>
      <c r="FOV41" s="822"/>
      <c r="FOW41" s="822"/>
      <c r="FOX41" s="822"/>
      <c r="FOY41" s="822"/>
      <c r="FOZ41" s="822"/>
      <c r="FPA41" s="822"/>
      <c r="FPB41" s="822"/>
      <c r="FPC41" s="822"/>
      <c r="FPD41" s="822"/>
      <c r="FPE41" s="822"/>
      <c r="FPF41" s="822"/>
      <c r="FPG41" s="822"/>
      <c r="FPH41" s="822"/>
      <c r="FPI41" s="822"/>
      <c r="FPJ41" s="822"/>
      <c r="FPK41" s="822"/>
      <c r="FPL41" s="822"/>
      <c r="FPM41" s="822"/>
      <c r="FPN41" s="822"/>
      <c r="FPO41" s="822"/>
      <c r="FPP41" s="822"/>
      <c r="FPQ41" s="822"/>
      <c r="FPR41" s="822"/>
      <c r="FPS41" s="822"/>
      <c r="FPT41" s="822"/>
      <c r="FPU41" s="822"/>
      <c r="FPV41" s="822"/>
      <c r="FPW41" s="822"/>
      <c r="FPX41" s="822"/>
      <c r="FPY41" s="822"/>
      <c r="FPZ41" s="822"/>
      <c r="FQA41" s="822"/>
      <c r="FQB41" s="822"/>
      <c r="FQC41" s="822"/>
      <c r="FQD41" s="822"/>
      <c r="FQE41" s="822"/>
      <c r="FQF41" s="822"/>
      <c r="FQG41" s="822"/>
      <c r="FQH41" s="822"/>
      <c r="FQI41" s="822"/>
      <c r="FQJ41" s="822"/>
      <c r="FQK41" s="822"/>
      <c r="FQL41" s="822"/>
      <c r="FQM41" s="822"/>
      <c r="FQN41" s="822"/>
      <c r="FQO41" s="822"/>
      <c r="FQP41" s="822"/>
      <c r="FQQ41" s="822"/>
      <c r="FQR41" s="822"/>
      <c r="FQS41" s="822"/>
      <c r="FQT41" s="822"/>
      <c r="FQU41" s="822"/>
      <c r="FQV41" s="822"/>
      <c r="FQW41" s="822"/>
      <c r="FQX41" s="822"/>
      <c r="FQY41" s="822"/>
      <c r="FQZ41" s="822"/>
      <c r="FRA41" s="822"/>
      <c r="FRB41" s="822"/>
      <c r="FRC41" s="822"/>
      <c r="FRD41" s="822"/>
      <c r="FRE41" s="822"/>
      <c r="FRF41" s="822"/>
      <c r="FRG41" s="822"/>
      <c r="FRH41" s="822"/>
      <c r="FRI41" s="822"/>
      <c r="FRJ41" s="822"/>
      <c r="FRK41" s="822"/>
      <c r="FRL41" s="822"/>
      <c r="FRM41" s="822"/>
      <c r="FRN41" s="822"/>
      <c r="FRO41" s="822"/>
      <c r="FRP41" s="822"/>
      <c r="FRQ41" s="822"/>
      <c r="FRR41" s="822"/>
      <c r="FRS41" s="822"/>
      <c r="FRT41" s="822"/>
      <c r="FRU41" s="822"/>
      <c r="FRV41" s="822"/>
      <c r="FRW41" s="822"/>
      <c r="FRX41" s="822"/>
      <c r="FRY41" s="822"/>
      <c r="FRZ41" s="822"/>
      <c r="FSA41" s="822"/>
      <c r="FSB41" s="822"/>
      <c r="FSC41" s="822"/>
      <c r="FSD41" s="822"/>
      <c r="FSE41" s="822"/>
      <c r="FSF41" s="822"/>
      <c r="FSG41" s="822"/>
      <c r="FSH41" s="822"/>
      <c r="FSI41" s="822"/>
      <c r="FSJ41" s="822"/>
      <c r="FSK41" s="822"/>
      <c r="FSL41" s="822"/>
      <c r="FSM41" s="822"/>
      <c r="FSN41" s="822"/>
      <c r="FSO41" s="822"/>
      <c r="FSP41" s="822"/>
      <c r="FSQ41" s="822"/>
      <c r="FSR41" s="822"/>
      <c r="FSS41" s="822"/>
      <c r="FST41" s="822"/>
      <c r="FSU41" s="822"/>
      <c r="FSV41" s="822"/>
      <c r="FSW41" s="822"/>
      <c r="FSX41" s="822"/>
      <c r="FSY41" s="822"/>
      <c r="FSZ41" s="822"/>
      <c r="FTA41" s="822"/>
      <c r="FTB41" s="822"/>
      <c r="FTC41" s="822"/>
      <c r="FTD41" s="822"/>
      <c r="FTE41" s="822"/>
      <c r="FTF41" s="822"/>
      <c r="FTG41" s="822"/>
      <c r="FTH41" s="822"/>
      <c r="FTI41" s="822"/>
      <c r="FTJ41" s="822"/>
      <c r="FTK41" s="822"/>
      <c r="FTL41" s="822"/>
      <c r="FTM41" s="822"/>
      <c r="FTN41" s="822"/>
      <c r="FTO41" s="822"/>
      <c r="FTP41" s="822"/>
      <c r="FTQ41" s="822"/>
      <c r="FTR41" s="822"/>
      <c r="FTS41" s="822"/>
      <c r="FTT41" s="822"/>
      <c r="FTU41" s="822"/>
      <c r="FTV41" s="822"/>
      <c r="FTW41" s="822"/>
      <c r="FTX41" s="822"/>
      <c r="FTY41" s="822"/>
      <c r="FTZ41" s="822"/>
      <c r="FUA41" s="822"/>
      <c r="FUB41" s="822"/>
      <c r="FUC41" s="822"/>
      <c r="FUD41" s="822"/>
      <c r="FUE41" s="822"/>
      <c r="FUF41" s="822"/>
      <c r="FUG41" s="822"/>
      <c r="FUH41" s="822"/>
      <c r="FUI41" s="822"/>
      <c r="FUJ41" s="822"/>
      <c r="FUK41" s="822"/>
      <c r="FUL41" s="822"/>
      <c r="FUM41" s="822"/>
      <c r="FUN41" s="822"/>
      <c r="FUO41" s="822"/>
      <c r="FUP41" s="822"/>
      <c r="FUQ41" s="822"/>
      <c r="FUR41" s="822"/>
      <c r="FUS41" s="822"/>
      <c r="FUT41" s="822"/>
      <c r="FUU41" s="822"/>
      <c r="FUV41" s="822"/>
      <c r="FUW41" s="822"/>
      <c r="FUX41" s="822"/>
      <c r="FUY41" s="822"/>
      <c r="FUZ41" s="822"/>
      <c r="FVA41" s="822"/>
      <c r="FVB41" s="822"/>
      <c r="FVC41" s="822"/>
      <c r="FVD41" s="822"/>
      <c r="FVE41" s="822"/>
      <c r="FVF41" s="822"/>
      <c r="FVG41" s="822"/>
      <c r="FVH41" s="822"/>
      <c r="FVI41" s="822"/>
      <c r="FVJ41" s="822"/>
      <c r="FVK41" s="822"/>
      <c r="FVL41" s="822"/>
      <c r="FVM41" s="822"/>
      <c r="FVN41" s="822"/>
      <c r="FVO41" s="822"/>
      <c r="FVP41" s="822"/>
      <c r="FVQ41" s="822"/>
      <c r="FVR41" s="822"/>
      <c r="FVS41" s="822"/>
      <c r="FVT41" s="822"/>
      <c r="FVU41" s="822"/>
      <c r="FVV41" s="822"/>
      <c r="FVW41" s="822"/>
      <c r="FVX41" s="822"/>
      <c r="FVY41" s="822"/>
      <c r="FVZ41" s="822"/>
      <c r="FWA41" s="822"/>
      <c r="FWB41" s="822"/>
      <c r="FWC41" s="822"/>
      <c r="FWD41" s="822"/>
      <c r="FWE41" s="822"/>
      <c r="FWF41" s="822"/>
      <c r="FWG41" s="822"/>
      <c r="FWH41" s="822"/>
      <c r="FWI41" s="822"/>
      <c r="FWJ41" s="822"/>
      <c r="FWK41" s="822"/>
      <c r="FWL41" s="822"/>
      <c r="FWM41" s="822"/>
      <c r="FWN41" s="822"/>
      <c r="FWO41" s="822"/>
      <c r="FWP41" s="822"/>
      <c r="FWQ41" s="822"/>
      <c r="FWR41" s="822"/>
      <c r="FWS41" s="822"/>
      <c r="FWT41" s="822"/>
      <c r="FWU41" s="822"/>
      <c r="FWV41" s="822"/>
      <c r="FWW41" s="822"/>
      <c r="FWX41" s="822"/>
      <c r="FWY41" s="822"/>
      <c r="FWZ41" s="822"/>
      <c r="FXA41" s="822"/>
      <c r="FXB41" s="822"/>
      <c r="FXC41" s="822"/>
      <c r="FXD41" s="822"/>
      <c r="FXE41" s="822"/>
      <c r="FXF41" s="822"/>
      <c r="FXG41" s="822"/>
      <c r="FXH41" s="822"/>
      <c r="FXI41" s="822"/>
      <c r="FXJ41" s="822"/>
      <c r="FXK41" s="822"/>
      <c r="FXL41" s="822"/>
      <c r="FXM41" s="822"/>
      <c r="FXN41" s="822"/>
      <c r="FXO41" s="822"/>
      <c r="FXP41" s="822"/>
      <c r="FXQ41" s="822"/>
      <c r="FXR41" s="822"/>
      <c r="FXS41" s="822"/>
      <c r="FXT41" s="822"/>
      <c r="FXU41" s="822"/>
      <c r="FXV41" s="822"/>
      <c r="FXW41" s="822"/>
      <c r="FXX41" s="822"/>
      <c r="FXY41" s="822"/>
      <c r="FXZ41" s="822"/>
      <c r="FYA41" s="822"/>
      <c r="FYB41" s="822"/>
      <c r="FYC41" s="822"/>
      <c r="FYD41" s="822"/>
      <c r="FYE41" s="822"/>
      <c r="FYF41" s="822"/>
      <c r="FYG41" s="822"/>
      <c r="FYH41" s="822"/>
      <c r="FYI41" s="822"/>
      <c r="FYJ41" s="822"/>
      <c r="FYK41" s="822"/>
      <c r="FYL41" s="822"/>
      <c r="FYM41" s="822"/>
      <c r="FYN41" s="822"/>
      <c r="FYO41" s="822"/>
      <c r="FYP41" s="822"/>
      <c r="FYQ41" s="822"/>
      <c r="FYR41" s="822"/>
      <c r="FYS41" s="822"/>
      <c r="FYT41" s="822"/>
      <c r="FYU41" s="822"/>
      <c r="FYV41" s="822"/>
      <c r="FYW41" s="822"/>
      <c r="FYX41" s="822"/>
      <c r="FYY41" s="822"/>
      <c r="FYZ41" s="822"/>
      <c r="FZA41" s="822"/>
      <c r="FZB41" s="822"/>
      <c r="FZC41" s="822"/>
      <c r="FZD41" s="822"/>
      <c r="FZE41" s="822"/>
      <c r="FZF41" s="822"/>
      <c r="FZG41" s="822"/>
      <c r="FZH41" s="822"/>
      <c r="FZI41" s="822"/>
      <c r="FZJ41" s="822"/>
      <c r="FZK41" s="822"/>
      <c r="FZL41" s="822"/>
      <c r="FZM41" s="822"/>
      <c r="FZN41" s="822"/>
      <c r="FZO41" s="822"/>
      <c r="FZP41" s="822"/>
      <c r="FZQ41" s="822"/>
      <c r="FZR41" s="822"/>
      <c r="FZS41" s="822"/>
      <c r="FZT41" s="822"/>
      <c r="FZU41" s="822"/>
      <c r="FZV41" s="822"/>
      <c r="FZW41" s="822"/>
      <c r="FZX41" s="822"/>
      <c r="FZY41" s="822"/>
      <c r="FZZ41" s="822"/>
      <c r="GAA41" s="822"/>
      <c r="GAB41" s="822"/>
      <c r="GAC41" s="822"/>
      <c r="GAD41" s="822"/>
      <c r="GAE41" s="822"/>
      <c r="GAF41" s="822"/>
      <c r="GAG41" s="822"/>
      <c r="GAH41" s="822"/>
      <c r="GAI41" s="822"/>
      <c r="GAJ41" s="822"/>
      <c r="GAK41" s="822"/>
      <c r="GAL41" s="822"/>
      <c r="GAM41" s="822"/>
      <c r="GAN41" s="822"/>
      <c r="GAO41" s="822"/>
      <c r="GAP41" s="822"/>
      <c r="GAQ41" s="822"/>
      <c r="GAR41" s="822"/>
      <c r="GAS41" s="822"/>
      <c r="GAT41" s="822"/>
      <c r="GAU41" s="822"/>
      <c r="GAV41" s="822"/>
      <c r="GAW41" s="822"/>
      <c r="GAX41" s="822"/>
      <c r="GAY41" s="822"/>
      <c r="GAZ41" s="822"/>
      <c r="GBA41" s="822"/>
      <c r="GBB41" s="822"/>
      <c r="GBC41" s="822"/>
      <c r="GBD41" s="822"/>
      <c r="GBE41" s="822"/>
      <c r="GBF41" s="822"/>
      <c r="GBG41" s="822"/>
      <c r="GBH41" s="822"/>
      <c r="GBI41" s="822"/>
      <c r="GBJ41" s="822"/>
      <c r="GBK41" s="822"/>
      <c r="GBL41" s="822"/>
      <c r="GBM41" s="822"/>
      <c r="GBN41" s="822"/>
      <c r="GBO41" s="822"/>
      <c r="GBP41" s="822"/>
      <c r="GBQ41" s="822"/>
      <c r="GBR41" s="822"/>
      <c r="GBS41" s="822"/>
      <c r="GBT41" s="822"/>
      <c r="GBU41" s="822"/>
      <c r="GBV41" s="822"/>
      <c r="GBW41" s="822"/>
      <c r="GBX41" s="822"/>
      <c r="GBY41" s="822"/>
      <c r="GBZ41" s="822"/>
      <c r="GCA41" s="822"/>
      <c r="GCB41" s="822"/>
      <c r="GCC41" s="822"/>
      <c r="GCD41" s="822"/>
      <c r="GCE41" s="822"/>
      <c r="GCF41" s="822"/>
      <c r="GCG41" s="822"/>
      <c r="GCH41" s="822"/>
      <c r="GCI41" s="822"/>
      <c r="GCJ41" s="822"/>
      <c r="GCK41" s="822"/>
      <c r="GCL41" s="822"/>
      <c r="GCM41" s="822"/>
      <c r="GCN41" s="822"/>
      <c r="GCO41" s="822"/>
      <c r="GCP41" s="822"/>
      <c r="GCQ41" s="822"/>
      <c r="GCR41" s="822"/>
      <c r="GCS41" s="822"/>
      <c r="GCT41" s="822"/>
      <c r="GCU41" s="822"/>
      <c r="GCV41" s="822"/>
      <c r="GCW41" s="822"/>
      <c r="GCX41" s="822"/>
      <c r="GCY41" s="822"/>
      <c r="GCZ41" s="822"/>
      <c r="GDA41" s="822"/>
      <c r="GDB41" s="822"/>
      <c r="GDC41" s="822"/>
      <c r="GDD41" s="822"/>
      <c r="GDE41" s="822"/>
      <c r="GDF41" s="822"/>
      <c r="GDG41" s="822"/>
      <c r="GDH41" s="822"/>
      <c r="GDI41" s="822"/>
      <c r="GDJ41" s="822"/>
      <c r="GDK41" s="822"/>
      <c r="GDL41" s="822"/>
      <c r="GDM41" s="822"/>
      <c r="GDN41" s="822"/>
      <c r="GDO41" s="822"/>
      <c r="GDP41" s="822"/>
      <c r="GDQ41" s="822"/>
      <c r="GDR41" s="822"/>
      <c r="GDS41" s="822"/>
      <c r="GDT41" s="822"/>
      <c r="GDU41" s="822"/>
      <c r="GDV41" s="822"/>
      <c r="GDW41" s="822"/>
      <c r="GDX41" s="822"/>
      <c r="GDY41" s="822"/>
      <c r="GDZ41" s="822"/>
      <c r="GEA41" s="822"/>
      <c r="GEB41" s="822"/>
      <c r="GEC41" s="822"/>
      <c r="GED41" s="822"/>
      <c r="GEE41" s="822"/>
      <c r="GEF41" s="822"/>
      <c r="GEG41" s="822"/>
      <c r="GEH41" s="822"/>
      <c r="GEI41" s="822"/>
      <c r="GEJ41" s="822"/>
      <c r="GEK41" s="822"/>
      <c r="GEL41" s="822"/>
      <c r="GEM41" s="822"/>
      <c r="GEN41" s="822"/>
      <c r="GEO41" s="822"/>
      <c r="GEP41" s="822"/>
      <c r="GEQ41" s="822"/>
      <c r="GER41" s="822"/>
      <c r="GES41" s="822"/>
      <c r="GET41" s="822"/>
      <c r="GEU41" s="822"/>
      <c r="GEV41" s="822"/>
      <c r="GEW41" s="822"/>
      <c r="GEX41" s="822"/>
      <c r="GEY41" s="822"/>
      <c r="GEZ41" s="822"/>
      <c r="GFA41" s="822"/>
      <c r="GFB41" s="822"/>
      <c r="GFC41" s="822"/>
      <c r="GFD41" s="822"/>
      <c r="GFE41" s="822"/>
      <c r="GFF41" s="822"/>
      <c r="GFG41" s="822"/>
      <c r="GFH41" s="822"/>
      <c r="GFI41" s="822"/>
      <c r="GFJ41" s="822"/>
      <c r="GFK41" s="822"/>
      <c r="GFL41" s="822"/>
      <c r="GFM41" s="822"/>
      <c r="GFN41" s="822"/>
      <c r="GFO41" s="822"/>
      <c r="GFP41" s="822"/>
      <c r="GFQ41" s="822"/>
      <c r="GFR41" s="822"/>
      <c r="GFS41" s="822"/>
      <c r="GFT41" s="822"/>
      <c r="GFU41" s="822"/>
      <c r="GFV41" s="822"/>
      <c r="GFW41" s="822"/>
      <c r="GFX41" s="822"/>
      <c r="GFY41" s="822"/>
      <c r="GFZ41" s="822"/>
      <c r="GGA41" s="822"/>
      <c r="GGB41" s="822"/>
      <c r="GGC41" s="822"/>
      <c r="GGD41" s="822"/>
      <c r="GGE41" s="822"/>
      <c r="GGF41" s="822"/>
      <c r="GGG41" s="822"/>
      <c r="GGH41" s="822"/>
      <c r="GGI41" s="822"/>
      <c r="GGJ41" s="822"/>
      <c r="GGK41" s="822"/>
      <c r="GGL41" s="822"/>
      <c r="GGM41" s="822"/>
      <c r="GGN41" s="822"/>
      <c r="GGO41" s="822"/>
      <c r="GGP41" s="822"/>
      <c r="GGQ41" s="822"/>
      <c r="GGR41" s="822"/>
      <c r="GGS41" s="822"/>
      <c r="GGT41" s="822"/>
      <c r="GGU41" s="822"/>
      <c r="GGV41" s="822"/>
      <c r="GGW41" s="822"/>
      <c r="GGX41" s="822"/>
      <c r="GGY41" s="822"/>
      <c r="GGZ41" s="822"/>
      <c r="GHA41" s="822"/>
      <c r="GHB41" s="822"/>
      <c r="GHC41" s="822"/>
      <c r="GHD41" s="822"/>
      <c r="GHE41" s="822"/>
      <c r="GHF41" s="822"/>
      <c r="GHG41" s="822"/>
      <c r="GHH41" s="822"/>
      <c r="GHI41" s="822"/>
      <c r="GHJ41" s="822"/>
      <c r="GHK41" s="822"/>
      <c r="GHL41" s="822"/>
      <c r="GHM41" s="822"/>
      <c r="GHN41" s="822"/>
      <c r="GHO41" s="822"/>
      <c r="GHP41" s="822"/>
      <c r="GHQ41" s="822"/>
      <c r="GHR41" s="822"/>
      <c r="GHS41" s="822"/>
      <c r="GHT41" s="822"/>
      <c r="GHU41" s="822"/>
      <c r="GHV41" s="822"/>
      <c r="GHW41" s="822"/>
      <c r="GHX41" s="822"/>
      <c r="GHY41" s="822"/>
      <c r="GHZ41" s="822"/>
      <c r="GIA41" s="822"/>
      <c r="GIB41" s="822"/>
      <c r="GIC41" s="822"/>
      <c r="GID41" s="822"/>
      <c r="GIE41" s="822"/>
      <c r="GIF41" s="822"/>
      <c r="GIG41" s="822"/>
      <c r="GIH41" s="822"/>
      <c r="GII41" s="822"/>
      <c r="GIJ41" s="822"/>
      <c r="GIK41" s="822"/>
      <c r="GIL41" s="822"/>
      <c r="GIM41" s="822"/>
      <c r="GIN41" s="822"/>
      <c r="GIO41" s="822"/>
      <c r="GIP41" s="822"/>
      <c r="GIQ41" s="822"/>
      <c r="GIR41" s="822"/>
      <c r="GIS41" s="822"/>
      <c r="GIT41" s="822"/>
      <c r="GIU41" s="822"/>
      <c r="GIV41" s="822"/>
      <c r="GIW41" s="822"/>
      <c r="GIX41" s="822"/>
      <c r="GIY41" s="822"/>
      <c r="GIZ41" s="822"/>
      <c r="GJA41" s="822"/>
      <c r="GJB41" s="822"/>
      <c r="GJC41" s="822"/>
      <c r="GJD41" s="822"/>
      <c r="GJE41" s="822"/>
      <c r="GJF41" s="822"/>
      <c r="GJG41" s="822"/>
      <c r="GJH41" s="822"/>
      <c r="GJI41" s="822"/>
      <c r="GJJ41" s="822"/>
      <c r="GJK41" s="822"/>
      <c r="GJL41" s="822"/>
      <c r="GJM41" s="822"/>
      <c r="GJN41" s="822"/>
      <c r="GJO41" s="822"/>
      <c r="GJP41" s="822"/>
      <c r="GJQ41" s="822"/>
      <c r="GJR41" s="822"/>
      <c r="GJS41" s="822"/>
      <c r="GJT41" s="822"/>
      <c r="GJU41" s="822"/>
      <c r="GJV41" s="822"/>
      <c r="GJW41" s="822"/>
      <c r="GJX41" s="822"/>
      <c r="GJY41" s="822"/>
      <c r="GJZ41" s="822"/>
      <c r="GKA41" s="822"/>
      <c r="GKB41" s="822"/>
      <c r="GKC41" s="822"/>
      <c r="GKD41" s="822"/>
      <c r="GKE41" s="822"/>
      <c r="GKF41" s="822"/>
      <c r="GKG41" s="822"/>
      <c r="GKH41" s="822"/>
      <c r="GKI41" s="822"/>
      <c r="GKJ41" s="822"/>
      <c r="GKK41" s="822"/>
      <c r="GKL41" s="822"/>
      <c r="GKM41" s="822"/>
      <c r="GKN41" s="822"/>
      <c r="GKO41" s="822"/>
      <c r="GKP41" s="822"/>
      <c r="GKQ41" s="822"/>
      <c r="GKR41" s="822"/>
      <c r="GKS41" s="822"/>
      <c r="GKT41" s="822"/>
      <c r="GKU41" s="822"/>
      <c r="GKV41" s="822"/>
      <c r="GKW41" s="822"/>
      <c r="GKX41" s="822"/>
      <c r="GKY41" s="822"/>
      <c r="GKZ41" s="822"/>
      <c r="GLA41" s="822"/>
      <c r="GLB41" s="822"/>
      <c r="GLC41" s="822"/>
      <c r="GLD41" s="822"/>
      <c r="GLE41" s="822"/>
      <c r="GLF41" s="822"/>
      <c r="GLG41" s="822"/>
      <c r="GLH41" s="822"/>
      <c r="GLI41" s="822"/>
      <c r="GLJ41" s="822"/>
      <c r="GLK41" s="822"/>
      <c r="GLL41" s="822"/>
      <c r="GLM41" s="822"/>
      <c r="GLN41" s="822"/>
      <c r="GLO41" s="822"/>
      <c r="GLP41" s="822"/>
      <c r="GLQ41" s="822"/>
      <c r="GLR41" s="822"/>
      <c r="GLS41" s="822"/>
      <c r="GLT41" s="822"/>
      <c r="GLU41" s="822"/>
      <c r="GLV41" s="822"/>
      <c r="GLW41" s="822"/>
      <c r="GLX41" s="822"/>
      <c r="GLY41" s="822"/>
      <c r="GLZ41" s="822"/>
      <c r="GMA41" s="822"/>
      <c r="GMB41" s="822"/>
      <c r="GMC41" s="822"/>
      <c r="GMD41" s="822"/>
      <c r="GME41" s="822"/>
      <c r="GMF41" s="822"/>
      <c r="GMG41" s="822"/>
      <c r="GMH41" s="822"/>
      <c r="GMI41" s="822"/>
      <c r="GMJ41" s="822"/>
      <c r="GMK41" s="822"/>
      <c r="GML41" s="822"/>
      <c r="GMM41" s="822"/>
      <c r="GMN41" s="822"/>
      <c r="GMO41" s="822"/>
      <c r="GMP41" s="822"/>
      <c r="GMQ41" s="822"/>
      <c r="GMR41" s="822"/>
      <c r="GMS41" s="822"/>
      <c r="GMT41" s="822"/>
      <c r="GMU41" s="822"/>
      <c r="GMV41" s="822"/>
      <c r="GMW41" s="822"/>
      <c r="GMX41" s="822"/>
      <c r="GMY41" s="822"/>
      <c r="GMZ41" s="822"/>
      <c r="GNA41" s="822"/>
      <c r="GNB41" s="822"/>
      <c r="GNC41" s="822"/>
      <c r="GND41" s="822"/>
      <c r="GNE41" s="822"/>
      <c r="GNF41" s="822"/>
      <c r="GNG41" s="822"/>
      <c r="GNH41" s="822"/>
      <c r="GNI41" s="822"/>
      <c r="GNJ41" s="822"/>
      <c r="GNK41" s="822"/>
      <c r="GNL41" s="822"/>
      <c r="GNM41" s="822"/>
      <c r="GNN41" s="822"/>
      <c r="GNO41" s="822"/>
      <c r="GNP41" s="822"/>
      <c r="GNQ41" s="822"/>
      <c r="GNR41" s="822"/>
      <c r="GNS41" s="822"/>
      <c r="GNT41" s="822"/>
      <c r="GNU41" s="822"/>
      <c r="GNV41" s="822"/>
      <c r="GNW41" s="822"/>
      <c r="GNX41" s="822"/>
      <c r="GNY41" s="822"/>
      <c r="GNZ41" s="822"/>
      <c r="GOA41" s="822"/>
      <c r="GOB41" s="822"/>
      <c r="GOC41" s="822"/>
      <c r="GOD41" s="822"/>
      <c r="GOE41" s="822"/>
      <c r="GOF41" s="822"/>
      <c r="GOG41" s="822"/>
      <c r="GOH41" s="822"/>
      <c r="GOI41" s="822"/>
      <c r="GOJ41" s="822"/>
      <c r="GOK41" s="822"/>
      <c r="GOL41" s="822"/>
      <c r="GOM41" s="822"/>
      <c r="GON41" s="822"/>
      <c r="GOO41" s="822"/>
      <c r="GOP41" s="822"/>
      <c r="GOQ41" s="822"/>
      <c r="GOR41" s="822"/>
      <c r="GOS41" s="822"/>
      <c r="GOT41" s="822"/>
      <c r="GOU41" s="822"/>
      <c r="GOV41" s="822"/>
      <c r="GOW41" s="822"/>
      <c r="GOX41" s="822"/>
      <c r="GOY41" s="822"/>
      <c r="GOZ41" s="822"/>
      <c r="GPA41" s="822"/>
      <c r="GPB41" s="822"/>
      <c r="GPC41" s="822"/>
      <c r="GPD41" s="822"/>
      <c r="GPE41" s="822"/>
      <c r="GPF41" s="822"/>
      <c r="GPG41" s="822"/>
      <c r="GPH41" s="822"/>
      <c r="GPI41" s="822"/>
      <c r="GPJ41" s="822"/>
      <c r="GPK41" s="822"/>
      <c r="GPL41" s="822"/>
      <c r="GPM41" s="822"/>
      <c r="GPN41" s="822"/>
      <c r="GPO41" s="822"/>
      <c r="GPP41" s="822"/>
      <c r="GPQ41" s="822"/>
      <c r="GPR41" s="822"/>
      <c r="GPS41" s="822"/>
      <c r="GPT41" s="822"/>
      <c r="GPU41" s="822"/>
      <c r="GPV41" s="822"/>
      <c r="GPW41" s="822"/>
      <c r="GPX41" s="822"/>
      <c r="GPY41" s="822"/>
      <c r="GPZ41" s="822"/>
      <c r="GQA41" s="822"/>
      <c r="GQB41" s="822"/>
      <c r="GQC41" s="822"/>
      <c r="GQD41" s="822"/>
      <c r="GQE41" s="822"/>
      <c r="GQF41" s="822"/>
      <c r="GQG41" s="822"/>
      <c r="GQH41" s="822"/>
      <c r="GQI41" s="822"/>
      <c r="GQJ41" s="822"/>
      <c r="GQK41" s="822"/>
      <c r="GQL41" s="822"/>
      <c r="GQM41" s="822"/>
      <c r="GQN41" s="822"/>
      <c r="GQO41" s="822"/>
      <c r="GQP41" s="822"/>
      <c r="GQQ41" s="822"/>
      <c r="GQR41" s="822"/>
      <c r="GQS41" s="822"/>
      <c r="GQT41" s="822"/>
      <c r="GQU41" s="822"/>
      <c r="GQV41" s="822"/>
      <c r="GQW41" s="822"/>
      <c r="GQX41" s="822"/>
      <c r="GQY41" s="822"/>
      <c r="GQZ41" s="822"/>
      <c r="GRA41" s="822"/>
      <c r="GRB41" s="822"/>
      <c r="GRC41" s="822"/>
      <c r="GRD41" s="822"/>
      <c r="GRE41" s="822"/>
      <c r="GRF41" s="822"/>
      <c r="GRG41" s="822"/>
      <c r="GRH41" s="822"/>
      <c r="GRI41" s="822"/>
      <c r="GRJ41" s="822"/>
      <c r="GRK41" s="822"/>
      <c r="GRL41" s="822"/>
      <c r="GRM41" s="822"/>
      <c r="GRN41" s="822"/>
      <c r="GRO41" s="822"/>
      <c r="GRP41" s="822"/>
      <c r="GRQ41" s="822"/>
      <c r="GRR41" s="822"/>
      <c r="GRS41" s="822"/>
      <c r="GRT41" s="822"/>
      <c r="GRU41" s="822"/>
      <c r="GRV41" s="822"/>
      <c r="GRW41" s="822"/>
      <c r="GRX41" s="822"/>
      <c r="GRY41" s="822"/>
      <c r="GRZ41" s="822"/>
      <c r="GSA41" s="822"/>
      <c r="GSB41" s="822"/>
      <c r="GSC41" s="822"/>
      <c r="GSD41" s="822"/>
      <c r="GSE41" s="822"/>
      <c r="GSF41" s="822"/>
      <c r="GSG41" s="822"/>
      <c r="GSH41" s="822"/>
      <c r="GSI41" s="822"/>
      <c r="GSJ41" s="822"/>
      <c r="GSK41" s="822"/>
      <c r="GSL41" s="822"/>
      <c r="GSM41" s="822"/>
      <c r="GSN41" s="822"/>
      <c r="GSO41" s="822"/>
      <c r="GSP41" s="822"/>
      <c r="GSQ41" s="822"/>
      <c r="GSR41" s="822"/>
      <c r="GSS41" s="822"/>
      <c r="GST41" s="822"/>
      <c r="GSU41" s="822"/>
      <c r="GSV41" s="822"/>
      <c r="GSW41" s="822"/>
      <c r="GSX41" s="822"/>
      <c r="GSY41" s="822"/>
      <c r="GSZ41" s="822"/>
      <c r="GTA41" s="822"/>
      <c r="GTB41" s="822"/>
      <c r="GTC41" s="822"/>
      <c r="GTD41" s="822"/>
      <c r="GTE41" s="822"/>
      <c r="GTF41" s="822"/>
      <c r="GTG41" s="822"/>
      <c r="GTH41" s="822"/>
      <c r="GTI41" s="822"/>
      <c r="GTJ41" s="822"/>
      <c r="GTK41" s="822"/>
      <c r="GTL41" s="822"/>
      <c r="GTM41" s="822"/>
      <c r="GTN41" s="822"/>
      <c r="GTO41" s="822"/>
      <c r="GTP41" s="822"/>
      <c r="GTQ41" s="822"/>
      <c r="GTR41" s="822"/>
      <c r="GTS41" s="822"/>
      <c r="GTT41" s="822"/>
      <c r="GTU41" s="822"/>
      <c r="GTV41" s="822"/>
      <c r="GTW41" s="822"/>
      <c r="GTX41" s="822"/>
      <c r="GTY41" s="822"/>
      <c r="GTZ41" s="822"/>
      <c r="GUA41" s="822"/>
      <c r="GUB41" s="822"/>
      <c r="GUC41" s="822"/>
      <c r="GUD41" s="822"/>
      <c r="GUE41" s="822"/>
      <c r="GUF41" s="822"/>
      <c r="GUG41" s="822"/>
      <c r="GUH41" s="822"/>
      <c r="GUI41" s="822"/>
      <c r="GUJ41" s="822"/>
      <c r="GUK41" s="822"/>
      <c r="GUL41" s="822"/>
      <c r="GUM41" s="822"/>
      <c r="GUN41" s="822"/>
      <c r="GUO41" s="822"/>
      <c r="GUP41" s="822"/>
      <c r="GUQ41" s="822"/>
      <c r="GUR41" s="822"/>
      <c r="GUS41" s="822"/>
      <c r="GUT41" s="822"/>
      <c r="GUU41" s="822"/>
      <c r="GUV41" s="822"/>
      <c r="GUW41" s="822"/>
      <c r="GUX41" s="822"/>
      <c r="GUY41" s="822"/>
      <c r="GUZ41" s="822"/>
      <c r="GVA41" s="822"/>
      <c r="GVB41" s="822"/>
      <c r="GVC41" s="822"/>
      <c r="GVD41" s="822"/>
      <c r="GVE41" s="822"/>
      <c r="GVF41" s="822"/>
      <c r="GVG41" s="822"/>
      <c r="GVH41" s="822"/>
      <c r="GVI41" s="822"/>
      <c r="GVJ41" s="822"/>
      <c r="GVK41" s="822"/>
      <c r="GVL41" s="822"/>
      <c r="GVM41" s="822"/>
      <c r="GVN41" s="822"/>
      <c r="GVO41" s="822"/>
      <c r="GVP41" s="822"/>
      <c r="GVQ41" s="822"/>
      <c r="GVR41" s="822"/>
      <c r="GVS41" s="822"/>
      <c r="GVT41" s="822"/>
      <c r="GVU41" s="822"/>
      <c r="GVV41" s="822"/>
      <c r="GVW41" s="822"/>
      <c r="GVX41" s="822"/>
      <c r="GVY41" s="822"/>
      <c r="GVZ41" s="822"/>
      <c r="GWA41" s="822"/>
      <c r="GWB41" s="822"/>
      <c r="GWC41" s="822"/>
      <c r="GWD41" s="822"/>
      <c r="GWE41" s="822"/>
      <c r="GWF41" s="822"/>
      <c r="GWG41" s="822"/>
      <c r="GWH41" s="822"/>
      <c r="GWI41" s="822"/>
      <c r="GWJ41" s="822"/>
      <c r="GWK41" s="822"/>
      <c r="GWL41" s="822"/>
      <c r="GWM41" s="822"/>
      <c r="GWN41" s="822"/>
      <c r="GWO41" s="822"/>
      <c r="GWP41" s="822"/>
      <c r="GWQ41" s="822"/>
      <c r="GWR41" s="822"/>
      <c r="GWS41" s="822"/>
      <c r="GWT41" s="822"/>
      <c r="GWU41" s="822"/>
      <c r="GWV41" s="822"/>
      <c r="GWW41" s="822"/>
      <c r="GWX41" s="822"/>
      <c r="GWY41" s="822"/>
      <c r="GWZ41" s="822"/>
      <c r="GXA41" s="822"/>
      <c r="GXB41" s="822"/>
      <c r="GXC41" s="822"/>
      <c r="GXD41" s="822"/>
      <c r="GXE41" s="822"/>
      <c r="GXF41" s="822"/>
      <c r="GXG41" s="822"/>
      <c r="GXH41" s="822"/>
      <c r="GXI41" s="822"/>
      <c r="GXJ41" s="822"/>
      <c r="GXK41" s="822"/>
      <c r="GXL41" s="822"/>
      <c r="GXM41" s="822"/>
      <c r="GXN41" s="822"/>
      <c r="GXO41" s="822"/>
      <c r="GXP41" s="822"/>
      <c r="GXQ41" s="822"/>
      <c r="GXR41" s="822"/>
      <c r="GXS41" s="822"/>
      <c r="GXT41" s="822"/>
      <c r="GXU41" s="822"/>
      <c r="GXV41" s="822"/>
      <c r="GXW41" s="822"/>
      <c r="GXX41" s="822"/>
      <c r="GXY41" s="822"/>
      <c r="GXZ41" s="822"/>
      <c r="GYA41" s="822"/>
      <c r="GYB41" s="822"/>
      <c r="GYC41" s="822"/>
      <c r="GYD41" s="822"/>
      <c r="GYE41" s="822"/>
      <c r="GYF41" s="822"/>
      <c r="GYG41" s="822"/>
      <c r="GYH41" s="822"/>
      <c r="GYI41" s="822"/>
      <c r="GYJ41" s="822"/>
      <c r="GYK41" s="822"/>
      <c r="GYL41" s="822"/>
      <c r="GYM41" s="822"/>
      <c r="GYN41" s="822"/>
      <c r="GYO41" s="822"/>
      <c r="GYP41" s="822"/>
      <c r="GYQ41" s="822"/>
      <c r="GYR41" s="822"/>
      <c r="GYS41" s="822"/>
      <c r="GYT41" s="822"/>
      <c r="GYU41" s="822"/>
      <c r="GYV41" s="822"/>
      <c r="GYW41" s="822"/>
      <c r="GYX41" s="822"/>
      <c r="GYY41" s="822"/>
      <c r="GYZ41" s="822"/>
      <c r="GZA41" s="822"/>
      <c r="GZB41" s="822"/>
      <c r="GZC41" s="822"/>
      <c r="GZD41" s="822"/>
      <c r="GZE41" s="822"/>
      <c r="GZF41" s="822"/>
      <c r="GZG41" s="822"/>
      <c r="GZH41" s="822"/>
      <c r="GZI41" s="822"/>
      <c r="GZJ41" s="822"/>
      <c r="GZK41" s="822"/>
      <c r="GZL41" s="822"/>
      <c r="GZM41" s="822"/>
      <c r="GZN41" s="822"/>
      <c r="GZO41" s="822"/>
      <c r="GZP41" s="822"/>
      <c r="GZQ41" s="822"/>
      <c r="GZR41" s="822"/>
      <c r="GZS41" s="822"/>
      <c r="GZT41" s="822"/>
      <c r="GZU41" s="822"/>
      <c r="GZV41" s="822"/>
      <c r="GZW41" s="822"/>
      <c r="GZX41" s="822"/>
      <c r="GZY41" s="822"/>
      <c r="GZZ41" s="822"/>
      <c r="HAA41" s="822"/>
      <c r="HAB41" s="822"/>
      <c r="HAC41" s="822"/>
      <c r="HAD41" s="822"/>
      <c r="HAE41" s="822"/>
      <c r="HAF41" s="822"/>
      <c r="HAG41" s="822"/>
      <c r="HAH41" s="822"/>
      <c r="HAI41" s="822"/>
      <c r="HAJ41" s="822"/>
      <c r="HAK41" s="822"/>
      <c r="HAL41" s="822"/>
      <c r="HAM41" s="822"/>
      <c r="HAN41" s="822"/>
      <c r="HAO41" s="822"/>
      <c r="HAP41" s="822"/>
      <c r="HAQ41" s="822"/>
      <c r="HAR41" s="822"/>
      <c r="HAS41" s="822"/>
      <c r="HAT41" s="822"/>
      <c r="HAU41" s="822"/>
      <c r="HAV41" s="822"/>
      <c r="HAW41" s="822"/>
      <c r="HAX41" s="822"/>
      <c r="HAY41" s="822"/>
      <c r="HAZ41" s="822"/>
      <c r="HBA41" s="822"/>
      <c r="HBB41" s="822"/>
      <c r="HBC41" s="822"/>
      <c r="HBD41" s="822"/>
      <c r="HBE41" s="822"/>
      <c r="HBF41" s="822"/>
      <c r="HBG41" s="822"/>
      <c r="HBH41" s="822"/>
      <c r="HBI41" s="822"/>
      <c r="HBJ41" s="822"/>
      <c r="HBK41" s="822"/>
      <c r="HBL41" s="822"/>
      <c r="HBM41" s="822"/>
      <c r="HBN41" s="822"/>
      <c r="HBO41" s="822"/>
      <c r="HBP41" s="822"/>
      <c r="HBQ41" s="822"/>
      <c r="HBR41" s="822"/>
      <c r="HBS41" s="822"/>
      <c r="HBT41" s="822"/>
      <c r="HBU41" s="822"/>
      <c r="HBV41" s="822"/>
      <c r="HBW41" s="822"/>
      <c r="HBX41" s="822"/>
      <c r="HBY41" s="822"/>
      <c r="HBZ41" s="822"/>
      <c r="HCA41" s="822"/>
      <c r="HCB41" s="822"/>
      <c r="HCC41" s="822"/>
      <c r="HCD41" s="822"/>
      <c r="HCE41" s="822"/>
      <c r="HCF41" s="822"/>
      <c r="HCG41" s="822"/>
      <c r="HCH41" s="822"/>
      <c r="HCI41" s="822"/>
      <c r="HCJ41" s="822"/>
      <c r="HCK41" s="822"/>
      <c r="HCL41" s="822"/>
      <c r="HCM41" s="822"/>
      <c r="HCN41" s="822"/>
      <c r="HCO41" s="822"/>
      <c r="HCP41" s="822"/>
      <c r="HCQ41" s="822"/>
      <c r="HCR41" s="822"/>
      <c r="HCS41" s="822"/>
      <c r="HCT41" s="822"/>
      <c r="HCU41" s="822"/>
      <c r="HCV41" s="822"/>
      <c r="HCW41" s="822"/>
      <c r="HCX41" s="822"/>
      <c r="HCY41" s="822"/>
      <c r="HCZ41" s="822"/>
      <c r="HDA41" s="822"/>
      <c r="HDB41" s="822"/>
      <c r="HDC41" s="822"/>
      <c r="HDD41" s="822"/>
      <c r="HDE41" s="822"/>
      <c r="HDF41" s="822"/>
      <c r="HDG41" s="822"/>
      <c r="HDH41" s="822"/>
      <c r="HDI41" s="822"/>
      <c r="HDJ41" s="822"/>
      <c r="HDK41" s="822"/>
      <c r="HDL41" s="822"/>
      <c r="HDM41" s="822"/>
      <c r="HDN41" s="822"/>
      <c r="HDO41" s="822"/>
      <c r="HDP41" s="822"/>
      <c r="HDQ41" s="822"/>
      <c r="HDR41" s="822"/>
      <c r="HDS41" s="822"/>
      <c r="HDT41" s="822"/>
      <c r="HDU41" s="822"/>
      <c r="HDV41" s="822"/>
      <c r="HDW41" s="822"/>
      <c r="HDX41" s="822"/>
      <c r="HDY41" s="822"/>
      <c r="HDZ41" s="822"/>
      <c r="HEA41" s="822"/>
      <c r="HEB41" s="822"/>
      <c r="HEC41" s="822"/>
      <c r="HED41" s="822"/>
      <c r="HEE41" s="822"/>
      <c r="HEF41" s="822"/>
      <c r="HEG41" s="822"/>
      <c r="HEH41" s="822"/>
      <c r="HEI41" s="822"/>
      <c r="HEJ41" s="822"/>
      <c r="HEK41" s="822"/>
      <c r="HEL41" s="822"/>
      <c r="HEM41" s="822"/>
      <c r="HEN41" s="822"/>
      <c r="HEO41" s="822"/>
      <c r="HEP41" s="822"/>
      <c r="HEQ41" s="822"/>
      <c r="HER41" s="822"/>
      <c r="HES41" s="822"/>
      <c r="HET41" s="822"/>
      <c r="HEU41" s="822"/>
      <c r="HEV41" s="822"/>
      <c r="HEW41" s="822"/>
      <c r="HEX41" s="822"/>
      <c r="HEY41" s="822"/>
      <c r="HEZ41" s="822"/>
      <c r="HFA41" s="822"/>
      <c r="HFB41" s="822"/>
      <c r="HFC41" s="822"/>
      <c r="HFD41" s="822"/>
      <c r="HFE41" s="822"/>
      <c r="HFF41" s="822"/>
      <c r="HFG41" s="822"/>
      <c r="HFH41" s="822"/>
      <c r="HFI41" s="822"/>
      <c r="HFJ41" s="822"/>
      <c r="HFK41" s="822"/>
      <c r="HFL41" s="822"/>
      <c r="HFM41" s="822"/>
      <c r="HFN41" s="822"/>
      <c r="HFO41" s="822"/>
      <c r="HFP41" s="822"/>
      <c r="HFQ41" s="822"/>
      <c r="HFR41" s="822"/>
      <c r="HFS41" s="822"/>
      <c r="HFT41" s="822"/>
      <c r="HFU41" s="822"/>
      <c r="HFV41" s="822"/>
      <c r="HFW41" s="822"/>
      <c r="HFX41" s="822"/>
      <c r="HFY41" s="822"/>
      <c r="HFZ41" s="822"/>
      <c r="HGA41" s="822"/>
      <c r="HGB41" s="822"/>
      <c r="HGC41" s="822"/>
      <c r="HGD41" s="822"/>
      <c r="HGE41" s="822"/>
      <c r="HGF41" s="822"/>
      <c r="HGG41" s="822"/>
      <c r="HGH41" s="822"/>
      <c r="HGI41" s="822"/>
      <c r="HGJ41" s="822"/>
      <c r="HGK41" s="822"/>
      <c r="HGL41" s="822"/>
      <c r="HGM41" s="822"/>
      <c r="HGN41" s="822"/>
      <c r="HGO41" s="822"/>
      <c r="HGP41" s="822"/>
      <c r="HGQ41" s="822"/>
      <c r="HGR41" s="822"/>
      <c r="HGS41" s="822"/>
      <c r="HGT41" s="822"/>
      <c r="HGU41" s="822"/>
      <c r="HGV41" s="822"/>
      <c r="HGW41" s="822"/>
      <c r="HGX41" s="822"/>
      <c r="HGY41" s="822"/>
      <c r="HGZ41" s="822"/>
      <c r="HHA41" s="822"/>
      <c r="HHB41" s="822"/>
      <c r="HHC41" s="822"/>
      <c r="HHD41" s="822"/>
      <c r="HHE41" s="822"/>
      <c r="HHF41" s="822"/>
      <c r="HHG41" s="822"/>
      <c r="HHH41" s="822"/>
      <c r="HHI41" s="822"/>
      <c r="HHJ41" s="822"/>
      <c r="HHK41" s="822"/>
      <c r="HHL41" s="822"/>
      <c r="HHM41" s="822"/>
      <c r="HHN41" s="822"/>
      <c r="HHO41" s="822"/>
      <c r="HHP41" s="822"/>
      <c r="HHQ41" s="822"/>
      <c r="HHR41" s="822"/>
      <c r="HHS41" s="822"/>
      <c r="HHT41" s="822"/>
      <c r="HHU41" s="822"/>
      <c r="HHV41" s="822"/>
      <c r="HHW41" s="822"/>
      <c r="HHX41" s="822"/>
      <c r="HHY41" s="822"/>
      <c r="HHZ41" s="822"/>
      <c r="HIA41" s="822"/>
      <c r="HIB41" s="822"/>
      <c r="HIC41" s="822"/>
      <c r="HID41" s="822"/>
      <c r="HIE41" s="822"/>
      <c r="HIF41" s="822"/>
      <c r="HIG41" s="822"/>
      <c r="HIH41" s="822"/>
      <c r="HII41" s="822"/>
      <c r="HIJ41" s="822"/>
      <c r="HIK41" s="822"/>
      <c r="HIL41" s="822"/>
      <c r="HIM41" s="822"/>
      <c r="HIN41" s="822"/>
      <c r="HIO41" s="822"/>
      <c r="HIP41" s="822"/>
      <c r="HIQ41" s="822"/>
      <c r="HIR41" s="822"/>
      <c r="HIS41" s="822"/>
      <c r="HIT41" s="822"/>
      <c r="HIU41" s="822"/>
      <c r="HIV41" s="822"/>
      <c r="HIW41" s="822"/>
      <c r="HIX41" s="822"/>
      <c r="HIY41" s="822"/>
      <c r="HIZ41" s="822"/>
      <c r="HJA41" s="822"/>
      <c r="HJB41" s="822"/>
      <c r="HJC41" s="822"/>
      <c r="HJD41" s="822"/>
      <c r="HJE41" s="822"/>
      <c r="HJF41" s="822"/>
      <c r="HJG41" s="822"/>
      <c r="HJH41" s="822"/>
      <c r="HJI41" s="822"/>
      <c r="HJJ41" s="822"/>
      <c r="HJK41" s="822"/>
      <c r="HJL41" s="822"/>
      <c r="HJM41" s="822"/>
      <c r="HJN41" s="822"/>
      <c r="HJO41" s="822"/>
      <c r="HJP41" s="822"/>
      <c r="HJQ41" s="822"/>
      <c r="HJR41" s="822"/>
      <c r="HJS41" s="822"/>
      <c r="HJT41" s="822"/>
      <c r="HJU41" s="822"/>
      <c r="HJV41" s="822"/>
      <c r="HJW41" s="822"/>
      <c r="HJX41" s="822"/>
      <c r="HJY41" s="822"/>
      <c r="HJZ41" s="822"/>
      <c r="HKA41" s="822"/>
      <c r="HKB41" s="822"/>
      <c r="HKC41" s="822"/>
      <c r="HKD41" s="822"/>
      <c r="HKE41" s="822"/>
      <c r="HKF41" s="822"/>
      <c r="HKG41" s="822"/>
      <c r="HKH41" s="822"/>
      <c r="HKI41" s="822"/>
      <c r="HKJ41" s="822"/>
      <c r="HKK41" s="822"/>
      <c r="HKL41" s="822"/>
      <c r="HKM41" s="822"/>
      <c r="HKN41" s="822"/>
      <c r="HKO41" s="822"/>
      <c r="HKP41" s="822"/>
      <c r="HKQ41" s="822"/>
      <c r="HKR41" s="822"/>
      <c r="HKS41" s="822"/>
      <c r="HKT41" s="822"/>
      <c r="HKU41" s="822"/>
      <c r="HKV41" s="822"/>
      <c r="HKW41" s="822"/>
      <c r="HKX41" s="822"/>
      <c r="HKY41" s="822"/>
      <c r="HKZ41" s="822"/>
      <c r="HLA41" s="822"/>
      <c r="HLB41" s="822"/>
      <c r="HLC41" s="822"/>
      <c r="HLD41" s="822"/>
      <c r="HLE41" s="822"/>
      <c r="HLF41" s="822"/>
      <c r="HLG41" s="822"/>
      <c r="HLH41" s="822"/>
      <c r="HLI41" s="822"/>
      <c r="HLJ41" s="822"/>
      <c r="HLK41" s="822"/>
      <c r="HLL41" s="822"/>
      <c r="HLM41" s="822"/>
      <c r="HLN41" s="822"/>
      <c r="HLO41" s="822"/>
      <c r="HLP41" s="822"/>
      <c r="HLQ41" s="822"/>
      <c r="HLR41" s="822"/>
      <c r="HLS41" s="822"/>
      <c r="HLT41" s="822"/>
      <c r="HLU41" s="822"/>
      <c r="HLV41" s="822"/>
      <c r="HLW41" s="822"/>
      <c r="HLX41" s="822"/>
      <c r="HLY41" s="822"/>
      <c r="HLZ41" s="822"/>
      <c r="HMA41" s="822"/>
      <c r="HMB41" s="822"/>
      <c r="HMC41" s="822"/>
      <c r="HMD41" s="822"/>
      <c r="HME41" s="822"/>
      <c r="HMF41" s="822"/>
      <c r="HMG41" s="822"/>
      <c r="HMH41" s="822"/>
      <c r="HMI41" s="822"/>
      <c r="HMJ41" s="822"/>
      <c r="HMK41" s="822"/>
      <c r="HML41" s="822"/>
      <c r="HMM41" s="822"/>
      <c r="HMN41" s="822"/>
      <c r="HMO41" s="822"/>
      <c r="HMP41" s="822"/>
      <c r="HMQ41" s="822"/>
      <c r="HMR41" s="822"/>
      <c r="HMS41" s="822"/>
      <c r="HMT41" s="822"/>
      <c r="HMU41" s="822"/>
      <c r="HMV41" s="822"/>
      <c r="HMW41" s="822"/>
      <c r="HMX41" s="822"/>
      <c r="HMY41" s="822"/>
      <c r="HMZ41" s="822"/>
      <c r="HNA41" s="822"/>
      <c r="HNB41" s="822"/>
      <c r="HNC41" s="822"/>
      <c r="HND41" s="822"/>
      <c r="HNE41" s="822"/>
      <c r="HNF41" s="822"/>
      <c r="HNG41" s="822"/>
      <c r="HNH41" s="822"/>
      <c r="HNI41" s="822"/>
      <c r="HNJ41" s="822"/>
      <c r="HNK41" s="822"/>
      <c r="HNL41" s="822"/>
      <c r="HNM41" s="822"/>
      <c r="HNN41" s="822"/>
      <c r="HNO41" s="822"/>
      <c r="HNP41" s="822"/>
      <c r="HNQ41" s="822"/>
      <c r="HNR41" s="822"/>
      <c r="HNS41" s="822"/>
      <c r="HNT41" s="822"/>
      <c r="HNU41" s="822"/>
      <c r="HNV41" s="822"/>
      <c r="HNW41" s="822"/>
      <c r="HNX41" s="822"/>
      <c r="HNY41" s="822"/>
      <c r="HNZ41" s="822"/>
      <c r="HOA41" s="822"/>
      <c r="HOB41" s="822"/>
      <c r="HOC41" s="822"/>
      <c r="HOD41" s="822"/>
      <c r="HOE41" s="822"/>
      <c r="HOF41" s="822"/>
      <c r="HOG41" s="822"/>
      <c r="HOH41" s="822"/>
      <c r="HOI41" s="822"/>
      <c r="HOJ41" s="822"/>
      <c r="HOK41" s="822"/>
      <c r="HOL41" s="822"/>
      <c r="HOM41" s="822"/>
      <c r="HON41" s="822"/>
      <c r="HOO41" s="822"/>
      <c r="HOP41" s="822"/>
      <c r="HOQ41" s="822"/>
      <c r="HOR41" s="822"/>
      <c r="HOS41" s="822"/>
      <c r="HOT41" s="822"/>
      <c r="HOU41" s="822"/>
      <c r="HOV41" s="822"/>
      <c r="HOW41" s="822"/>
      <c r="HOX41" s="822"/>
      <c r="HOY41" s="822"/>
      <c r="HOZ41" s="822"/>
      <c r="HPA41" s="822"/>
      <c r="HPB41" s="822"/>
      <c r="HPC41" s="822"/>
      <c r="HPD41" s="822"/>
      <c r="HPE41" s="822"/>
      <c r="HPF41" s="822"/>
      <c r="HPG41" s="822"/>
      <c r="HPH41" s="822"/>
      <c r="HPI41" s="822"/>
      <c r="HPJ41" s="822"/>
      <c r="HPK41" s="822"/>
      <c r="HPL41" s="822"/>
      <c r="HPM41" s="822"/>
      <c r="HPN41" s="822"/>
      <c r="HPO41" s="822"/>
      <c r="HPP41" s="822"/>
      <c r="HPQ41" s="822"/>
      <c r="HPR41" s="822"/>
      <c r="HPS41" s="822"/>
      <c r="HPT41" s="822"/>
      <c r="HPU41" s="822"/>
      <c r="HPV41" s="822"/>
      <c r="HPW41" s="822"/>
      <c r="HPX41" s="822"/>
      <c r="HPY41" s="822"/>
      <c r="HPZ41" s="822"/>
      <c r="HQA41" s="822"/>
      <c r="HQB41" s="822"/>
      <c r="HQC41" s="822"/>
      <c r="HQD41" s="822"/>
      <c r="HQE41" s="822"/>
      <c r="HQF41" s="822"/>
      <c r="HQG41" s="822"/>
      <c r="HQH41" s="822"/>
      <c r="HQI41" s="822"/>
      <c r="HQJ41" s="822"/>
      <c r="HQK41" s="822"/>
      <c r="HQL41" s="822"/>
      <c r="HQM41" s="822"/>
      <c r="HQN41" s="822"/>
      <c r="HQO41" s="822"/>
      <c r="HQP41" s="822"/>
      <c r="HQQ41" s="822"/>
      <c r="HQR41" s="822"/>
      <c r="HQS41" s="822"/>
      <c r="HQT41" s="822"/>
      <c r="HQU41" s="822"/>
      <c r="HQV41" s="822"/>
      <c r="HQW41" s="822"/>
      <c r="HQX41" s="822"/>
      <c r="HQY41" s="822"/>
      <c r="HQZ41" s="822"/>
      <c r="HRA41" s="822"/>
      <c r="HRB41" s="822"/>
      <c r="HRC41" s="822"/>
      <c r="HRD41" s="822"/>
      <c r="HRE41" s="822"/>
      <c r="HRF41" s="822"/>
      <c r="HRG41" s="822"/>
      <c r="HRH41" s="822"/>
      <c r="HRI41" s="822"/>
      <c r="HRJ41" s="822"/>
      <c r="HRK41" s="822"/>
      <c r="HRL41" s="822"/>
      <c r="HRM41" s="822"/>
      <c r="HRN41" s="822"/>
      <c r="HRO41" s="822"/>
      <c r="HRP41" s="822"/>
      <c r="HRQ41" s="822"/>
      <c r="HRR41" s="822"/>
      <c r="HRS41" s="822"/>
      <c r="HRT41" s="822"/>
      <c r="HRU41" s="822"/>
      <c r="HRV41" s="822"/>
      <c r="HRW41" s="822"/>
      <c r="HRX41" s="822"/>
      <c r="HRY41" s="822"/>
      <c r="HRZ41" s="822"/>
      <c r="HSA41" s="822"/>
      <c r="HSB41" s="822"/>
      <c r="HSC41" s="822"/>
      <c r="HSD41" s="822"/>
      <c r="HSE41" s="822"/>
      <c r="HSF41" s="822"/>
      <c r="HSG41" s="822"/>
      <c r="HSH41" s="822"/>
      <c r="HSI41" s="822"/>
      <c r="HSJ41" s="822"/>
      <c r="HSK41" s="822"/>
      <c r="HSL41" s="822"/>
      <c r="HSM41" s="822"/>
      <c r="HSN41" s="822"/>
      <c r="HSO41" s="822"/>
      <c r="HSP41" s="822"/>
      <c r="HSQ41" s="822"/>
      <c r="HSR41" s="822"/>
      <c r="HSS41" s="822"/>
      <c r="HST41" s="822"/>
      <c r="HSU41" s="822"/>
      <c r="HSV41" s="822"/>
      <c r="HSW41" s="822"/>
      <c r="HSX41" s="822"/>
      <c r="HSY41" s="822"/>
      <c r="HSZ41" s="822"/>
      <c r="HTA41" s="822"/>
      <c r="HTB41" s="822"/>
      <c r="HTC41" s="822"/>
      <c r="HTD41" s="822"/>
      <c r="HTE41" s="822"/>
      <c r="HTF41" s="822"/>
      <c r="HTG41" s="822"/>
      <c r="HTH41" s="822"/>
      <c r="HTI41" s="822"/>
      <c r="HTJ41" s="822"/>
      <c r="HTK41" s="822"/>
      <c r="HTL41" s="822"/>
      <c r="HTM41" s="822"/>
      <c r="HTN41" s="822"/>
      <c r="HTO41" s="822"/>
      <c r="HTP41" s="822"/>
      <c r="HTQ41" s="822"/>
      <c r="HTR41" s="822"/>
      <c r="HTS41" s="822"/>
      <c r="HTT41" s="822"/>
      <c r="HTU41" s="822"/>
      <c r="HTV41" s="822"/>
      <c r="HTW41" s="822"/>
      <c r="HTX41" s="822"/>
      <c r="HTY41" s="822"/>
      <c r="HTZ41" s="822"/>
      <c r="HUA41" s="822"/>
      <c r="HUB41" s="822"/>
      <c r="HUC41" s="822"/>
      <c r="HUD41" s="822"/>
      <c r="HUE41" s="822"/>
      <c r="HUF41" s="822"/>
      <c r="HUG41" s="822"/>
      <c r="HUH41" s="822"/>
      <c r="HUI41" s="822"/>
      <c r="HUJ41" s="822"/>
      <c r="HUK41" s="822"/>
      <c r="HUL41" s="822"/>
      <c r="HUM41" s="822"/>
      <c r="HUN41" s="822"/>
      <c r="HUO41" s="822"/>
      <c r="HUP41" s="822"/>
      <c r="HUQ41" s="822"/>
      <c r="HUR41" s="822"/>
      <c r="HUS41" s="822"/>
      <c r="HUT41" s="822"/>
      <c r="HUU41" s="822"/>
      <c r="HUV41" s="822"/>
      <c r="HUW41" s="822"/>
      <c r="HUX41" s="822"/>
      <c r="HUY41" s="822"/>
      <c r="HUZ41" s="822"/>
      <c r="HVA41" s="822"/>
      <c r="HVB41" s="822"/>
      <c r="HVC41" s="822"/>
      <c r="HVD41" s="822"/>
      <c r="HVE41" s="822"/>
      <c r="HVF41" s="822"/>
      <c r="HVG41" s="822"/>
      <c r="HVH41" s="822"/>
      <c r="HVI41" s="822"/>
      <c r="HVJ41" s="822"/>
      <c r="HVK41" s="822"/>
      <c r="HVL41" s="822"/>
      <c r="HVM41" s="822"/>
      <c r="HVN41" s="822"/>
      <c r="HVO41" s="822"/>
      <c r="HVP41" s="822"/>
      <c r="HVQ41" s="822"/>
      <c r="HVR41" s="822"/>
      <c r="HVS41" s="822"/>
      <c r="HVT41" s="822"/>
      <c r="HVU41" s="822"/>
      <c r="HVV41" s="822"/>
      <c r="HVW41" s="822"/>
      <c r="HVX41" s="822"/>
      <c r="HVY41" s="822"/>
      <c r="HVZ41" s="822"/>
      <c r="HWA41" s="822"/>
      <c r="HWB41" s="822"/>
      <c r="HWC41" s="822"/>
      <c r="HWD41" s="822"/>
      <c r="HWE41" s="822"/>
      <c r="HWF41" s="822"/>
      <c r="HWG41" s="822"/>
      <c r="HWH41" s="822"/>
      <c r="HWI41" s="822"/>
      <c r="HWJ41" s="822"/>
      <c r="HWK41" s="822"/>
      <c r="HWL41" s="822"/>
      <c r="HWM41" s="822"/>
      <c r="HWN41" s="822"/>
      <c r="HWO41" s="822"/>
      <c r="HWP41" s="822"/>
      <c r="HWQ41" s="822"/>
      <c r="HWR41" s="822"/>
      <c r="HWS41" s="822"/>
      <c r="HWT41" s="822"/>
      <c r="HWU41" s="822"/>
      <c r="HWV41" s="822"/>
      <c r="HWW41" s="822"/>
      <c r="HWX41" s="822"/>
      <c r="HWY41" s="822"/>
      <c r="HWZ41" s="822"/>
      <c r="HXA41" s="822"/>
      <c r="HXB41" s="822"/>
      <c r="HXC41" s="822"/>
      <c r="HXD41" s="822"/>
      <c r="HXE41" s="822"/>
      <c r="HXF41" s="822"/>
      <c r="HXG41" s="822"/>
      <c r="HXH41" s="822"/>
      <c r="HXI41" s="822"/>
      <c r="HXJ41" s="822"/>
      <c r="HXK41" s="822"/>
      <c r="HXL41" s="822"/>
      <c r="HXM41" s="822"/>
      <c r="HXN41" s="822"/>
      <c r="HXO41" s="822"/>
      <c r="HXP41" s="822"/>
      <c r="HXQ41" s="822"/>
      <c r="HXR41" s="822"/>
      <c r="HXS41" s="822"/>
      <c r="HXT41" s="822"/>
      <c r="HXU41" s="822"/>
      <c r="HXV41" s="822"/>
      <c r="HXW41" s="822"/>
      <c r="HXX41" s="822"/>
      <c r="HXY41" s="822"/>
      <c r="HXZ41" s="822"/>
      <c r="HYA41" s="822"/>
      <c r="HYB41" s="822"/>
      <c r="HYC41" s="822"/>
      <c r="HYD41" s="822"/>
      <c r="HYE41" s="822"/>
      <c r="HYF41" s="822"/>
      <c r="HYG41" s="822"/>
      <c r="HYH41" s="822"/>
      <c r="HYI41" s="822"/>
      <c r="HYJ41" s="822"/>
      <c r="HYK41" s="822"/>
      <c r="HYL41" s="822"/>
      <c r="HYM41" s="822"/>
      <c r="HYN41" s="822"/>
      <c r="HYO41" s="822"/>
      <c r="HYP41" s="822"/>
      <c r="HYQ41" s="822"/>
      <c r="HYR41" s="822"/>
      <c r="HYS41" s="822"/>
      <c r="HYT41" s="822"/>
      <c r="HYU41" s="822"/>
      <c r="HYV41" s="822"/>
      <c r="HYW41" s="822"/>
      <c r="HYX41" s="822"/>
      <c r="HYY41" s="822"/>
      <c r="HYZ41" s="822"/>
      <c r="HZA41" s="822"/>
      <c r="HZB41" s="822"/>
      <c r="HZC41" s="822"/>
      <c r="HZD41" s="822"/>
      <c r="HZE41" s="822"/>
      <c r="HZF41" s="822"/>
      <c r="HZG41" s="822"/>
      <c r="HZH41" s="822"/>
      <c r="HZI41" s="822"/>
      <c r="HZJ41" s="822"/>
      <c r="HZK41" s="822"/>
      <c r="HZL41" s="822"/>
      <c r="HZM41" s="822"/>
      <c r="HZN41" s="822"/>
      <c r="HZO41" s="822"/>
      <c r="HZP41" s="822"/>
      <c r="HZQ41" s="822"/>
      <c r="HZR41" s="822"/>
      <c r="HZS41" s="822"/>
      <c r="HZT41" s="822"/>
      <c r="HZU41" s="822"/>
      <c r="HZV41" s="822"/>
      <c r="HZW41" s="822"/>
      <c r="HZX41" s="822"/>
      <c r="HZY41" s="822"/>
      <c r="HZZ41" s="822"/>
      <c r="IAA41" s="822"/>
      <c r="IAB41" s="822"/>
      <c r="IAC41" s="822"/>
      <c r="IAD41" s="822"/>
      <c r="IAE41" s="822"/>
      <c r="IAF41" s="822"/>
      <c r="IAG41" s="822"/>
      <c r="IAH41" s="822"/>
      <c r="IAI41" s="822"/>
      <c r="IAJ41" s="822"/>
      <c r="IAK41" s="822"/>
      <c r="IAL41" s="822"/>
      <c r="IAM41" s="822"/>
      <c r="IAN41" s="822"/>
      <c r="IAO41" s="822"/>
      <c r="IAP41" s="822"/>
      <c r="IAQ41" s="822"/>
      <c r="IAR41" s="822"/>
      <c r="IAS41" s="822"/>
      <c r="IAT41" s="822"/>
      <c r="IAU41" s="822"/>
      <c r="IAV41" s="822"/>
      <c r="IAW41" s="822"/>
      <c r="IAX41" s="822"/>
      <c r="IAY41" s="822"/>
      <c r="IAZ41" s="822"/>
      <c r="IBA41" s="822"/>
      <c r="IBB41" s="822"/>
      <c r="IBC41" s="822"/>
      <c r="IBD41" s="822"/>
      <c r="IBE41" s="822"/>
      <c r="IBF41" s="822"/>
      <c r="IBG41" s="822"/>
      <c r="IBH41" s="822"/>
      <c r="IBI41" s="822"/>
      <c r="IBJ41" s="822"/>
      <c r="IBK41" s="822"/>
      <c r="IBL41" s="822"/>
      <c r="IBM41" s="822"/>
      <c r="IBN41" s="822"/>
      <c r="IBO41" s="822"/>
      <c r="IBP41" s="822"/>
      <c r="IBQ41" s="822"/>
      <c r="IBR41" s="822"/>
      <c r="IBS41" s="822"/>
      <c r="IBT41" s="822"/>
      <c r="IBU41" s="822"/>
      <c r="IBV41" s="822"/>
      <c r="IBW41" s="822"/>
      <c r="IBX41" s="822"/>
      <c r="IBY41" s="822"/>
      <c r="IBZ41" s="822"/>
      <c r="ICA41" s="822"/>
      <c r="ICB41" s="822"/>
      <c r="ICC41" s="822"/>
      <c r="ICD41" s="822"/>
      <c r="ICE41" s="822"/>
      <c r="ICF41" s="822"/>
      <c r="ICG41" s="822"/>
      <c r="ICH41" s="822"/>
      <c r="ICI41" s="822"/>
      <c r="ICJ41" s="822"/>
      <c r="ICK41" s="822"/>
      <c r="ICL41" s="822"/>
      <c r="ICM41" s="822"/>
      <c r="ICN41" s="822"/>
      <c r="ICO41" s="822"/>
      <c r="ICP41" s="822"/>
      <c r="ICQ41" s="822"/>
      <c r="ICR41" s="822"/>
      <c r="ICS41" s="822"/>
      <c r="ICT41" s="822"/>
      <c r="ICU41" s="822"/>
      <c r="ICV41" s="822"/>
      <c r="ICW41" s="822"/>
      <c r="ICX41" s="822"/>
      <c r="ICY41" s="822"/>
      <c r="ICZ41" s="822"/>
      <c r="IDA41" s="822"/>
      <c r="IDB41" s="822"/>
      <c r="IDC41" s="822"/>
      <c r="IDD41" s="822"/>
      <c r="IDE41" s="822"/>
      <c r="IDF41" s="822"/>
      <c r="IDG41" s="822"/>
      <c r="IDH41" s="822"/>
      <c r="IDI41" s="822"/>
      <c r="IDJ41" s="822"/>
      <c r="IDK41" s="822"/>
      <c r="IDL41" s="822"/>
      <c r="IDM41" s="822"/>
      <c r="IDN41" s="822"/>
      <c r="IDO41" s="822"/>
      <c r="IDP41" s="822"/>
      <c r="IDQ41" s="822"/>
      <c r="IDR41" s="822"/>
      <c r="IDS41" s="822"/>
      <c r="IDT41" s="822"/>
      <c r="IDU41" s="822"/>
      <c r="IDV41" s="822"/>
      <c r="IDW41" s="822"/>
      <c r="IDX41" s="822"/>
      <c r="IDY41" s="822"/>
      <c r="IDZ41" s="822"/>
      <c r="IEA41" s="822"/>
      <c r="IEB41" s="822"/>
      <c r="IEC41" s="822"/>
      <c r="IED41" s="822"/>
      <c r="IEE41" s="822"/>
      <c r="IEF41" s="822"/>
      <c r="IEG41" s="822"/>
      <c r="IEH41" s="822"/>
      <c r="IEI41" s="822"/>
      <c r="IEJ41" s="822"/>
      <c r="IEK41" s="822"/>
      <c r="IEL41" s="822"/>
      <c r="IEM41" s="822"/>
      <c r="IEN41" s="822"/>
      <c r="IEO41" s="822"/>
      <c r="IEP41" s="822"/>
      <c r="IEQ41" s="822"/>
      <c r="IER41" s="822"/>
      <c r="IES41" s="822"/>
      <c r="IET41" s="822"/>
      <c r="IEU41" s="822"/>
      <c r="IEV41" s="822"/>
      <c r="IEW41" s="822"/>
      <c r="IEX41" s="822"/>
      <c r="IEY41" s="822"/>
      <c r="IEZ41" s="822"/>
      <c r="IFA41" s="822"/>
      <c r="IFB41" s="822"/>
      <c r="IFC41" s="822"/>
      <c r="IFD41" s="822"/>
      <c r="IFE41" s="822"/>
      <c r="IFF41" s="822"/>
      <c r="IFG41" s="822"/>
      <c r="IFH41" s="822"/>
      <c r="IFI41" s="822"/>
      <c r="IFJ41" s="822"/>
      <c r="IFK41" s="822"/>
      <c r="IFL41" s="822"/>
      <c r="IFM41" s="822"/>
      <c r="IFN41" s="822"/>
      <c r="IFO41" s="822"/>
      <c r="IFP41" s="822"/>
      <c r="IFQ41" s="822"/>
      <c r="IFR41" s="822"/>
      <c r="IFS41" s="822"/>
      <c r="IFT41" s="822"/>
      <c r="IFU41" s="822"/>
      <c r="IFV41" s="822"/>
      <c r="IFW41" s="822"/>
      <c r="IFX41" s="822"/>
      <c r="IFY41" s="822"/>
      <c r="IFZ41" s="822"/>
      <c r="IGA41" s="822"/>
      <c r="IGB41" s="822"/>
      <c r="IGC41" s="822"/>
      <c r="IGD41" s="822"/>
      <c r="IGE41" s="822"/>
      <c r="IGF41" s="822"/>
      <c r="IGG41" s="822"/>
      <c r="IGH41" s="822"/>
      <c r="IGI41" s="822"/>
      <c r="IGJ41" s="822"/>
      <c r="IGK41" s="822"/>
      <c r="IGL41" s="822"/>
      <c r="IGM41" s="822"/>
      <c r="IGN41" s="822"/>
      <c r="IGO41" s="822"/>
      <c r="IGP41" s="822"/>
      <c r="IGQ41" s="822"/>
      <c r="IGR41" s="822"/>
      <c r="IGS41" s="822"/>
      <c r="IGT41" s="822"/>
      <c r="IGU41" s="822"/>
      <c r="IGV41" s="822"/>
      <c r="IGW41" s="822"/>
      <c r="IGX41" s="822"/>
      <c r="IGY41" s="822"/>
      <c r="IGZ41" s="822"/>
      <c r="IHA41" s="822"/>
      <c r="IHB41" s="822"/>
      <c r="IHC41" s="822"/>
      <c r="IHD41" s="822"/>
      <c r="IHE41" s="822"/>
      <c r="IHF41" s="822"/>
      <c r="IHG41" s="822"/>
      <c r="IHH41" s="822"/>
      <c r="IHI41" s="822"/>
      <c r="IHJ41" s="822"/>
      <c r="IHK41" s="822"/>
      <c r="IHL41" s="822"/>
      <c r="IHM41" s="822"/>
      <c r="IHN41" s="822"/>
      <c r="IHO41" s="822"/>
      <c r="IHP41" s="822"/>
      <c r="IHQ41" s="822"/>
      <c r="IHR41" s="822"/>
      <c r="IHS41" s="822"/>
      <c r="IHT41" s="822"/>
      <c r="IHU41" s="822"/>
      <c r="IHV41" s="822"/>
      <c r="IHW41" s="822"/>
      <c r="IHX41" s="822"/>
      <c r="IHY41" s="822"/>
      <c r="IHZ41" s="822"/>
      <c r="IIA41" s="822"/>
      <c r="IIB41" s="822"/>
      <c r="IIC41" s="822"/>
      <c r="IID41" s="822"/>
      <c r="IIE41" s="822"/>
      <c r="IIF41" s="822"/>
      <c r="IIG41" s="822"/>
      <c r="IIH41" s="822"/>
      <c r="III41" s="822"/>
      <c r="IIJ41" s="822"/>
      <c r="IIK41" s="822"/>
      <c r="IIL41" s="822"/>
      <c r="IIM41" s="822"/>
      <c r="IIN41" s="822"/>
      <c r="IIO41" s="822"/>
      <c r="IIP41" s="822"/>
      <c r="IIQ41" s="822"/>
      <c r="IIR41" s="822"/>
      <c r="IIS41" s="822"/>
      <c r="IIT41" s="822"/>
      <c r="IIU41" s="822"/>
      <c r="IIV41" s="822"/>
      <c r="IIW41" s="822"/>
      <c r="IIX41" s="822"/>
      <c r="IIY41" s="822"/>
      <c r="IIZ41" s="822"/>
      <c r="IJA41" s="822"/>
      <c r="IJB41" s="822"/>
      <c r="IJC41" s="822"/>
      <c r="IJD41" s="822"/>
      <c r="IJE41" s="822"/>
      <c r="IJF41" s="822"/>
      <c r="IJG41" s="822"/>
      <c r="IJH41" s="822"/>
      <c r="IJI41" s="822"/>
      <c r="IJJ41" s="822"/>
      <c r="IJK41" s="822"/>
      <c r="IJL41" s="822"/>
      <c r="IJM41" s="822"/>
      <c r="IJN41" s="822"/>
      <c r="IJO41" s="822"/>
      <c r="IJP41" s="822"/>
      <c r="IJQ41" s="822"/>
      <c r="IJR41" s="822"/>
      <c r="IJS41" s="822"/>
      <c r="IJT41" s="822"/>
      <c r="IJU41" s="822"/>
      <c r="IJV41" s="822"/>
      <c r="IJW41" s="822"/>
      <c r="IJX41" s="822"/>
      <c r="IJY41" s="822"/>
      <c r="IJZ41" s="822"/>
      <c r="IKA41" s="822"/>
      <c r="IKB41" s="822"/>
      <c r="IKC41" s="822"/>
      <c r="IKD41" s="822"/>
      <c r="IKE41" s="822"/>
      <c r="IKF41" s="822"/>
      <c r="IKG41" s="822"/>
      <c r="IKH41" s="822"/>
      <c r="IKI41" s="822"/>
      <c r="IKJ41" s="822"/>
      <c r="IKK41" s="822"/>
      <c r="IKL41" s="822"/>
      <c r="IKM41" s="822"/>
      <c r="IKN41" s="822"/>
      <c r="IKO41" s="822"/>
      <c r="IKP41" s="822"/>
      <c r="IKQ41" s="822"/>
      <c r="IKR41" s="822"/>
      <c r="IKS41" s="822"/>
      <c r="IKT41" s="822"/>
      <c r="IKU41" s="822"/>
      <c r="IKV41" s="822"/>
      <c r="IKW41" s="822"/>
      <c r="IKX41" s="822"/>
      <c r="IKY41" s="822"/>
      <c r="IKZ41" s="822"/>
      <c r="ILA41" s="822"/>
      <c r="ILB41" s="822"/>
      <c r="ILC41" s="822"/>
      <c r="ILD41" s="822"/>
      <c r="ILE41" s="822"/>
      <c r="ILF41" s="822"/>
      <c r="ILG41" s="822"/>
      <c r="ILH41" s="822"/>
      <c r="ILI41" s="822"/>
      <c r="ILJ41" s="822"/>
      <c r="ILK41" s="822"/>
      <c r="ILL41" s="822"/>
      <c r="ILM41" s="822"/>
      <c r="ILN41" s="822"/>
      <c r="ILO41" s="822"/>
      <c r="ILP41" s="822"/>
      <c r="ILQ41" s="822"/>
      <c r="ILR41" s="822"/>
      <c r="ILS41" s="822"/>
      <c r="ILT41" s="822"/>
      <c r="ILU41" s="822"/>
      <c r="ILV41" s="822"/>
      <c r="ILW41" s="822"/>
      <c r="ILX41" s="822"/>
      <c r="ILY41" s="822"/>
      <c r="ILZ41" s="822"/>
      <c r="IMA41" s="822"/>
      <c r="IMB41" s="822"/>
      <c r="IMC41" s="822"/>
      <c r="IMD41" s="822"/>
      <c r="IME41" s="822"/>
      <c r="IMF41" s="822"/>
      <c r="IMG41" s="822"/>
      <c r="IMH41" s="822"/>
      <c r="IMI41" s="822"/>
      <c r="IMJ41" s="822"/>
      <c r="IMK41" s="822"/>
      <c r="IML41" s="822"/>
      <c r="IMM41" s="822"/>
      <c r="IMN41" s="822"/>
      <c r="IMO41" s="822"/>
      <c r="IMP41" s="822"/>
      <c r="IMQ41" s="822"/>
      <c r="IMR41" s="822"/>
      <c r="IMS41" s="822"/>
      <c r="IMT41" s="822"/>
      <c r="IMU41" s="822"/>
      <c r="IMV41" s="822"/>
      <c r="IMW41" s="822"/>
      <c r="IMX41" s="822"/>
      <c r="IMY41" s="822"/>
      <c r="IMZ41" s="822"/>
      <c r="INA41" s="822"/>
      <c r="INB41" s="822"/>
      <c r="INC41" s="822"/>
      <c r="IND41" s="822"/>
      <c r="INE41" s="822"/>
      <c r="INF41" s="822"/>
      <c r="ING41" s="822"/>
      <c r="INH41" s="822"/>
      <c r="INI41" s="822"/>
      <c r="INJ41" s="822"/>
      <c r="INK41" s="822"/>
      <c r="INL41" s="822"/>
      <c r="INM41" s="822"/>
      <c r="INN41" s="822"/>
      <c r="INO41" s="822"/>
      <c r="INP41" s="822"/>
      <c r="INQ41" s="822"/>
      <c r="INR41" s="822"/>
      <c r="INS41" s="822"/>
      <c r="INT41" s="822"/>
      <c r="INU41" s="822"/>
      <c r="INV41" s="822"/>
      <c r="INW41" s="822"/>
      <c r="INX41" s="822"/>
      <c r="INY41" s="822"/>
      <c r="INZ41" s="822"/>
      <c r="IOA41" s="822"/>
      <c r="IOB41" s="822"/>
      <c r="IOC41" s="822"/>
      <c r="IOD41" s="822"/>
      <c r="IOE41" s="822"/>
      <c r="IOF41" s="822"/>
      <c r="IOG41" s="822"/>
      <c r="IOH41" s="822"/>
      <c r="IOI41" s="822"/>
      <c r="IOJ41" s="822"/>
      <c r="IOK41" s="822"/>
      <c r="IOL41" s="822"/>
      <c r="IOM41" s="822"/>
      <c r="ION41" s="822"/>
      <c r="IOO41" s="822"/>
      <c r="IOP41" s="822"/>
      <c r="IOQ41" s="822"/>
      <c r="IOR41" s="822"/>
      <c r="IOS41" s="822"/>
      <c r="IOT41" s="822"/>
      <c r="IOU41" s="822"/>
      <c r="IOV41" s="822"/>
      <c r="IOW41" s="822"/>
      <c r="IOX41" s="822"/>
      <c r="IOY41" s="822"/>
      <c r="IOZ41" s="822"/>
      <c r="IPA41" s="822"/>
      <c r="IPB41" s="822"/>
      <c r="IPC41" s="822"/>
      <c r="IPD41" s="822"/>
      <c r="IPE41" s="822"/>
      <c r="IPF41" s="822"/>
      <c r="IPG41" s="822"/>
      <c r="IPH41" s="822"/>
      <c r="IPI41" s="822"/>
      <c r="IPJ41" s="822"/>
      <c r="IPK41" s="822"/>
      <c r="IPL41" s="822"/>
      <c r="IPM41" s="822"/>
      <c r="IPN41" s="822"/>
      <c r="IPO41" s="822"/>
      <c r="IPP41" s="822"/>
      <c r="IPQ41" s="822"/>
      <c r="IPR41" s="822"/>
      <c r="IPS41" s="822"/>
      <c r="IPT41" s="822"/>
      <c r="IPU41" s="822"/>
      <c r="IPV41" s="822"/>
      <c r="IPW41" s="822"/>
      <c r="IPX41" s="822"/>
      <c r="IPY41" s="822"/>
      <c r="IPZ41" s="822"/>
      <c r="IQA41" s="822"/>
      <c r="IQB41" s="822"/>
      <c r="IQC41" s="822"/>
      <c r="IQD41" s="822"/>
      <c r="IQE41" s="822"/>
      <c r="IQF41" s="822"/>
      <c r="IQG41" s="822"/>
      <c r="IQH41" s="822"/>
      <c r="IQI41" s="822"/>
      <c r="IQJ41" s="822"/>
      <c r="IQK41" s="822"/>
      <c r="IQL41" s="822"/>
      <c r="IQM41" s="822"/>
      <c r="IQN41" s="822"/>
      <c r="IQO41" s="822"/>
      <c r="IQP41" s="822"/>
      <c r="IQQ41" s="822"/>
      <c r="IQR41" s="822"/>
      <c r="IQS41" s="822"/>
      <c r="IQT41" s="822"/>
      <c r="IQU41" s="822"/>
      <c r="IQV41" s="822"/>
      <c r="IQW41" s="822"/>
      <c r="IQX41" s="822"/>
      <c r="IQY41" s="822"/>
      <c r="IQZ41" s="822"/>
      <c r="IRA41" s="822"/>
      <c r="IRB41" s="822"/>
      <c r="IRC41" s="822"/>
      <c r="IRD41" s="822"/>
      <c r="IRE41" s="822"/>
      <c r="IRF41" s="822"/>
      <c r="IRG41" s="822"/>
      <c r="IRH41" s="822"/>
      <c r="IRI41" s="822"/>
      <c r="IRJ41" s="822"/>
      <c r="IRK41" s="822"/>
      <c r="IRL41" s="822"/>
      <c r="IRM41" s="822"/>
      <c r="IRN41" s="822"/>
      <c r="IRO41" s="822"/>
      <c r="IRP41" s="822"/>
      <c r="IRQ41" s="822"/>
      <c r="IRR41" s="822"/>
      <c r="IRS41" s="822"/>
      <c r="IRT41" s="822"/>
      <c r="IRU41" s="822"/>
      <c r="IRV41" s="822"/>
      <c r="IRW41" s="822"/>
      <c r="IRX41" s="822"/>
      <c r="IRY41" s="822"/>
      <c r="IRZ41" s="822"/>
      <c r="ISA41" s="822"/>
      <c r="ISB41" s="822"/>
      <c r="ISC41" s="822"/>
      <c r="ISD41" s="822"/>
      <c r="ISE41" s="822"/>
      <c r="ISF41" s="822"/>
      <c r="ISG41" s="822"/>
      <c r="ISH41" s="822"/>
      <c r="ISI41" s="822"/>
      <c r="ISJ41" s="822"/>
      <c r="ISK41" s="822"/>
      <c r="ISL41" s="822"/>
      <c r="ISM41" s="822"/>
      <c r="ISN41" s="822"/>
      <c r="ISO41" s="822"/>
      <c r="ISP41" s="822"/>
      <c r="ISQ41" s="822"/>
      <c r="ISR41" s="822"/>
      <c r="ISS41" s="822"/>
      <c r="IST41" s="822"/>
      <c r="ISU41" s="822"/>
      <c r="ISV41" s="822"/>
      <c r="ISW41" s="822"/>
      <c r="ISX41" s="822"/>
      <c r="ISY41" s="822"/>
      <c r="ISZ41" s="822"/>
      <c r="ITA41" s="822"/>
      <c r="ITB41" s="822"/>
      <c r="ITC41" s="822"/>
      <c r="ITD41" s="822"/>
      <c r="ITE41" s="822"/>
      <c r="ITF41" s="822"/>
      <c r="ITG41" s="822"/>
      <c r="ITH41" s="822"/>
      <c r="ITI41" s="822"/>
      <c r="ITJ41" s="822"/>
      <c r="ITK41" s="822"/>
      <c r="ITL41" s="822"/>
      <c r="ITM41" s="822"/>
      <c r="ITN41" s="822"/>
      <c r="ITO41" s="822"/>
      <c r="ITP41" s="822"/>
      <c r="ITQ41" s="822"/>
      <c r="ITR41" s="822"/>
      <c r="ITS41" s="822"/>
      <c r="ITT41" s="822"/>
      <c r="ITU41" s="822"/>
      <c r="ITV41" s="822"/>
      <c r="ITW41" s="822"/>
      <c r="ITX41" s="822"/>
      <c r="ITY41" s="822"/>
      <c r="ITZ41" s="822"/>
      <c r="IUA41" s="822"/>
      <c r="IUB41" s="822"/>
      <c r="IUC41" s="822"/>
      <c r="IUD41" s="822"/>
      <c r="IUE41" s="822"/>
      <c r="IUF41" s="822"/>
      <c r="IUG41" s="822"/>
      <c r="IUH41" s="822"/>
      <c r="IUI41" s="822"/>
      <c r="IUJ41" s="822"/>
      <c r="IUK41" s="822"/>
      <c r="IUL41" s="822"/>
      <c r="IUM41" s="822"/>
      <c r="IUN41" s="822"/>
      <c r="IUO41" s="822"/>
      <c r="IUP41" s="822"/>
      <c r="IUQ41" s="822"/>
      <c r="IUR41" s="822"/>
      <c r="IUS41" s="822"/>
      <c r="IUT41" s="822"/>
      <c r="IUU41" s="822"/>
      <c r="IUV41" s="822"/>
      <c r="IUW41" s="822"/>
      <c r="IUX41" s="822"/>
      <c r="IUY41" s="822"/>
      <c r="IUZ41" s="822"/>
      <c r="IVA41" s="822"/>
      <c r="IVB41" s="822"/>
      <c r="IVC41" s="822"/>
      <c r="IVD41" s="822"/>
      <c r="IVE41" s="822"/>
      <c r="IVF41" s="822"/>
      <c r="IVG41" s="822"/>
      <c r="IVH41" s="822"/>
      <c r="IVI41" s="822"/>
      <c r="IVJ41" s="822"/>
      <c r="IVK41" s="822"/>
      <c r="IVL41" s="822"/>
      <c r="IVM41" s="822"/>
      <c r="IVN41" s="822"/>
      <c r="IVO41" s="822"/>
      <c r="IVP41" s="822"/>
      <c r="IVQ41" s="822"/>
      <c r="IVR41" s="822"/>
      <c r="IVS41" s="822"/>
      <c r="IVT41" s="822"/>
      <c r="IVU41" s="822"/>
      <c r="IVV41" s="822"/>
      <c r="IVW41" s="822"/>
      <c r="IVX41" s="822"/>
      <c r="IVY41" s="822"/>
      <c r="IVZ41" s="822"/>
      <c r="IWA41" s="822"/>
      <c r="IWB41" s="822"/>
      <c r="IWC41" s="822"/>
      <c r="IWD41" s="822"/>
      <c r="IWE41" s="822"/>
      <c r="IWF41" s="822"/>
      <c r="IWG41" s="822"/>
      <c r="IWH41" s="822"/>
      <c r="IWI41" s="822"/>
      <c r="IWJ41" s="822"/>
      <c r="IWK41" s="822"/>
      <c r="IWL41" s="822"/>
      <c r="IWM41" s="822"/>
      <c r="IWN41" s="822"/>
      <c r="IWO41" s="822"/>
      <c r="IWP41" s="822"/>
      <c r="IWQ41" s="822"/>
      <c r="IWR41" s="822"/>
      <c r="IWS41" s="822"/>
      <c r="IWT41" s="822"/>
      <c r="IWU41" s="822"/>
      <c r="IWV41" s="822"/>
      <c r="IWW41" s="822"/>
      <c r="IWX41" s="822"/>
      <c r="IWY41" s="822"/>
      <c r="IWZ41" s="822"/>
      <c r="IXA41" s="822"/>
      <c r="IXB41" s="822"/>
      <c r="IXC41" s="822"/>
      <c r="IXD41" s="822"/>
      <c r="IXE41" s="822"/>
      <c r="IXF41" s="822"/>
      <c r="IXG41" s="822"/>
      <c r="IXH41" s="822"/>
      <c r="IXI41" s="822"/>
      <c r="IXJ41" s="822"/>
      <c r="IXK41" s="822"/>
      <c r="IXL41" s="822"/>
      <c r="IXM41" s="822"/>
      <c r="IXN41" s="822"/>
      <c r="IXO41" s="822"/>
      <c r="IXP41" s="822"/>
      <c r="IXQ41" s="822"/>
      <c r="IXR41" s="822"/>
      <c r="IXS41" s="822"/>
      <c r="IXT41" s="822"/>
      <c r="IXU41" s="822"/>
      <c r="IXV41" s="822"/>
      <c r="IXW41" s="822"/>
      <c r="IXX41" s="822"/>
      <c r="IXY41" s="822"/>
      <c r="IXZ41" s="822"/>
      <c r="IYA41" s="822"/>
      <c r="IYB41" s="822"/>
      <c r="IYC41" s="822"/>
      <c r="IYD41" s="822"/>
      <c r="IYE41" s="822"/>
      <c r="IYF41" s="822"/>
      <c r="IYG41" s="822"/>
      <c r="IYH41" s="822"/>
      <c r="IYI41" s="822"/>
      <c r="IYJ41" s="822"/>
      <c r="IYK41" s="822"/>
      <c r="IYL41" s="822"/>
      <c r="IYM41" s="822"/>
      <c r="IYN41" s="822"/>
      <c r="IYO41" s="822"/>
      <c r="IYP41" s="822"/>
      <c r="IYQ41" s="822"/>
      <c r="IYR41" s="822"/>
      <c r="IYS41" s="822"/>
      <c r="IYT41" s="822"/>
      <c r="IYU41" s="822"/>
      <c r="IYV41" s="822"/>
      <c r="IYW41" s="822"/>
      <c r="IYX41" s="822"/>
      <c r="IYY41" s="822"/>
      <c r="IYZ41" s="822"/>
      <c r="IZA41" s="822"/>
      <c r="IZB41" s="822"/>
      <c r="IZC41" s="822"/>
      <c r="IZD41" s="822"/>
      <c r="IZE41" s="822"/>
      <c r="IZF41" s="822"/>
      <c r="IZG41" s="822"/>
      <c r="IZH41" s="822"/>
      <c r="IZI41" s="822"/>
      <c r="IZJ41" s="822"/>
      <c r="IZK41" s="822"/>
      <c r="IZL41" s="822"/>
      <c r="IZM41" s="822"/>
      <c r="IZN41" s="822"/>
      <c r="IZO41" s="822"/>
      <c r="IZP41" s="822"/>
      <c r="IZQ41" s="822"/>
      <c r="IZR41" s="822"/>
      <c r="IZS41" s="822"/>
      <c r="IZT41" s="822"/>
      <c r="IZU41" s="822"/>
      <c r="IZV41" s="822"/>
      <c r="IZW41" s="822"/>
      <c r="IZX41" s="822"/>
      <c r="IZY41" s="822"/>
      <c r="IZZ41" s="822"/>
      <c r="JAA41" s="822"/>
      <c r="JAB41" s="822"/>
      <c r="JAC41" s="822"/>
      <c r="JAD41" s="822"/>
      <c r="JAE41" s="822"/>
      <c r="JAF41" s="822"/>
      <c r="JAG41" s="822"/>
      <c r="JAH41" s="822"/>
      <c r="JAI41" s="822"/>
      <c r="JAJ41" s="822"/>
      <c r="JAK41" s="822"/>
      <c r="JAL41" s="822"/>
      <c r="JAM41" s="822"/>
      <c r="JAN41" s="822"/>
      <c r="JAO41" s="822"/>
      <c r="JAP41" s="822"/>
      <c r="JAQ41" s="822"/>
      <c r="JAR41" s="822"/>
      <c r="JAS41" s="822"/>
      <c r="JAT41" s="822"/>
      <c r="JAU41" s="822"/>
      <c r="JAV41" s="822"/>
      <c r="JAW41" s="822"/>
      <c r="JAX41" s="822"/>
      <c r="JAY41" s="822"/>
      <c r="JAZ41" s="822"/>
      <c r="JBA41" s="822"/>
      <c r="JBB41" s="822"/>
      <c r="JBC41" s="822"/>
      <c r="JBD41" s="822"/>
      <c r="JBE41" s="822"/>
      <c r="JBF41" s="822"/>
      <c r="JBG41" s="822"/>
      <c r="JBH41" s="822"/>
      <c r="JBI41" s="822"/>
      <c r="JBJ41" s="822"/>
      <c r="JBK41" s="822"/>
      <c r="JBL41" s="822"/>
      <c r="JBM41" s="822"/>
      <c r="JBN41" s="822"/>
      <c r="JBO41" s="822"/>
      <c r="JBP41" s="822"/>
      <c r="JBQ41" s="822"/>
      <c r="JBR41" s="822"/>
      <c r="JBS41" s="822"/>
      <c r="JBT41" s="822"/>
      <c r="JBU41" s="822"/>
      <c r="JBV41" s="822"/>
      <c r="JBW41" s="822"/>
      <c r="JBX41" s="822"/>
      <c r="JBY41" s="822"/>
      <c r="JBZ41" s="822"/>
      <c r="JCA41" s="822"/>
      <c r="JCB41" s="822"/>
      <c r="JCC41" s="822"/>
      <c r="JCD41" s="822"/>
      <c r="JCE41" s="822"/>
      <c r="JCF41" s="822"/>
      <c r="JCG41" s="822"/>
      <c r="JCH41" s="822"/>
      <c r="JCI41" s="822"/>
      <c r="JCJ41" s="822"/>
      <c r="JCK41" s="822"/>
      <c r="JCL41" s="822"/>
      <c r="JCM41" s="822"/>
      <c r="JCN41" s="822"/>
      <c r="JCO41" s="822"/>
      <c r="JCP41" s="822"/>
      <c r="JCQ41" s="822"/>
      <c r="JCR41" s="822"/>
      <c r="JCS41" s="822"/>
      <c r="JCT41" s="822"/>
      <c r="JCU41" s="822"/>
      <c r="JCV41" s="822"/>
      <c r="JCW41" s="822"/>
      <c r="JCX41" s="822"/>
      <c r="JCY41" s="822"/>
      <c r="JCZ41" s="822"/>
      <c r="JDA41" s="822"/>
      <c r="JDB41" s="822"/>
      <c r="JDC41" s="822"/>
      <c r="JDD41" s="822"/>
      <c r="JDE41" s="822"/>
      <c r="JDF41" s="822"/>
      <c r="JDG41" s="822"/>
      <c r="JDH41" s="822"/>
      <c r="JDI41" s="822"/>
      <c r="JDJ41" s="822"/>
      <c r="JDK41" s="822"/>
      <c r="JDL41" s="822"/>
      <c r="JDM41" s="822"/>
      <c r="JDN41" s="822"/>
      <c r="JDO41" s="822"/>
      <c r="JDP41" s="822"/>
      <c r="JDQ41" s="822"/>
      <c r="JDR41" s="822"/>
      <c r="JDS41" s="822"/>
      <c r="JDT41" s="822"/>
      <c r="JDU41" s="822"/>
      <c r="JDV41" s="822"/>
      <c r="JDW41" s="822"/>
      <c r="JDX41" s="822"/>
      <c r="JDY41" s="822"/>
      <c r="JDZ41" s="822"/>
      <c r="JEA41" s="822"/>
      <c r="JEB41" s="822"/>
      <c r="JEC41" s="822"/>
      <c r="JED41" s="822"/>
      <c r="JEE41" s="822"/>
      <c r="JEF41" s="822"/>
      <c r="JEG41" s="822"/>
      <c r="JEH41" s="822"/>
      <c r="JEI41" s="822"/>
      <c r="JEJ41" s="822"/>
      <c r="JEK41" s="822"/>
      <c r="JEL41" s="822"/>
      <c r="JEM41" s="822"/>
      <c r="JEN41" s="822"/>
      <c r="JEO41" s="822"/>
      <c r="JEP41" s="822"/>
      <c r="JEQ41" s="822"/>
      <c r="JER41" s="822"/>
      <c r="JES41" s="822"/>
      <c r="JET41" s="822"/>
      <c r="JEU41" s="822"/>
      <c r="JEV41" s="822"/>
      <c r="JEW41" s="822"/>
      <c r="JEX41" s="822"/>
      <c r="JEY41" s="822"/>
      <c r="JEZ41" s="822"/>
      <c r="JFA41" s="822"/>
      <c r="JFB41" s="822"/>
      <c r="JFC41" s="822"/>
      <c r="JFD41" s="822"/>
      <c r="JFE41" s="822"/>
      <c r="JFF41" s="822"/>
      <c r="JFG41" s="822"/>
      <c r="JFH41" s="822"/>
      <c r="JFI41" s="822"/>
      <c r="JFJ41" s="822"/>
      <c r="JFK41" s="822"/>
      <c r="JFL41" s="822"/>
      <c r="JFM41" s="822"/>
      <c r="JFN41" s="822"/>
      <c r="JFO41" s="822"/>
      <c r="JFP41" s="822"/>
      <c r="JFQ41" s="822"/>
      <c r="JFR41" s="822"/>
      <c r="JFS41" s="822"/>
      <c r="JFT41" s="822"/>
      <c r="JFU41" s="822"/>
      <c r="JFV41" s="822"/>
      <c r="JFW41" s="822"/>
      <c r="JFX41" s="822"/>
      <c r="JFY41" s="822"/>
      <c r="JFZ41" s="822"/>
      <c r="JGA41" s="822"/>
      <c r="JGB41" s="822"/>
      <c r="JGC41" s="822"/>
      <c r="JGD41" s="822"/>
      <c r="JGE41" s="822"/>
      <c r="JGF41" s="822"/>
      <c r="JGG41" s="822"/>
      <c r="JGH41" s="822"/>
      <c r="JGI41" s="822"/>
      <c r="JGJ41" s="822"/>
      <c r="JGK41" s="822"/>
      <c r="JGL41" s="822"/>
      <c r="JGM41" s="822"/>
      <c r="JGN41" s="822"/>
      <c r="JGO41" s="822"/>
      <c r="JGP41" s="822"/>
      <c r="JGQ41" s="822"/>
      <c r="JGR41" s="822"/>
      <c r="JGS41" s="822"/>
      <c r="JGT41" s="822"/>
      <c r="JGU41" s="822"/>
      <c r="JGV41" s="822"/>
      <c r="JGW41" s="822"/>
      <c r="JGX41" s="822"/>
      <c r="JGY41" s="822"/>
      <c r="JGZ41" s="822"/>
      <c r="JHA41" s="822"/>
      <c r="JHB41" s="822"/>
      <c r="JHC41" s="822"/>
      <c r="JHD41" s="822"/>
      <c r="JHE41" s="822"/>
      <c r="JHF41" s="822"/>
      <c r="JHG41" s="822"/>
      <c r="JHH41" s="822"/>
      <c r="JHI41" s="822"/>
      <c r="JHJ41" s="822"/>
      <c r="JHK41" s="822"/>
      <c r="JHL41" s="822"/>
      <c r="JHM41" s="822"/>
      <c r="JHN41" s="822"/>
      <c r="JHO41" s="822"/>
      <c r="JHP41" s="822"/>
      <c r="JHQ41" s="822"/>
      <c r="JHR41" s="822"/>
      <c r="JHS41" s="822"/>
      <c r="JHT41" s="822"/>
      <c r="JHU41" s="822"/>
      <c r="JHV41" s="822"/>
      <c r="JHW41" s="822"/>
      <c r="JHX41" s="822"/>
      <c r="JHY41" s="822"/>
      <c r="JHZ41" s="822"/>
      <c r="JIA41" s="822"/>
      <c r="JIB41" s="822"/>
      <c r="JIC41" s="822"/>
      <c r="JID41" s="822"/>
      <c r="JIE41" s="822"/>
      <c r="JIF41" s="822"/>
      <c r="JIG41" s="822"/>
      <c r="JIH41" s="822"/>
      <c r="JII41" s="822"/>
      <c r="JIJ41" s="822"/>
      <c r="JIK41" s="822"/>
      <c r="JIL41" s="822"/>
      <c r="JIM41" s="822"/>
      <c r="JIN41" s="822"/>
      <c r="JIO41" s="822"/>
      <c r="JIP41" s="822"/>
      <c r="JIQ41" s="822"/>
      <c r="JIR41" s="822"/>
      <c r="JIS41" s="822"/>
      <c r="JIT41" s="822"/>
      <c r="JIU41" s="822"/>
      <c r="JIV41" s="822"/>
      <c r="JIW41" s="822"/>
      <c r="JIX41" s="822"/>
      <c r="JIY41" s="822"/>
      <c r="JIZ41" s="822"/>
      <c r="JJA41" s="822"/>
      <c r="JJB41" s="822"/>
      <c r="JJC41" s="822"/>
      <c r="JJD41" s="822"/>
      <c r="JJE41" s="822"/>
      <c r="JJF41" s="822"/>
      <c r="JJG41" s="822"/>
      <c r="JJH41" s="822"/>
      <c r="JJI41" s="822"/>
      <c r="JJJ41" s="822"/>
      <c r="JJK41" s="822"/>
      <c r="JJL41" s="822"/>
      <c r="JJM41" s="822"/>
      <c r="JJN41" s="822"/>
      <c r="JJO41" s="822"/>
      <c r="JJP41" s="822"/>
      <c r="JJQ41" s="822"/>
      <c r="JJR41" s="822"/>
      <c r="JJS41" s="822"/>
      <c r="JJT41" s="822"/>
      <c r="JJU41" s="822"/>
      <c r="JJV41" s="822"/>
      <c r="JJW41" s="822"/>
      <c r="JJX41" s="822"/>
      <c r="JJY41" s="822"/>
      <c r="JJZ41" s="822"/>
      <c r="JKA41" s="822"/>
      <c r="JKB41" s="822"/>
      <c r="JKC41" s="822"/>
      <c r="JKD41" s="822"/>
      <c r="JKE41" s="822"/>
      <c r="JKF41" s="822"/>
      <c r="JKG41" s="822"/>
      <c r="JKH41" s="822"/>
      <c r="JKI41" s="822"/>
      <c r="JKJ41" s="822"/>
      <c r="JKK41" s="822"/>
      <c r="JKL41" s="822"/>
      <c r="JKM41" s="822"/>
      <c r="JKN41" s="822"/>
      <c r="JKO41" s="822"/>
      <c r="JKP41" s="822"/>
      <c r="JKQ41" s="822"/>
      <c r="JKR41" s="822"/>
      <c r="JKS41" s="822"/>
      <c r="JKT41" s="822"/>
      <c r="JKU41" s="822"/>
      <c r="JKV41" s="822"/>
      <c r="JKW41" s="822"/>
      <c r="JKX41" s="822"/>
      <c r="JKY41" s="822"/>
      <c r="JKZ41" s="822"/>
      <c r="JLA41" s="822"/>
      <c r="JLB41" s="822"/>
      <c r="JLC41" s="822"/>
      <c r="JLD41" s="822"/>
      <c r="JLE41" s="822"/>
      <c r="JLF41" s="822"/>
      <c r="JLG41" s="822"/>
      <c r="JLH41" s="822"/>
      <c r="JLI41" s="822"/>
      <c r="JLJ41" s="822"/>
      <c r="JLK41" s="822"/>
      <c r="JLL41" s="822"/>
      <c r="JLM41" s="822"/>
      <c r="JLN41" s="822"/>
      <c r="JLO41" s="822"/>
      <c r="JLP41" s="822"/>
      <c r="JLQ41" s="822"/>
      <c r="JLR41" s="822"/>
      <c r="JLS41" s="822"/>
      <c r="JLT41" s="822"/>
      <c r="JLU41" s="822"/>
      <c r="JLV41" s="822"/>
      <c r="JLW41" s="822"/>
      <c r="JLX41" s="822"/>
      <c r="JLY41" s="822"/>
      <c r="JLZ41" s="822"/>
      <c r="JMA41" s="822"/>
      <c r="JMB41" s="822"/>
      <c r="JMC41" s="822"/>
      <c r="JMD41" s="822"/>
      <c r="JME41" s="822"/>
      <c r="JMF41" s="822"/>
      <c r="JMG41" s="822"/>
      <c r="JMH41" s="822"/>
      <c r="JMI41" s="822"/>
      <c r="JMJ41" s="822"/>
      <c r="JMK41" s="822"/>
      <c r="JML41" s="822"/>
      <c r="JMM41" s="822"/>
      <c r="JMN41" s="822"/>
      <c r="JMO41" s="822"/>
      <c r="JMP41" s="822"/>
      <c r="JMQ41" s="822"/>
      <c r="JMR41" s="822"/>
      <c r="JMS41" s="822"/>
      <c r="JMT41" s="822"/>
      <c r="JMU41" s="822"/>
      <c r="JMV41" s="822"/>
      <c r="JMW41" s="822"/>
      <c r="JMX41" s="822"/>
      <c r="JMY41" s="822"/>
      <c r="JMZ41" s="822"/>
      <c r="JNA41" s="822"/>
      <c r="JNB41" s="822"/>
      <c r="JNC41" s="822"/>
      <c r="JND41" s="822"/>
      <c r="JNE41" s="822"/>
      <c r="JNF41" s="822"/>
      <c r="JNG41" s="822"/>
      <c r="JNH41" s="822"/>
      <c r="JNI41" s="822"/>
      <c r="JNJ41" s="822"/>
      <c r="JNK41" s="822"/>
      <c r="JNL41" s="822"/>
      <c r="JNM41" s="822"/>
      <c r="JNN41" s="822"/>
      <c r="JNO41" s="822"/>
      <c r="JNP41" s="822"/>
      <c r="JNQ41" s="822"/>
      <c r="JNR41" s="822"/>
      <c r="JNS41" s="822"/>
      <c r="JNT41" s="822"/>
      <c r="JNU41" s="822"/>
      <c r="JNV41" s="822"/>
      <c r="JNW41" s="822"/>
      <c r="JNX41" s="822"/>
      <c r="JNY41" s="822"/>
      <c r="JNZ41" s="822"/>
      <c r="JOA41" s="822"/>
      <c r="JOB41" s="822"/>
      <c r="JOC41" s="822"/>
      <c r="JOD41" s="822"/>
      <c r="JOE41" s="822"/>
      <c r="JOF41" s="822"/>
      <c r="JOG41" s="822"/>
      <c r="JOH41" s="822"/>
      <c r="JOI41" s="822"/>
      <c r="JOJ41" s="822"/>
      <c r="JOK41" s="822"/>
      <c r="JOL41" s="822"/>
      <c r="JOM41" s="822"/>
      <c r="JON41" s="822"/>
      <c r="JOO41" s="822"/>
      <c r="JOP41" s="822"/>
      <c r="JOQ41" s="822"/>
      <c r="JOR41" s="822"/>
      <c r="JOS41" s="822"/>
      <c r="JOT41" s="822"/>
      <c r="JOU41" s="822"/>
      <c r="JOV41" s="822"/>
      <c r="JOW41" s="822"/>
      <c r="JOX41" s="822"/>
      <c r="JOY41" s="822"/>
      <c r="JOZ41" s="822"/>
      <c r="JPA41" s="822"/>
      <c r="JPB41" s="822"/>
      <c r="JPC41" s="822"/>
      <c r="JPD41" s="822"/>
      <c r="JPE41" s="822"/>
      <c r="JPF41" s="822"/>
      <c r="JPG41" s="822"/>
      <c r="JPH41" s="822"/>
      <c r="JPI41" s="822"/>
      <c r="JPJ41" s="822"/>
      <c r="JPK41" s="822"/>
      <c r="JPL41" s="822"/>
      <c r="JPM41" s="822"/>
      <c r="JPN41" s="822"/>
      <c r="JPO41" s="822"/>
      <c r="JPP41" s="822"/>
      <c r="JPQ41" s="822"/>
      <c r="JPR41" s="822"/>
      <c r="JPS41" s="822"/>
      <c r="JPT41" s="822"/>
      <c r="JPU41" s="822"/>
      <c r="JPV41" s="822"/>
      <c r="JPW41" s="822"/>
      <c r="JPX41" s="822"/>
      <c r="JPY41" s="822"/>
      <c r="JPZ41" s="822"/>
      <c r="JQA41" s="822"/>
      <c r="JQB41" s="822"/>
      <c r="JQC41" s="822"/>
      <c r="JQD41" s="822"/>
      <c r="JQE41" s="822"/>
      <c r="JQF41" s="822"/>
      <c r="JQG41" s="822"/>
      <c r="JQH41" s="822"/>
      <c r="JQI41" s="822"/>
      <c r="JQJ41" s="822"/>
      <c r="JQK41" s="822"/>
      <c r="JQL41" s="822"/>
      <c r="JQM41" s="822"/>
      <c r="JQN41" s="822"/>
      <c r="JQO41" s="822"/>
      <c r="JQP41" s="822"/>
      <c r="JQQ41" s="822"/>
      <c r="JQR41" s="822"/>
      <c r="JQS41" s="822"/>
      <c r="JQT41" s="822"/>
      <c r="JQU41" s="822"/>
      <c r="JQV41" s="822"/>
      <c r="JQW41" s="822"/>
      <c r="JQX41" s="822"/>
      <c r="JQY41" s="822"/>
      <c r="JQZ41" s="822"/>
      <c r="JRA41" s="822"/>
      <c r="JRB41" s="822"/>
      <c r="JRC41" s="822"/>
      <c r="JRD41" s="822"/>
      <c r="JRE41" s="822"/>
      <c r="JRF41" s="822"/>
      <c r="JRG41" s="822"/>
      <c r="JRH41" s="822"/>
      <c r="JRI41" s="822"/>
      <c r="JRJ41" s="822"/>
      <c r="JRK41" s="822"/>
      <c r="JRL41" s="822"/>
      <c r="JRM41" s="822"/>
      <c r="JRN41" s="822"/>
      <c r="JRO41" s="822"/>
      <c r="JRP41" s="822"/>
      <c r="JRQ41" s="822"/>
      <c r="JRR41" s="822"/>
      <c r="JRS41" s="822"/>
      <c r="JRT41" s="822"/>
      <c r="JRU41" s="822"/>
      <c r="JRV41" s="822"/>
      <c r="JRW41" s="822"/>
      <c r="JRX41" s="822"/>
      <c r="JRY41" s="822"/>
      <c r="JRZ41" s="822"/>
      <c r="JSA41" s="822"/>
      <c r="JSB41" s="822"/>
      <c r="JSC41" s="822"/>
      <c r="JSD41" s="822"/>
      <c r="JSE41" s="822"/>
      <c r="JSF41" s="822"/>
      <c r="JSG41" s="822"/>
      <c r="JSH41" s="822"/>
      <c r="JSI41" s="822"/>
      <c r="JSJ41" s="822"/>
      <c r="JSK41" s="822"/>
      <c r="JSL41" s="822"/>
      <c r="JSM41" s="822"/>
      <c r="JSN41" s="822"/>
      <c r="JSO41" s="822"/>
      <c r="JSP41" s="822"/>
      <c r="JSQ41" s="822"/>
      <c r="JSR41" s="822"/>
      <c r="JSS41" s="822"/>
      <c r="JST41" s="822"/>
      <c r="JSU41" s="822"/>
      <c r="JSV41" s="822"/>
      <c r="JSW41" s="822"/>
      <c r="JSX41" s="822"/>
      <c r="JSY41" s="822"/>
      <c r="JSZ41" s="822"/>
      <c r="JTA41" s="822"/>
      <c r="JTB41" s="822"/>
      <c r="JTC41" s="822"/>
      <c r="JTD41" s="822"/>
      <c r="JTE41" s="822"/>
      <c r="JTF41" s="822"/>
      <c r="JTG41" s="822"/>
      <c r="JTH41" s="822"/>
      <c r="JTI41" s="822"/>
      <c r="JTJ41" s="822"/>
      <c r="JTK41" s="822"/>
      <c r="JTL41" s="822"/>
      <c r="JTM41" s="822"/>
      <c r="JTN41" s="822"/>
      <c r="JTO41" s="822"/>
      <c r="JTP41" s="822"/>
      <c r="JTQ41" s="822"/>
      <c r="JTR41" s="822"/>
      <c r="JTS41" s="822"/>
      <c r="JTT41" s="822"/>
      <c r="JTU41" s="822"/>
      <c r="JTV41" s="822"/>
      <c r="JTW41" s="822"/>
      <c r="JTX41" s="822"/>
      <c r="JTY41" s="822"/>
      <c r="JTZ41" s="822"/>
      <c r="JUA41" s="822"/>
      <c r="JUB41" s="822"/>
      <c r="JUC41" s="822"/>
      <c r="JUD41" s="822"/>
      <c r="JUE41" s="822"/>
      <c r="JUF41" s="822"/>
      <c r="JUG41" s="822"/>
      <c r="JUH41" s="822"/>
      <c r="JUI41" s="822"/>
      <c r="JUJ41" s="822"/>
      <c r="JUK41" s="822"/>
      <c r="JUL41" s="822"/>
      <c r="JUM41" s="822"/>
      <c r="JUN41" s="822"/>
      <c r="JUO41" s="822"/>
      <c r="JUP41" s="822"/>
      <c r="JUQ41" s="822"/>
      <c r="JUR41" s="822"/>
      <c r="JUS41" s="822"/>
      <c r="JUT41" s="822"/>
      <c r="JUU41" s="822"/>
      <c r="JUV41" s="822"/>
      <c r="JUW41" s="822"/>
      <c r="JUX41" s="822"/>
      <c r="JUY41" s="822"/>
      <c r="JUZ41" s="822"/>
      <c r="JVA41" s="822"/>
      <c r="JVB41" s="822"/>
      <c r="JVC41" s="822"/>
      <c r="JVD41" s="822"/>
      <c r="JVE41" s="822"/>
      <c r="JVF41" s="822"/>
      <c r="JVG41" s="822"/>
      <c r="JVH41" s="822"/>
      <c r="JVI41" s="822"/>
      <c r="JVJ41" s="822"/>
      <c r="JVK41" s="822"/>
      <c r="JVL41" s="822"/>
      <c r="JVM41" s="822"/>
      <c r="JVN41" s="822"/>
      <c r="JVO41" s="822"/>
      <c r="JVP41" s="822"/>
      <c r="JVQ41" s="822"/>
      <c r="JVR41" s="822"/>
      <c r="JVS41" s="822"/>
      <c r="JVT41" s="822"/>
      <c r="JVU41" s="822"/>
      <c r="JVV41" s="822"/>
      <c r="JVW41" s="822"/>
      <c r="JVX41" s="822"/>
      <c r="JVY41" s="822"/>
      <c r="JVZ41" s="822"/>
      <c r="JWA41" s="822"/>
      <c r="JWB41" s="822"/>
      <c r="JWC41" s="822"/>
      <c r="JWD41" s="822"/>
      <c r="JWE41" s="822"/>
      <c r="JWF41" s="822"/>
      <c r="JWG41" s="822"/>
      <c r="JWH41" s="822"/>
      <c r="JWI41" s="822"/>
      <c r="JWJ41" s="822"/>
      <c r="JWK41" s="822"/>
      <c r="JWL41" s="822"/>
      <c r="JWM41" s="822"/>
      <c r="JWN41" s="822"/>
      <c r="JWO41" s="822"/>
      <c r="JWP41" s="822"/>
      <c r="JWQ41" s="822"/>
      <c r="JWR41" s="822"/>
      <c r="JWS41" s="822"/>
      <c r="JWT41" s="822"/>
      <c r="JWU41" s="822"/>
      <c r="JWV41" s="822"/>
      <c r="JWW41" s="822"/>
      <c r="JWX41" s="822"/>
      <c r="JWY41" s="822"/>
      <c r="JWZ41" s="822"/>
      <c r="JXA41" s="822"/>
      <c r="JXB41" s="822"/>
      <c r="JXC41" s="822"/>
      <c r="JXD41" s="822"/>
      <c r="JXE41" s="822"/>
      <c r="JXF41" s="822"/>
      <c r="JXG41" s="822"/>
      <c r="JXH41" s="822"/>
      <c r="JXI41" s="822"/>
      <c r="JXJ41" s="822"/>
      <c r="JXK41" s="822"/>
      <c r="JXL41" s="822"/>
      <c r="JXM41" s="822"/>
      <c r="JXN41" s="822"/>
      <c r="JXO41" s="822"/>
      <c r="JXP41" s="822"/>
      <c r="JXQ41" s="822"/>
      <c r="JXR41" s="822"/>
      <c r="JXS41" s="822"/>
      <c r="JXT41" s="822"/>
      <c r="JXU41" s="822"/>
      <c r="JXV41" s="822"/>
      <c r="JXW41" s="822"/>
      <c r="JXX41" s="822"/>
      <c r="JXY41" s="822"/>
      <c r="JXZ41" s="822"/>
      <c r="JYA41" s="822"/>
      <c r="JYB41" s="822"/>
      <c r="JYC41" s="822"/>
      <c r="JYD41" s="822"/>
      <c r="JYE41" s="822"/>
      <c r="JYF41" s="822"/>
      <c r="JYG41" s="822"/>
      <c r="JYH41" s="822"/>
      <c r="JYI41" s="822"/>
      <c r="JYJ41" s="822"/>
      <c r="JYK41" s="822"/>
      <c r="JYL41" s="822"/>
      <c r="JYM41" s="822"/>
      <c r="JYN41" s="822"/>
      <c r="JYO41" s="822"/>
      <c r="JYP41" s="822"/>
      <c r="JYQ41" s="822"/>
      <c r="JYR41" s="822"/>
      <c r="JYS41" s="822"/>
      <c r="JYT41" s="822"/>
      <c r="JYU41" s="822"/>
      <c r="JYV41" s="822"/>
      <c r="JYW41" s="822"/>
      <c r="JYX41" s="822"/>
      <c r="JYY41" s="822"/>
      <c r="JYZ41" s="822"/>
      <c r="JZA41" s="822"/>
      <c r="JZB41" s="822"/>
      <c r="JZC41" s="822"/>
      <c r="JZD41" s="822"/>
      <c r="JZE41" s="822"/>
      <c r="JZF41" s="822"/>
      <c r="JZG41" s="822"/>
      <c r="JZH41" s="822"/>
      <c r="JZI41" s="822"/>
      <c r="JZJ41" s="822"/>
      <c r="JZK41" s="822"/>
      <c r="JZL41" s="822"/>
      <c r="JZM41" s="822"/>
      <c r="JZN41" s="822"/>
      <c r="JZO41" s="822"/>
      <c r="JZP41" s="822"/>
      <c r="JZQ41" s="822"/>
      <c r="JZR41" s="822"/>
      <c r="JZS41" s="822"/>
      <c r="JZT41" s="822"/>
      <c r="JZU41" s="822"/>
      <c r="JZV41" s="822"/>
      <c r="JZW41" s="822"/>
      <c r="JZX41" s="822"/>
      <c r="JZY41" s="822"/>
      <c r="JZZ41" s="822"/>
      <c r="KAA41" s="822"/>
      <c r="KAB41" s="822"/>
      <c r="KAC41" s="822"/>
      <c r="KAD41" s="822"/>
      <c r="KAE41" s="822"/>
      <c r="KAF41" s="822"/>
      <c r="KAG41" s="822"/>
      <c r="KAH41" s="822"/>
      <c r="KAI41" s="822"/>
      <c r="KAJ41" s="822"/>
      <c r="KAK41" s="822"/>
      <c r="KAL41" s="822"/>
      <c r="KAM41" s="822"/>
      <c r="KAN41" s="822"/>
      <c r="KAO41" s="822"/>
      <c r="KAP41" s="822"/>
      <c r="KAQ41" s="822"/>
      <c r="KAR41" s="822"/>
      <c r="KAS41" s="822"/>
      <c r="KAT41" s="822"/>
      <c r="KAU41" s="822"/>
      <c r="KAV41" s="822"/>
      <c r="KAW41" s="822"/>
      <c r="KAX41" s="822"/>
      <c r="KAY41" s="822"/>
      <c r="KAZ41" s="822"/>
      <c r="KBA41" s="822"/>
      <c r="KBB41" s="822"/>
      <c r="KBC41" s="822"/>
      <c r="KBD41" s="822"/>
      <c r="KBE41" s="822"/>
      <c r="KBF41" s="822"/>
      <c r="KBG41" s="822"/>
      <c r="KBH41" s="822"/>
      <c r="KBI41" s="822"/>
      <c r="KBJ41" s="822"/>
      <c r="KBK41" s="822"/>
      <c r="KBL41" s="822"/>
      <c r="KBM41" s="822"/>
      <c r="KBN41" s="822"/>
      <c r="KBO41" s="822"/>
      <c r="KBP41" s="822"/>
      <c r="KBQ41" s="822"/>
      <c r="KBR41" s="822"/>
      <c r="KBS41" s="822"/>
      <c r="KBT41" s="822"/>
      <c r="KBU41" s="822"/>
      <c r="KBV41" s="822"/>
      <c r="KBW41" s="822"/>
      <c r="KBX41" s="822"/>
      <c r="KBY41" s="822"/>
      <c r="KBZ41" s="822"/>
      <c r="KCA41" s="822"/>
      <c r="KCB41" s="822"/>
      <c r="KCC41" s="822"/>
      <c r="KCD41" s="822"/>
      <c r="KCE41" s="822"/>
      <c r="KCF41" s="822"/>
      <c r="KCG41" s="822"/>
      <c r="KCH41" s="822"/>
      <c r="KCI41" s="822"/>
      <c r="KCJ41" s="822"/>
      <c r="KCK41" s="822"/>
      <c r="KCL41" s="822"/>
      <c r="KCM41" s="822"/>
      <c r="KCN41" s="822"/>
      <c r="KCO41" s="822"/>
      <c r="KCP41" s="822"/>
      <c r="KCQ41" s="822"/>
      <c r="KCR41" s="822"/>
      <c r="KCS41" s="822"/>
      <c r="KCT41" s="822"/>
      <c r="KCU41" s="822"/>
      <c r="KCV41" s="822"/>
      <c r="KCW41" s="822"/>
      <c r="KCX41" s="822"/>
      <c r="KCY41" s="822"/>
      <c r="KCZ41" s="822"/>
      <c r="KDA41" s="822"/>
      <c r="KDB41" s="822"/>
      <c r="KDC41" s="822"/>
      <c r="KDD41" s="822"/>
      <c r="KDE41" s="822"/>
      <c r="KDF41" s="822"/>
      <c r="KDG41" s="822"/>
      <c r="KDH41" s="822"/>
      <c r="KDI41" s="822"/>
      <c r="KDJ41" s="822"/>
      <c r="KDK41" s="822"/>
      <c r="KDL41" s="822"/>
      <c r="KDM41" s="822"/>
      <c r="KDN41" s="822"/>
      <c r="KDO41" s="822"/>
      <c r="KDP41" s="822"/>
      <c r="KDQ41" s="822"/>
      <c r="KDR41" s="822"/>
      <c r="KDS41" s="822"/>
      <c r="KDT41" s="822"/>
      <c r="KDU41" s="822"/>
      <c r="KDV41" s="822"/>
      <c r="KDW41" s="822"/>
      <c r="KDX41" s="822"/>
      <c r="KDY41" s="822"/>
      <c r="KDZ41" s="822"/>
      <c r="KEA41" s="822"/>
      <c r="KEB41" s="822"/>
      <c r="KEC41" s="822"/>
      <c r="KED41" s="822"/>
      <c r="KEE41" s="822"/>
      <c r="KEF41" s="822"/>
      <c r="KEG41" s="822"/>
      <c r="KEH41" s="822"/>
      <c r="KEI41" s="822"/>
      <c r="KEJ41" s="822"/>
      <c r="KEK41" s="822"/>
      <c r="KEL41" s="822"/>
      <c r="KEM41" s="822"/>
      <c r="KEN41" s="822"/>
      <c r="KEO41" s="822"/>
      <c r="KEP41" s="822"/>
      <c r="KEQ41" s="822"/>
      <c r="KER41" s="822"/>
      <c r="KES41" s="822"/>
      <c r="KET41" s="822"/>
      <c r="KEU41" s="822"/>
      <c r="KEV41" s="822"/>
      <c r="KEW41" s="822"/>
      <c r="KEX41" s="822"/>
      <c r="KEY41" s="822"/>
      <c r="KEZ41" s="822"/>
      <c r="KFA41" s="822"/>
      <c r="KFB41" s="822"/>
      <c r="KFC41" s="822"/>
      <c r="KFD41" s="822"/>
      <c r="KFE41" s="822"/>
      <c r="KFF41" s="822"/>
      <c r="KFG41" s="822"/>
      <c r="KFH41" s="822"/>
      <c r="KFI41" s="822"/>
      <c r="KFJ41" s="822"/>
      <c r="KFK41" s="822"/>
      <c r="KFL41" s="822"/>
      <c r="KFM41" s="822"/>
      <c r="KFN41" s="822"/>
      <c r="KFO41" s="822"/>
      <c r="KFP41" s="822"/>
      <c r="KFQ41" s="822"/>
      <c r="KFR41" s="822"/>
      <c r="KFS41" s="822"/>
      <c r="KFT41" s="822"/>
      <c r="KFU41" s="822"/>
      <c r="KFV41" s="822"/>
      <c r="KFW41" s="822"/>
      <c r="KFX41" s="822"/>
      <c r="KFY41" s="822"/>
      <c r="KFZ41" s="822"/>
      <c r="KGA41" s="822"/>
      <c r="KGB41" s="822"/>
      <c r="KGC41" s="822"/>
      <c r="KGD41" s="822"/>
      <c r="KGE41" s="822"/>
      <c r="KGF41" s="822"/>
      <c r="KGG41" s="822"/>
      <c r="KGH41" s="822"/>
      <c r="KGI41" s="822"/>
      <c r="KGJ41" s="822"/>
      <c r="KGK41" s="822"/>
      <c r="KGL41" s="822"/>
      <c r="KGM41" s="822"/>
      <c r="KGN41" s="822"/>
      <c r="KGO41" s="822"/>
      <c r="KGP41" s="822"/>
      <c r="KGQ41" s="822"/>
      <c r="KGR41" s="822"/>
      <c r="KGS41" s="822"/>
      <c r="KGT41" s="822"/>
      <c r="KGU41" s="822"/>
      <c r="KGV41" s="822"/>
      <c r="KGW41" s="822"/>
      <c r="KGX41" s="822"/>
      <c r="KGY41" s="822"/>
      <c r="KGZ41" s="822"/>
      <c r="KHA41" s="822"/>
      <c r="KHB41" s="822"/>
      <c r="KHC41" s="822"/>
      <c r="KHD41" s="822"/>
      <c r="KHE41" s="822"/>
      <c r="KHF41" s="822"/>
      <c r="KHG41" s="822"/>
      <c r="KHH41" s="822"/>
      <c r="KHI41" s="822"/>
      <c r="KHJ41" s="822"/>
      <c r="KHK41" s="822"/>
      <c r="KHL41" s="822"/>
      <c r="KHM41" s="822"/>
      <c r="KHN41" s="822"/>
      <c r="KHO41" s="822"/>
      <c r="KHP41" s="822"/>
      <c r="KHQ41" s="822"/>
      <c r="KHR41" s="822"/>
      <c r="KHS41" s="822"/>
      <c r="KHT41" s="822"/>
      <c r="KHU41" s="822"/>
      <c r="KHV41" s="822"/>
      <c r="KHW41" s="822"/>
      <c r="KHX41" s="822"/>
      <c r="KHY41" s="822"/>
      <c r="KHZ41" s="822"/>
      <c r="KIA41" s="822"/>
      <c r="KIB41" s="822"/>
      <c r="KIC41" s="822"/>
      <c r="KID41" s="822"/>
      <c r="KIE41" s="822"/>
      <c r="KIF41" s="822"/>
      <c r="KIG41" s="822"/>
      <c r="KIH41" s="822"/>
      <c r="KII41" s="822"/>
      <c r="KIJ41" s="822"/>
      <c r="KIK41" s="822"/>
      <c r="KIL41" s="822"/>
      <c r="KIM41" s="822"/>
      <c r="KIN41" s="822"/>
      <c r="KIO41" s="822"/>
      <c r="KIP41" s="822"/>
      <c r="KIQ41" s="822"/>
      <c r="KIR41" s="822"/>
      <c r="KIS41" s="822"/>
      <c r="KIT41" s="822"/>
      <c r="KIU41" s="822"/>
      <c r="KIV41" s="822"/>
      <c r="KIW41" s="822"/>
      <c r="KIX41" s="822"/>
      <c r="KIY41" s="822"/>
      <c r="KIZ41" s="822"/>
      <c r="KJA41" s="822"/>
      <c r="KJB41" s="822"/>
      <c r="KJC41" s="822"/>
      <c r="KJD41" s="822"/>
      <c r="KJE41" s="822"/>
      <c r="KJF41" s="822"/>
      <c r="KJG41" s="822"/>
      <c r="KJH41" s="822"/>
      <c r="KJI41" s="822"/>
      <c r="KJJ41" s="822"/>
      <c r="KJK41" s="822"/>
      <c r="KJL41" s="822"/>
      <c r="KJM41" s="822"/>
      <c r="KJN41" s="822"/>
      <c r="KJO41" s="822"/>
      <c r="KJP41" s="822"/>
      <c r="KJQ41" s="822"/>
      <c r="KJR41" s="822"/>
      <c r="KJS41" s="822"/>
      <c r="KJT41" s="822"/>
      <c r="KJU41" s="822"/>
      <c r="KJV41" s="822"/>
      <c r="KJW41" s="822"/>
      <c r="KJX41" s="822"/>
      <c r="KJY41" s="822"/>
      <c r="KJZ41" s="822"/>
      <c r="KKA41" s="822"/>
      <c r="KKB41" s="822"/>
      <c r="KKC41" s="822"/>
      <c r="KKD41" s="822"/>
      <c r="KKE41" s="822"/>
      <c r="KKF41" s="822"/>
      <c r="KKG41" s="822"/>
      <c r="KKH41" s="822"/>
      <c r="KKI41" s="822"/>
      <c r="KKJ41" s="822"/>
      <c r="KKK41" s="822"/>
      <c r="KKL41" s="822"/>
      <c r="KKM41" s="822"/>
      <c r="KKN41" s="822"/>
      <c r="KKO41" s="822"/>
      <c r="KKP41" s="822"/>
      <c r="KKQ41" s="822"/>
      <c r="KKR41" s="822"/>
      <c r="KKS41" s="822"/>
      <c r="KKT41" s="822"/>
      <c r="KKU41" s="822"/>
      <c r="KKV41" s="822"/>
      <c r="KKW41" s="822"/>
      <c r="KKX41" s="822"/>
      <c r="KKY41" s="822"/>
      <c r="KKZ41" s="822"/>
      <c r="KLA41" s="822"/>
      <c r="KLB41" s="822"/>
      <c r="KLC41" s="822"/>
      <c r="KLD41" s="822"/>
      <c r="KLE41" s="822"/>
      <c r="KLF41" s="822"/>
      <c r="KLG41" s="822"/>
      <c r="KLH41" s="822"/>
      <c r="KLI41" s="822"/>
      <c r="KLJ41" s="822"/>
      <c r="KLK41" s="822"/>
      <c r="KLL41" s="822"/>
      <c r="KLM41" s="822"/>
      <c r="KLN41" s="822"/>
      <c r="KLO41" s="822"/>
      <c r="KLP41" s="822"/>
      <c r="KLQ41" s="822"/>
      <c r="KLR41" s="822"/>
      <c r="KLS41" s="822"/>
      <c r="KLT41" s="822"/>
      <c r="KLU41" s="822"/>
      <c r="KLV41" s="822"/>
      <c r="KLW41" s="822"/>
      <c r="KLX41" s="822"/>
      <c r="KLY41" s="822"/>
      <c r="KLZ41" s="822"/>
      <c r="KMA41" s="822"/>
      <c r="KMB41" s="822"/>
      <c r="KMC41" s="822"/>
      <c r="KMD41" s="822"/>
      <c r="KME41" s="822"/>
      <c r="KMF41" s="822"/>
      <c r="KMG41" s="822"/>
      <c r="KMH41" s="822"/>
      <c r="KMI41" s="822"/>
      <c r="KMJ41" s="822"/>
      <c r="KMK41" s="822"/>
      <c r="KML41" s="822"/>
      <c r="KMM41" s="822"/>
      <c r="KMN41" s="822"/>
      <c r="KMO41" s="822"/>
      <c r="KMP41" s="822"/>
      <c r="KMQ41" s="822"/>
      <c r="KMR41" s="822"/>
      <c r="KMS41" s="822"/>
      <c r="KMT41" s="822"/>
      <c r="KMU41" s="822"/>
      <c r="KMV41" s="822"/>
      <c r="KMW41" s="822"/>
      <c r="KMX41" s="822"/>
      <c r="KMY41" s="822"/>
      <c r="KMZ41" s="822"/>
      <c r="KNA41" s="822"/>
      <c r="KNB41" s="822"/>
      <c r="KNC41" s="822"/>
      <c r="KND41" s="822"/>
      <c r="KNE41" s="822"/>
      <c r="KNF41" s="822"/>
      <c r="KNG41" s="822"/>
      <c r="KNH41" s="822"/>
      <c r="KNI41" s="822"/>
      <c r="KNJ41" s="822"/>
      <c r="KNK41" s="822"/>
      <c r="KNL41" s="822"/>
      <c r="KNM41" s="822"/>
      <c r="KNN41" s="822"/>
      <c r="KNO41" s="822"/>
      <c r="KNP41" s="822"/>
      <c r="KNQ41" s="822"/>
      <c r="KNR41" s="822"/>
      <c r="KNS41" s="822"/>
      <c r="KNT41" s="822"/>
      <c r="KNU41" s="822"/>
      <c r="KNV41" s="822"/>
      <c r="KNW41" s="822"/>
      <c r="KNX41" s="822"/>
      <c r="KNY41" s="822"/>
      <c r="KNZ41" s="822"/>
      <c r="KOA41" s="822"/>
      <c r="KOB41" s="822"/>
      <c r="KOC41" s="822"/>
      <c r="KOD41" s="822"/>
      <c r="KOE41" s="822"/>
      <c r="KOF41" s="822"/>
      <c r="KOG41" s="822"/>
      <c r="KOH41" s="822"/>
      <c r="KOI41" s="822"/>
      <c r="KOJ41" s="822"/>
      <c r="KOK41" s="822"/>
      <c r="KOL41" s="822"/>
      <c r="KOM41" s="822"/>
      <c r="KON41" s="822"/>
      <c r="KOO41" s="822"/>
      <c r="KOP41" s="822"/>
      <c r="KOQ41" s="822"/>
      <c r="KOR41" s="822"/>
      <c r="KOS41" s="822"/>
      <c r="KOT41" s="822"/>
      <c r="KOU41" s="822"/>
      <c r="KOV41" s="822"/>
      <c r="KOW41" s="822"/>
      <c r="KOX41" s="822"/>
      <c r="KOY41" s="822"/>
      <c r="KOZ41" s="822"/>
      <c r="KPA41" s="822"/>
      <c r="KPB41" s="822"/>
      <c r="KPC41" s="822"/>
      <c r="KPD41" s="822"/>
      <c r="KPE41" s="822"/>
      <c r="KPF41" s="822"/>
      <c r="KPG41" s="822"/>
      <c r="KPH41" s="822"/>
      <c r="KPI41" s="822"/>
      <c r="KPJ41" s="822"/>
      <c r="KPK41" s="822"/>
      <c r="KPL41" s="822"/>
      <c r="KPM41" s="822"/>
      <c r="KPN41" s="822"/>
      <c r="KPO41" s="822"/>
      <c r="KPP41" s="822"/>
      <c r="KPQ41" s="822"/>
      <c r="KPR41" s="822"/>
      <c r="KPS41" s="822"/>
      <c r="KPT41" s="822"/>
      <c r="KPU41" s="822"/>
      <c r="KPV41" s="822"/>
      <c r="KPW41" s="822"/>
      <c r="KPX41" s="822"/>
      <c r="KPY41" s="822"/>
      <c r="KPZ41" s="822"/>
      <c r="KQA41" s="822"/>
      <c r="KQB41" s="822"/>
      <c r="KQC41" s="822"/>
      <c r="KQD41" s="822"/>
      <c r="KQE41" s="822"/>
      <c r="KQF41" s="822"/>
      <c r="KQG41" s="822"/>
      <c r="KQH41" s="822"/>
      <c r="KQI41" s="822"/>
      <c r="KQJ41" s="822"/>
      <c r="KQK41" s="822"/>
      <c r="KQL41" s="822"/>
      <c r="KQM41" s="822"/>
      <c r="KQN41" s="822"/>
      <c r="KQO41" s="822"/>
      <c r="KQP41" s="822"/>
      <c r="KQQ41" s="822"/>
      <c r="KQR41" s="822"/>
      <c r="KQS41" s="822"/>
      <c r="KQT41" s="822"/>
      <c r="KQU41" s="822"/>
      <c r="KQV41" s="822"/>
      <c r="KQW41" s="822"/>
      <c r="KQX41" s="822"/>
      <c r="KQY41" s="822"/>
      <c r="KQZ41" s="822"/>
      <c r="KRA41" s="822"/>
      <c r="KRB41" s="822"/>
      <c r="KRC41" s="822"/>
      <c r="KRD41" s="822"/>
      <c r="KRE41" s="822"/>
      <c r="KRF41" s="822"/>
      <c r="KRG41" s="822"/>
      <c r="KRH41" s="822"/>
      <c r="KRI41" s="822"/>
      <c r="KRJ41" s="822"/>
      <c r="KRK41" s="822"/>
      <c r="KRL41" s="822"/>
      <c r="KRM41" s="822"/>
      <c r="KRN41" s="822"/>
      <c r="KRO41" s="822"/>
      <c r="KRP41" s="822"/>
      <c r="KRQ41" s="822"/>
      <c r="KRR41" s="822"/>
      <c r="KRS41" s="822"/>
      <c r="KRT41" s="822"/>
      <c r="KRU41" s="822"/>
      <c r="KRV41" s="822"/>
      <c r="KRW41" s="822"/>
      <c r="KRX41" s="822"/>
      <c r="KRY41" s="822"/>
      <c r="KRZ41" s="822"/>
      <c r="KSA41" s="822"/>
      <c r="KSB41" s="822"/>
      <c r="KSC41" s="822"/>
      <c r="KSD41" s="822"/>
      <c r="KSE41" s="822"/>
      <c r="KSF41" s="822"/>
      <c r="KSG41" s="822"/>
      <c r="KSH41" s="822"/>
      <c r="KSI41" s="822"/>
      <c r="KSJ41" s="822"/>
      <c r="KSK41" s="822"/>
      <c r="KSL41" s="822"/>
      <c r="KSM41" s="822"/>
      <c r="KSN41" s="822"/>
      <c r="KSO41" s="822"/>
      <c r="KSP41" s="822"/>
      <c r="KSQ41" s="822"/>
      <c r="KSR41" s="822"/>
      <c r="KSS41" s="822"/>
      <c r="KST41" s="822"/>
      <c r="KSU41" s="822"/>
      <c r="KSV41" s="822"/>
      <c r="KSW41" s="822"/>
      <c r="KSX41" s="822"/>
      <c r="KSY41" s="822"/>
      <c r="KSZ41" s="822"/>
      <c r="KTA41" s="822"/>
      <c r="KTB41" s="822"/>
      <c r="KTC41" s="822"/>
      <c r="KTD41" s="822"/>
      <c r="KTE41" s="822"/>
      <c r="KTF41" s="822"/>
      <c r="KTG41" s="822"/>
      <c r="KTH41" s="822"/>
      <c r="KTI41" s="822"/>
      <c r="KTJ41" s="822"/>
      <c r="KTK41" s="822"/>
      <c r="KTL41" s="822"/>
      <c r="KTM41" s="822"/>
      <c r="KTN41" s="822"/>
      <c r="KTO41" s="822"/>
      <c r="KTP41" s="822"/>
      <c r="KTQ41" s="822"/>
      <c r="KTR41" s="822"/>
      <c r="KTS41" s="822"/>
      <c r="KTT41" s="822"/>
      <c r="KTU41" s="822"/>
      <c r="KTV41" s="822"/>
      <c r="KTW41" s="822"/>
      <c r="KTX41" s="822"/>
      <c r="KTY41" s="822"/>
      <c r="KTZ41" s="822"/>
      <c r="KUA41" s="822"/>
      <c r="KUB41" s="822"/>
      <c r="KUC41" s="822"/>
      <c r="KUD41" s="822"/>
      <c r="KUE41" s="822"/>
      <c r="KUF41" s="822"/>
      <c r="KUG41" s="822"/>
      <c r="KUH41" s="822"/>
      <c r="KUI41" s="822"/>
      <c r="KUJ41" s="822"/>
      <c r="KUK41" s="822"/>
      <c r="KUL41" s="822"/>
      <c r="KUM41" s="822"/>
      <c r="KUN41" s="822"/>
      <c r="KUO41" s="822"/>
      <c r="KUP41" s="822"/>
      <c r="KUQ41" s="822"/>
      <c r="KUR41" s="822"/>
      <c r="KUS41" s="822"/>
      <c r="KUT41" s="822"/>
      <c r="KUU41" s="822"/>
      <c r="KUV41" s="822"/>
      <c r="KUW41" s="822"/>
      <c r="KUX41" s="822"/>
      <c r="KUY41" s="822"/>
      <c r="KUZ41" s="822"/>
      <c r="KVA41" s="822"/>
      <c r="KVB41" s="822"/>
      <c r="KVC41" s="822"/>
      <c r="KVD41" s="822"/>
      <c r="KVE41" s="822"/>
      <c r="KVF41" s="822"/>
      <c r="KVG41" s="822"/>
      <c r="KVH41" s="822"/>
      <c r="KVI41" s="822"/>
      <c r="KVJ41" s="822"/>
      <c r="KVK41" s="822"/>
      <c r="KVL41" s="822"/>
      <c r="KVM41" s="822"/>
      <c r="KVN41" s="822"/>
      <c r="KVO41" s="822"/>
      <c r="KVP41" s="822"/>
      <c r="KVQ41" s="822"/>
      <c r="KVR41" s="822"/>
      <c r="KVS41" s="822"/>
      <c r="KVT41" s="822"/>
      <c r="KVU41" s="822"/>
      <c r="KVV41" s="822"/>
      <c r="KVW41" s="822"/>
      <c r="KVX41" s="822"/>
      <c r="KVY41" s="822"/>
      <c r="KVZ41" s="822"/>
      <c r="KWA41" s="822"/>
      <c r="KWB41" s="822"/>
      <c r="KWC41" s="822"/>
      <c r="KWD41" s="822"/>
      <c r="KWE41" s="822"/>
      <c r="KWF41" s="822"/>
      <c r="KWG41" s="822"/>
      <c r="KWH41" s="822"/>
      <c r="KWI41" s="822"/>
      <c r="KWJ41" s="822"/>
      <c r="KWK41" s="822"/>
      <c r="KWL41" s="822"/>
      <c r="KWM41" s="822"/>
      <c r="KWN41" s="822"/>
      <c r="KWO41" s="822"/>
      <c r="KWP41" s="822"/>
      <c r="KWQ41" s="822"/>
      <c r="KWR41" s="822"/>
      <c r="KWS41" s="822"/>
      <c r="KWT41" s="822"/>
      <c r="KWU41" s="822"/>
      <c r="KWV41" s="822"/>
      <c r="KWW41" s="822"/>
      <c r="KWX41" s="822"/>
      <c r="KWY41" s="822"/>
      <c r="KWZ41" s="822"/>
      <c r="KXA41" s="822"/>
      <c r="KXB41" s="822"/>
      <c r="KXC41" s="822"/>
      <c r="KXD41" s="822"/>
      <c r="KXE41" s="822"/>
      <c r="KXF41" s="822"/>
      <c r="KXG41" s="822"/>
      <c r="KXH41" s="822"/>
      <c r="KXI41" s="822"/>
      <c r="KXJ41" s="822"/>
      <c r="KXK41" s="822"/>
      <c r="KXL41" s="822"/>
      <c r="KXM41" s="822"/>
      <c r="KXN41" s="822"/>
      <c r="KXO41" s="822"/>
      <c r="KXP41" s="822"/>
      <c r="KXQ41" s="822"/>
      <c r="KXR41" s="822"/>
      <c r="KXS41" s="822"/>
      <c r="KXT41" s="822"/>
      <c r="KXU41" s="822"/>
      <c r="KXV41" s="822"/>
      <c r="KXW41" s="822"/>
      <c r="KXX41" s="822"/>
      <c r="KXY41" s="822"/>
      <c r="KXZ41" s="822"/>
      <c r="KYA41" s="822"/>
      <c r="KYB41" s="822"/>
      <c r="KYC41" s="822"/>
      <c r="KYD41" s="822"/>
      <c r="KYE41" s="822"/>
      <c r="KYF41" s="822"/>
      <c r="KYG41" s="822"/>
      <c r="KYH41" s="822"/>
      <c r="KYI41" s="822"/>
      <c r="KYJ41" s="822"/>
      <c r="KYK41" s="822"/>
      <c r="KYL41" s="822"/>
      <c r="KYM41" s="822"/>
      <c r="KYN41" s="822"/>
      <c r="KYO41" s="822"/>
      <c r="KYP41" s="822"/>
      <c r="KYQ41" s="822"/>
      <c r="KYR41" s="822"/>
      <c r="KYS41" s="822"/>
      <c r="KYT41" s="822"/>
      <c r="KYU41" s="822"/>
      <c r="KYV41" s="822"/>
      <c r="KYW41" s="822"/>
      <c r="KYX41" s="822"/>
      <c r="KYY41" s="822"/>
      <c r="KYZ41" s="822"/>
      <c r="KZA41" s="822"/>
      <c r="KZB41" s="822"/>
      <c r="KZC41" s="822"/>
      <c r="KZD41" s="822"/>
      <c r="KZE41" s="822"/>
      <c r="KZF41" s="822"/>
      <c r="KZG41" s="822"/>
      <c r="KZH41" s="822"/>
      <c r="KZI41" s="822"/>
      <c r="KZJ41" s="822"/>
      <c r="KZK41" s="822"/>
      <c r="KZL41" s="822"/>
      <c r="KZM41" s="822"/>
      <c r="KZN41" s="822"/>
      <c r="KZO41" s="822"/>
      <c r="KZP41" s="822"/>
      <c r="KZQ41" s="822"/>
      <c r="KZR41" s="822"/>
      <c r="KZS41" s="822"/>
      <c r="KZT41" s="822"/>
      <c r="KZU41" s="822"/>
      <c r="KZV41" s="822"/>
      <c r="KZW41" s="822"/>
      <c r="KZX41" s="822"/>
      <c r="KZY41" s="822"/>
      <c r="KZZ41" s="822"/>
      <c r="LAA41" s="822"/>
      <c r="LAB41" s="822"/>
      <c r="LAC41" s="822"/>
      <c r="LAD41" s="822"/>
      <c r="LAE41" s="822"/>
      <c r="LAF41" s="822"/>
      <c r="LAG41" s="822"/>
      <c r="LAH41" s="822"/>
      <c r="LAI41" s="822"/>
      <c r="LAJ41" s="822"/>
      <c r="LAK41" s="822"/>
      <c r="LAL41" s="822"/>
      <c r="LAM41" s="822"/>
      <c r="LAN41" s="822"/>
      <c r="LAO41" s="822"/>
      <c r="LAP41" s="822"/>
      <c r="LAQ41" s="822"/>
      <c r="LAR41" s="822"/>
      <c r="LAS41" s="822"/>
      <c r="LAT41" s="822"/>
      <c r="LAU41" s="822"/>
      <c r="LAV41" s="822"/>
      <c r="LAW41" s="822"/>
      <c r="LAX41" s="822"/>
      <c r="LAY41" s="822"/>
      <c r="LAZ41" s="822"/>
      <c r="LBA41" s="822"/>
      <c r="LBB41" s="822"/>
      <c r="LBC41" s="822"/>
      <c r="LBD41" s="822"/>
      <c r="LBE41" s="822"/>
      <c r="LBF41" s="822"/>
      <c r="LBG41" s="822"/>
      <c r="LBH41" s="822"/>
      <c r="LBI41" s="822"/>
      <c r="LBJ41" s="822"/>
      <c r="LBK41" s="822"/>
      <c r="LBL41" s="822"/>
      <c r="LBM41" s="822"/>
      <c r="LBN41" s="822"/>
      <c r="LBO41" s="822"/>
      <c r="LBP41" s="822"/>
      <c r="LBQ41" s="822"/>
      <c r="LBR41" s="822"/>
      <c r="LBS41" s="822"/>
      <c r="LBT41" s="822"/>
      <c r="LBU41" s="822"/>
      <c r="LBV41" s="822"/>
      <c r="LBW41" s="822"/>
      <c r="LBX41" s="822"/>
      <c r="LBY41" s="822"/>
      <c r="LBZ41" s="822"/>
      <c r="LCA41" s="822"/>
      <c r="LCB41" s="822"/>
      <c r="LCC41" s="822"/>
      <c r="LCD41" s="822"/>
      <c r="LCE41" s="822"/>
      <c r="LCF41" s="822"/>
      <c r="LCG41" s="822"/>
      <c r="LCH41" s="822"/>
      <c r="LCI41" s="822"/>
      <c r="LCJ41" s="822"/>
      <c r="LCK41" s="822"/>
      <c r="LCL41" s="822"/>
      <c r="LCM41" s="822"/>
      <c r="LCN41" s="822"/>
      <c r="LCO41" s="822"/>
      <c r="LCP41" s="822"/>
      <c r="LCQ41" s="822"/>
      <c r="LCR41" s="822"/>
      <c r="LCS41" s="822"/>
      <c r="LCT41" s="822"/>
      <c r="LCU41" s="822"/>
      <c r="LCV41" s="822"/>
      <c r="LCW41" s="822"/>
      <c r="LCX41" s="822"/>
      <c r="LCY41" s="822"/>
      <c r="LCZ41" s="822"/>
      <c r="LDA41" s="822"/>
      <c r="LDB41" s="822"/>
      <c r="LDC41" s="822"/>
      <c r="LDD41" s="822"/>
      <c r="LDE41" s="822"/>
      <c r="LDF41" s="822"/>
      <c r="LDG41" s="822"/>
      <c r="LDH41" s="822"/>
      <c r="LDI41" s="822"/>
      <c r="LDJ41" s="822"/>
      <c r="LDK41" s="822"/>
      <c r="LDL41" s="822"/>
      <c r="LDM41" s="822"/>
      <c r="LDN41" s="822"/>
      <c r="LDO41" s="822"/>
      <c r="LDP41" s="822"/>
      <c r="LDQ41" s="822"/>
      <c r="LDR41" s="822"/>
      <c r="LDS41" s="822"/>
      <c r="LDT41" s="822"/>
      <c r="LDU41" s="822"/>
      <c r="LDV41" s="822"/>
      <c r="LDW41" s="822"/>
      <c r="LDX41" s="822"/>
      <c r="LDY41" s="822"/>
      <c r="LDZ41" s="822"/>
      <c r="LEA41" s="822"/>
      <c r="LEB41" s="822"/>
      <c r="LEC41" s="822"/>
      <c r="LED41" s="822"/>
      <c r="LEE41" s="822"/>
      <c r="LEF41" s="822"/>
      <c r="LEG41" s="822"/>
      <c r="LEH41" s="822"/>
      <c r="LEI41" s="822"/>
      <c r="LEJ41" s="822"/>
      <c r="LEK41" s="822"/>
      <c r="LEL41" s="822"/>
      <c r="LEM41" s="822"/>
      <c r="LEN41" s="822"/>
      <c r="LEO41" s="822"/>
      <c r="LEP41" s="822"/>
      <c r="LEQ41" s="822"/>
      <c r="LER41" s="822"/>
      <c r="LES41" s="822"/>
      <c r="LET41" s="822"/>
      <c r="LEU41" s="822"/>
      <c r="LEV41" s="822"/>
      <c r="LEW41" s="822"/>
      <c r="LEX41" s="822"/>
      <c r="LEY41" s="822"/>
      <c r="LEZ41" s="822"/>
      <c r="LFA41" s="822"/>
      <c r="LFB41" s="822"/>
      <c r="LFC41" s="822"/>
      <c r="LFD41" s="822"/>
      <c r="LFE41" s="822"/>
      <c r="LFF41" s="822"/>
      <c r="LFG41" s="822"/>
      <c r="LFH41" s="822"/>
      <c r="LFI41" s="822"/>
      <c r="LFJ41" s="822"/>
      <c r="LFK41" s="822"/>
      <c r="LFL41" s="822"/>
      <c r="LFM41" s="822"/>
      <c r="LFN41" s="822"/>
      <c r="LFO41" s="822"/>
      <c r="LFP41" s="822"/>
      <c r="LFQ41" s="822"/>
      <c r="LFR41" s="822"/>
      <c r="LFS41" s="822"/>
      <c r="LFT41" s="822"/>
      <c r="LFU41" s="822"/>
      <c r="LFV41" s="822"/>
      <c r="LFW41" s="822"/>
      <c r="LFX41" s="822"/>
      <c r="LFY41" s="822"/>
      <c r="LFZ41" s="822"/>
      <c r="LGA41" s="822"/>
      <c r="LGB41" s="822"/>
      <c r="LGC41" s="822"/>
      <c r="LGD41" s="822"/>
      <c r="LGE41" s="822"/>
      <c r="LGF41" s="822"/>
      <c r="LGG41" s="822"/>
      <c r="LGH41" s="822"/>
      <c r="LGI41" s="822"/>
      <c r="LGJ41" s="822"/>
      <c r="LGK41" s="822"/>
      <c r="LGL41" s="822"/>
      <c r="LGM41" s="822"/>
      <c r="LGN41" s="822"/>
      <c r="LGO41" s="822"/>
      <c r="LGP41" s="822"/>
      <c r="LGQ41" s="822"/>
      <c r="LGR41" s="822"/>
      <c r="LGS41" s="822"/>
      <c r="LGT41" s="822"/>
      <c r="LGU41" s="822"/>
      <c r="LGV41" s="822"/>
      <c r="LGW41" s="822"/>
      <c r="LGX41" s="822"/>
      <c r="LGY41" s="822"/>
      <c r="LGZ41" s="822"/>
      <c r="LHA41" s="822"/>
      <c r="LHB41" s="822"/>
      <c r="LHC41" s="822"/>
      <c r="LHD41" s="822"/>
      <c r="LHE41" s="822"/>
      <c r="LHF41" s="822"/>
      <c r="LHG41" s="822"/>
      <c r="LHH41" s="822"/>
      <c r="LHI41" s="822"/>
      <c r="LHJ41" s="822"/>
      <c r="LHK41" s="822"/>
      <c r="LHL41" s="822"/>
      <c r="LHM41" s="822"/>
      <c r="LHN41" s="822"/>
      <c r="LHO41" s="822"/>
      <c r="LHP41" s="822"/>
      <c r="LHQ41" s="822"/>
      <c r="LHR41" s="822"/>
      <c r="LHS41" s="822"/>
      <c r="LHT41" s="822"/>
      <c r="LHU41" s="822"/>
      <c r="LHV41" s="822"/>
      <c r="LHW41" s="822"/>
      <c r="LHX41" s="822"/>
      <c r="LHY41" s="822"/>
      <c r="LHZ41" s="822"/>
      <c r="LIA41" s="822"/>
      <c r="LIB41" s="822"/>
      <c r="LIC41" s="822"/>
      <c r="LID41" s="822"/>
      <c r="LIE41" s="822"/>
      <c r="LIF41" s="822"/>
      <c r="LIG41" s="822"/>
      <c r="LIH41" s="822"/>
      <c r="LII41" s="822"/>
      <c r="LIJ41" s="822"/>
      <c r="LIK41" s="822"/>
      <c r="LIL41" s="822"/>
      <c r="LIM41" s="822"/>
      <c r="LIN41" s="822"/>
      <c r="LIO41" s="822"/>
      <c r="LIP41" s="822"/>
      <c r="LIQ41" s="822"/>
      <c r="LIR41" s="822"/>
      <c r="LIS41" s="822"/>
      <c r="LIT41" s="822"/>
      <c r="LIU41" s="822"/>
      <c r="LIV41" s="822"/>
      <c r="LIW41" s="822"/>
      <c r="LIX41" s="822"/>
      <c r="LIY41" s="822"/>
      <c r="LIZ41" s="822"/>
      <c r="LJA41" s="822"/>
      <c r="LJB41" s="822"/>
      <c r="LJC41" s="822"/>
      <c r="LJD41" s="822"/>
      <c r="LJE41" s="822"/>
      <c r="LJF41" s="822"/>
      <c r="LJG41" s="822"/>
      <c r="LJH41" s="822"/>
      <c r="LJI41" s="822"/>
      <c r="LJJ41" s="822"/>
      <c r="LJK41" s="822"/>
      <c r="LJL41" s="822"/>
      <c r="LJM41" s="822"/>
      <c r="LJN41" s="822"/>
      <c r="LJO41" s="822"/>
      <c r="LJP41" s="822"/>
      <c r="LJQ41" s="822"/>
      <c r="LJR41" s="822"/>
      <c r="LJS41" s="822"/>
      <c r="LJT41" s="822"/>
      <c r="LJU41" s="822"/>
      <c r="LJV41" s="822"/>
      <c r="LJW41" s="822"/>
      <c r="LJX41" s="822"/>
      <c r="LJY41" s="822"/>
      <c r="LJZ41" s="822"/>
      <c r="LKA41" s="822"/>
      <c r="LKB41" s="822"/>
      <c r="LKC41" s="822"/>
      <c r="LKD41" s="822"/>
      <c r="LKE41" s="822"/>
      <c r="LKF41" s="822"/>
      <c r="LKG41" s="822"/>
      <c r="LKH41" s="822"/>
      <c r="LKI41" s="822"/>
      <c r="LKJ41" s="822"/>
      <c r="LKK41" s="822"/>
      <c r="LKL41" s="822"/>
      <c r="LKM41" s="822"/>
      <c r="LKN41" s="822"/>
      <c r="LKO41" s="822"/>
      <c r="LKP41" s="822"/>
      <c r="LKQ41" s="822"/>
      <c r="LKR41" s="822"/>
      <c r="LKS41" s="822"/>
      <c r="LKT41" s="822"/>
      <c r="LKU41" s="822"/>
      <c r="LKV41" s="822"/>
      <c r="LKW41" s="822"/>
      <c r="LKX41" s="822"/>
      <c r="LKY41" s="822"/>
      <c r="LKZ41" s="822"/>
      <c r="LLA41" s="822"/>
      <c r="LLB41" s="822"/>
      <c r="LLC41" s="822"/>
      <c r="LLD41" s="822"/>
      <c r="LLE41" s="822"/>
      <c r="LLF41" s="822"/>
      <c r="LLG41" s="822"/>
      <c r="LLH41" s="822"/>
      <c r="LLI41" s="822"/>
      <c r="LLJ41" s="822"/>
      <c r="LLK41" s="822"/>
      <c r="LLL41" s="822"/>
      <c r="LLM41" s="822"/>
      <c r="LLN41" s="822"/>
      <c r="LLO41" s="822"/>
      <c r="LLP41" s="822"/>
      <c r="LLQ41" s="822"/>
      <c r="LLR41" s="822"/>
      <c r="LLS41" s="822"/>
      <c r="LLT41" s="822"/>
      <c r="LLU41" s="822"/>
      <c r="LLV41" s="822"/>
      <c r="LLW41" s="822"/>
      <c r="LLX41" s="822"/>
      <c r="LLY41" s="822"/>
      <c r="LLZ41" s="822"/>
      <c r="LMA41" s="822"/>
      <c r="LMB41" s="822"/>
      <c r="LMC41" s="822"/>
      <c r="LMD41" s="822"/>
      <c r="LME41" s="822"/>
      <c r="LMF41" s="822"/>
      <c r="LMG41" s="822"/>
      <c r="LMH41" s="822"/>
      <c r="LMI41" s="822"/>
      <c r="LMJ41" s="822"/>
      <c r="LMK41" s="822"/>
      <c r="LML41" s="822"/>
      <c r="LMM41" s="822"/>
      <c r="LMN41" s="822"/>
      <c r="LMO41" s="822"/>
      <c r="LMP41" s="822"/>
      <c r="LMQ41" s="822"/>
      <c r="LMR41" s="822"/>
      <c r="LMS41" s="822"/>
      <c r="LMT41" s="822"/>
      <c r="LMU41" s="822"/>
      <c r="LMV41" s="822"/>
      <c r="LMW41" s="822"/>
      <c r="LMX41" s="822"/>
      <c r="LMY41" s="822"/>
      <c r="LMZ41" s="822"/>
      <c r="LNA41" s="822"/>
      <c r="LNB41" s="822"/>
      <c r="LNC41" s="822"/>
      <c r="LND41" s="822"/>
      <c r="LNE41" s="822"/>
      <c r="LNF41" s="822"/>
      <c r="LNG41" s="822"/>
      <c r="LNH41" s="822"/>
      <c r="LNI41" s="822"/>
      <c r="LNJ41" s="822"/>
      <c r="LNK41" s="822"/>
      <c r="LNL41" s="822"/>
      <c r="LNM41" s="822"/>
      <c r="LNN41" s="822"/>
      <c r="LNO41" s="822"/>
      <c r="LNP41" s="822"/>
      <c r="LNQ41" s="822"/>
      <c r="LNR41" s="822"/>
      <c r="LNS41" s="822"/>
      <c r="LNT41" s="822"/>
      <c r="LNU41" s="822"/>
      <c r="LNV41" s="822"/>
      <c r="LNW41" s="822"/>
      <c r="LNX41" s="822"/>
      <c r="LNY41" s="822"/>
      <c r="LNZ41" s="822"/>
      <c r="LOA41" s="822"/>
      <c r="LOB41" s="822"/>
      <c r="LOC41" s="822"/>
      <c r="LOD41" s="822"/>
      <c r="LOE41" s="822"/>
      <c r="LOF41" s="822"/>
      <c r="LOG41" s="822"/>
      <c r="LOH41" s="822"/>
      <c r="LOI41" s="822"/>
      <c r="LOJ41" s="822"/>
      <c r="LOK41" s="822"/>
      <c r="LOL41" s="822"/>
      <c r="LOM41" s="822"/>
      <c r="LON41" s="822"/>
      <c r="LOO41" s="822"/>
      <c r="LOP41" s="822"/>
      <c r="LOQ41" s="822"/>
      <c r="LOR41" s="822"/>
      <c r="LOS41" s="822"/>
      <c r="LOT41" s="822"/>
      <c r="LOU41" s="822"/>
      <c r="LOV41" s="822"/>
      <c r="LOW41" s="822"/>
      <c r="LOX41" s="822"/>
      <c r="LOY41" s="822"/>
      <c r="LOZ41" s="822"/>
      <c r="LPA41" s="822"/>
      <c r="LPB41" s="822"/>
      <c r="LPC41" s="822"/>
      <c r="LPD41" s="822"/>
      <c r="LPE41" s="822"/>
      <c r="LPF41" s="822"/>
      <c r="LPG41" s="822"/>
      <c r="LPH41" s="822"/>
      <c r="LPI41" s="822"/>
      <c r="LPJ41" s="822"/>
      <c r="LPK41" s="822"/>
      <c r="LPL41" s="822"/>
      <c r="LPM41" s="822"/>
      <c r="LPN41" s="822"/>
      <c r="LPO41" s="822"/>
      <c r="LPP41" s="822"/>
      <c r="LPQ41" s="822"/>
      <c r="LPR41" s="822"/>
      <c r="LPS41" s="822"/>
      <c r="LPT41" s="822"/>
      <c r="LPU41" s="822"/>
      <c r="LPV41" s="822"/>
      <c r="LPW41" s="822"/>
      <c r="LPX41" s="822"/>
      <c r="LPY41" s="822"/>
      <c r="LPZ41" s="822"/>
      <c r="LQA41" s="822"/>
      <c r="LQB41" s="822"/>
      <c r="LQC41" s="822"/>
      <c r="LQD41" s="822"/>
      <c r="LQE41" s="822"/>
      <c r="LQF41" s="822"/>
      <c r="LQG41" s="822"/>
      <c r="LQH41" s="822"/>
      <c r="LQI41" s="822"/>
      <c r="LQJ41" s="822"/>
      <c r="LQK41" s="822"/>
      <c r="LQL41" s="822"/>
      <c r="LQM41" s="822"/>
      <c r="LQN41" s="822"/>
      <c r="LQO41" s="822"/>
      <c r="LQP41" s="822"/>
      <c r="LQQ41" s="822"/>
      <c r="LQR41" s="822"/>
      <c r="LQS41" s="822"/>
      <c r="LQT41" s="822"/>
      <c r="LQU41" s="822"/>
      <c r="LQV41" s="822"/>
      <c r="LQW41" s="822"/>
      <c r="LQX41" s="822"/>
      <c r="LQY41" s="822"/>
      <c r="LQZ41" s="822"/>
      <c r="LRA41" s="822"/>
      <c r="LRB41" s="822"/>
      <c r="LRC41" s="822"/>
      <c r="LRD41" s="822"/>
      <c r="LRE41" s="822"/>
      <c r="LRF41" s="822"/>
      <c r="LRG41" s="822"/>
      <c r="LRH41" s="822"/>
      <c r="LRI41" s="822"/>
      <c r="LRJ41" s="822"/>
      <c r="LRK41" s="822"/>
      <c r="LRL41" s="822"/>
      <c r="LRM41" s="822"/>
      <c r="LRN41" s="822"/>
      <c r="LRO41" s="822"/>
      <c r="LRP41" s="822"/>
      <c r="LRQ41" s="822"/>
      <c r="LRR41" s="822"/>
      <c r="LRS41" s="822"/>
      <c r="LRT41" s="822"/>
      <c r="LRU41" s="822"/>
      <c r="LRV41" s="822"/>
      <c r="LRW41" s="822"/>
      <c r="LRX41" s="822"/>
      <c r="LRY41" s="822"/>
      <c r="LRZ41" s="822"/>
      <c r="LSA41" s="822"/>
      <c r="LSB41" s="822"/>
      <c r="LSC41" s="822"/>
      <c r="LSD41" s="822"/>
      <c r="LSE41" s="822"/>
      <c r="LSF41" s="822"/>
      <c r="LSG41" s="822"/>
      <c r="LSH41" s="822"/>
      <c r="LSI41" s="822"/>
      <c r="LSJ41" s="822"/>
      <c r="LSK41" s="822"/>
      <c r="LSL41" s="822"/>
      <c r="LSM41" s="822"/>
      <c r="LSN41" s="822"/>
      <c r="LSO41" s="822"/>
      <c r="LSP41" s="822"/>
      <c r="LSQ41" s="822"/>
      <c r="LSR41" s="822"/>
      <c r="LSS41" s="822"/>
      <c r="LST41" s="822"/>
      <c r="LSU41" s="822"/>
      <c r="LSV41" s="822"/>
      <c r="LSW41" s="822"/>
      <c r="LSX41" s="822"/>
      <c r="LSY41" s="822"/>
      <c r="LSZ41" s="822"/>
      <c r="LTA41" s="822"/>
      <c r="LTB41" s="822"/>
      <c r="LTC41" s="822"/>
      <c r="LTD41" s="822"/>
      <c r="LTE41" s="822"/>
      <c r="LTF41" s="822"/>
      <c r="LTG41" s="822"/>
      <c r="LTH41" s="822"/>
      <c r="LTI41" s="822"/>
      <c r="LTJ41" s="822"/>
      <c r="LTK41" s="822"/>
      <c r="LTL41" s="822"/>
      <c r="LTM41" s="822"/>
      <c r="LTN41" s="822"/>
      <c r="LTO41" s="822"/>
      <c r="LTP41" s="822"/>
      <c r="LTQ41" s="822"/>
      <c r="LTR41" s="822"/>
      <c r="LTS41" s="822"/>
      <c r="LTT41" s="822"/>
      <c r="LTU41" s="822"/>
      <c r="LTV41" s="822"/>
      <c r="LTW41" s="822"/>
      <c r="LTX41" s="822"/>
      <c r="LTY41" s="822"/>
      <c r="LTZ41" s="822"/>
      <c r="LUA41" s="822"/>
      <c r="LUB41" s="822"/>
      <c r="LUC41" s="822"/>
      <c r="LUD41" s="822"/>
      <c r="LUE41" s="822"/>
      <c r="LUF41" s="822"/>
      <c r="LUG41" s="822"/>
      <c r="LUH41" s="822"/>
      <c r="LUI41" s="822"/>
      <c r="LUJ41" s="822"/>
      <c r="LUK41" s="822"/>
      <c r="LUL41" s="822"/>
      <c r="LUM41" s="822"/>
      <c r="LUN41" s="822"/>
      <c r="LUO41" s="822"/>
      <c r="LUP41" s="822"/>
      <c r="LUQ41" s="822"/>
      <c r="LUR41" s="822"/>
      <c r="LUS41" s="822"/>
      <c r="LUT41" s="822"/>
      <c r="LUU41" s="822"/>
      <c r="LUV41" s="822"/>
      <c r="LUW41" s="822"/>
      <c r="LUX41" s="822"/>
      <c r="LUY41" s="822"/>
      <c r="LUZ41" s="822"/>
      <c r="LVA41" s="822"/>
      <c r="LVB41" s="822"/>
      <c r="LVC41" s="822"/>
      <c r="LVD41" s="822"/>
      <c r="LVE41" s="822"/>
      <c r="LVF41" s="822"/>
      <c r="LVG41" s="822"/>
      <c r="LVH41" s="822"/>
      <c r="LVI41" s="822"/>
      <c r="LVJ41" s="822"/>
      <c r="LVK41" s="822"/>
      <c r="LVL41" s="822"/>
      <c r="LVM41" s="822"/>
      <c r="LVN41" s="822"/>
      <c r="LVO41" s="822"/>
      <c r="LVP41" s="822"/>
      <c r="LVQ41" s="822"/>
      <c r="LVR41" s="822"/>
      <c r="LVS41" s="822"/>
      <c r="LVT41" s="822"/>
      <c r="LVU41" s="822"/>
      <c r="LVV41" s="822"/>
      <c r="LVW41" s="822"/>
      <c r="LVX41" s="822"/>
      <c r="LVY41" s="822"/>
      <c r="LVZ41" s="822"/>
      <c r="LWA41" s="822"/>
      <c r="LWB41" s="822"/>
      <c r="LWC41" s="822"/>
      <c r="LWD41" s="822"/>
      <c r="LWE41" s="822"/>
      <c r="LWF41" s="822"/>
      <c r="LWG41" s="822"/>
      <c r="LWH41" s="822"/>
      <c r="LWI41" s="822"/>
      <c r="LWJ41" s="822"/>
      <c r="LWK41" s="822"/>
      <c r="LWL41" s="822"/>
      <c r="LWM41" s="822"/>
      <c r="LWN41" s="822"/>
      <c r="LWO41" s="822"/>
      <c r="LWP41" s="822"/>
      <c r="LWQ41" s="822"/>
      <c r="LWR41" s="822"/>
      <c r="LWS41" s="822"/>
      <c r="LWT41" s="822"/>
      <c r="LWU41" s="822"/>
      <c r="LWV41" s="822"/>
      <c r="LWW41" s="822"/>
      <c r="LWX41" s="822"/>
      <c r="LWY41" s="822"/>
      <c r="LWZ41" s="822"/>
      <c r="LXA41" s="822"/>
      <c r="LXB41" s="822"/>
      <c r="LXC41" s="822"/>
      <c r="LXD41" s="822"/>
      <c r="LXE41" s="822"/>
      <c r="LXF41" s="822"/>
      <c r="LXG41" s="822"/>
      <c r="LXH41" s="822"/>
      <c r="LXI41" s="822"/>
      <c r="LXJ41" s="822"/>
      <c r="LXK41" s="822"/>
      <c r="LXL41" s="822"/>
      <c r="LXM41" s="822"/>
      <c r="LXN41" s="822"/>
      <c r="LXO41" s="822"/>
      <c r="LXP41" s="822"/>
      <c r="LXQ41" s="822"/>
      <c r="LXR41" s="822"/>
      <c r="LXS41" s="822"/>
      <c r="LXT41" s="822"/>
      <c r="LXU41" s="822"/>
      <c r="LXV41" s="822"/>
      <c r="LXW41" s="822"/>
      <c r="LXX41" s="822"/>
      <c r="LXY41" s="822"/>
      <c r="LXZ41" s="822"/>
      <c r="LYA41" s="822"/>
      <c r="LYB41" s="822"/>
      <c r="LYC41" s="822"/>
      <c r="LYD41" s="822"/>
      <c r="LYE41" s="822"/>
      <c r="LYF41" s="822"/>
      <c r="LYG41" s="822"/>
      <c r="LYH41" s="822"/>
      <c r="LYI41" s="822"/>
      <c r="LYJ41" s="822"/>
      <c r="LYK41" s="822"/>
      <c r="LYL41" s="822"/>
      <c r="LYM41" s="822"/>
      <c r="LYN41" s="822"/>
      <c r="LYO41" s="822"/>
      <c r="LYP41" s="822"/>
      <c r="LYQ41" s="822"/>
      <c r="LYR41" s="822"/>
      <c r="LYS41" s="822"/>
      <c r="LYT41" s="822"/>
      <c r="LYU41" s="822"/>
      <c r="LYV41" s="822"/>
      <c r="LYW41" s="822"/>
      <c r="LYX41" s="822"/>
      <c r="LYY41" s="822"/>
      <c r="LYZ41" s="822"/>
      <c r="LZA41" s="822"/>
      <c r="LZB41" s="822"/>
      <c r="LZC41" s="822"/>
      <c r="LZD41" s="822"/>
      <c r="LZE41" s="822"/>
      <c r="LZF41" s="822"/>
      <c r="LZG41" s="822"/>
      <c r="LZH41" s="822"/>
      <c r="LZI41" s="822"/>
      <c r="LZJ41" s="822"/>
      <c r="LZK41" s="822"/>
      <c r="LZL41" s="822"/>
      <c r="LZM41" s="822"/>
      <c r="LZN41" s="822"/>
      <c r="LZO41" s="822"/>
      <c r="LZP41" s="822"/>
      <c r="LZQ41" s="822"/>
      <c r="LZR41" s="822"/>
      <c r="LZS41" s="822"/>
      <c r="LZT41" s="822"/>
      <c r="LZU41" s="822"/>
      <c r="LZV41" s="822"/>
      <c r="LZW41" s="822"/>
      <c r="LZX41" s="822"/>
      <c r="LZY41" s="822"/>
      <c r="LZZ41" s="822"/>
      <c r="MAA41" s="822"/>
      <c r="MAB41" s="822"/>
      <c r="MAC41" s="822"/>
      <c r="MAD41" s="822"/>
      <c r="MAE41" s="822"/>
      <c r="MAF41" s="822"/>
      <c r="MAG41" s="822"/>
      <c r="MAH41" s="822"/>
      <c r="MAI41" s="822"/>
      <c r="MAJ41" s="822"/>
      <c r="MAK41" s="822"/>
      <c r="MAL41" s="822"/>
      <c r="MAM41" s="822"/>
      <c r="MAN41" s="822"/>
      <c r="MAO41" s="822"/>
      <c r="MAP41" s="822"/>
      <c r="MAQ41" s="822"/>
      <c r="MAR41" s="822"/>
      <c r="MAS41" s="822"/>
      <c r="MAT41" s="822"/>
      <c r="MAU41" s="822"/>
      <c r="MAV41" s="822"/>
      <c r="MAW41" s="822"/>
      <c r="MAX41" s="822"/>
      <c r="MAY41" s="822"/>
      <c r="MAZ41" s="822"/>
      <c r="MBA41" s="822"/>
      <c r="MBB41" s="822"/>
      <c r="MBC41" s="822"/>
      <c r="MBD41" s="822"/>
      <c r="MBE41" s="822"/>
      <c r="MBF41" s="822"/>
      <c r="MBG41" s="822"/>
      <c r="MBH41" s="822"/>
      <c r="MBI41" s="822"/>
      <c r="MBJ41" s="822"/>
      <c r="MBK41" s="822"/>
      <c r="MBL41" s="822"/>
      <c r="MBM41" s="822"/>
      <c r="MBN41" s="822"/>
      <c r="MBO41" s="822"/>
      <c r="MBP41" s="822"/>
      <c r="MBQ41" s="822"/>
      <c r="MBR41" s="822"/>
      <c r="MBS41" s="822"/>
      <c r="MBT41" s="822"/>
      <c r="MBU41" s="822"/>
      <c r="MBV41" s="822"/>
      <c r="MBW41" s="822"/>
      <c r="MBX41" s="822"/>
      <c r="MBY41" s="822"/>
      <c r="MBZ41" s="822"/>
      <c r="MCA41" s="822"/>
      <c r="MCB41" s="822"/>
      <c r="MCC41" s="822"/>
      <c r="MCD41" s="822"/>
      <c r="MCE41" s="822"/>
      <c r="MCF41" s="822"/>
      <c r="MCG41" s="822"/>
      <c r="MCH41" s="822"/>
      <c r="MCI41" s="822"/>
      <c r="MCJ41" s="822"/>
      <c r="MCK41" s="822"/>
      <c r="MCL41" s="822"/>
      <c r="MCM41" s="822"/>
      <c r="MCN41" s="822"/>
      <c r="MCO41" s="822"/>
      <c r="MCP41" s="822"/>
      <c r="MCQ41" s="822"/>
      <c r="MCR41" s="822"/>
      <c r="MCS41" s="822"/>
      <c r="MCT41" s="822"/>
      <c r="MCU41" s="822"/>
      <c r="MCV41" s="822"/>
      <c r="MCW41" s="822"/>
      <c r="MCX41" s="822"/>
      <c r="MCY41" s="822"/>
      <c r="MCZ41" s="822"/>
      <c r="MDA41" s="822"/>
      <c r="MDB41" s="822"/>
      <c r="MDC41" s="822"/>
      <c r="MDD41" s="822"/>
      <c r="MDE41" s="822"/>
      <c r="MDF41" s="822"/>
      <c r="MDG41" s="822"/>
      <c r="MDH41" s="822"/>
      <c r="MDI41" s="822"/>
      <c r="MDJ41" s="822"/>
      <c r="MDK41" s="822"/>
      <c r="MDL41" s="822"/>
      <c r="MDM41" s="822"/>
      <c r="MDN41" s="822"/>
      <c r="MDO41" s="822"/>
      <c r="MDP41" s="822"/>
      <c r="MDQ41" s="822"/>
      <c r="MDR41" s="822"/>
      <c r="MDS41" s="822"/>
      <c r="MDT41" s="822"/>
      <c r="MDU41" s="822"/>
      <c r="MDV41" s="822"/>
      <c r="MDW41" s="822"/>
      <c r="MDX41" s="822"/>
      <c r="MDY41" s="822"/>
      <c r="MDZ41" s="822"/>
      <c r="MEA41" s="822"/>
      <c r="MEB41" s="822"/>
      <c r="MEC41" s="822"/>
      <c r="MED41" s="822"/>
      <c r="MEE41" s="822"/>
      <c r="MEF41" s="822"/>
      <c r="MEG41" s="822"/>
      <c r="MEH41" s="822"/>
      <c r="MEI41" s="822"/>
      <c r="MEJ41" s="822"/>
      <c r="MEK41" s="822"/>
      <c r="MEL41" s="822"/>
      <c r="MEM41" s="822"/>
      <c r="MEN41" s="822"/>
      <c r="MEO41" s="822"/>
      <c r="MEP41" s="822"/>
      <c r="MEQ41" s="822"/>
      <c r="MER41" s="822"/>
      <c r="MES41" s="822"/>
      <c r="MET41" s="822"/>
      <c r="MEU41" s="822"/>
      <c r="MEV41" s="822"/>
      <c r="MEW41" s="822"/>
      <c r="MEX41" s="822"/>
      <c r="MEY41" s="822"/>
      <c r="MEZ41" s="822"/>
      <c r="MFA41" s="822"/>
      <c r="MFB41" s="822"/>
      <c r="MFC41" s="822"/>
      <c r="MFD41" s="822"/>
      <c r="MFE41" s="822"/>
      <c r="MFF41" s="822"/>
      <c r="MFG41" s="822"/>
      <c r="MFH41" s="822"/>
      <c r="MFI41" s="822"/>
      <c r="MFJ41" s="822"/>
      <c r="MFK41" s="822"/>
      <c r="MFL41" s="822"/>
      <c r="MFM41" s="822"/>
      <c r="MFN41" s="822"/>
      <c r="MFO41" s="822"/>
      <c r="MFP41" s="822"/>
      <c r="MFQ41" s="822"/>
      <c r="MFR41" s="822"/>
      <c r="MFS41" s="822"/>
      <c r="MFT41" s="822"/>
      <c r="MFU41" s="822"/>
      <c r="MFV41" s="822"/>
      <c r="MFW41" s="822"/>
      <c r="MFX41" s="822"/>
      <c r="MFY41" s="822"/>
      <c r="MFZ41" s="822"/>
      <c r="MGA41" s="822"/>
      <c r="MGB41" s="822"/>
      <c r="MGC41" s="822"/>
      <c r="MGD41" s="822"/>
      <c r="MGE41" s="822"/>
      <c r="MGF41" s="822"/>
      <c r="MGG41" s="822"/>
      <c r="MGH41" s="822"/>
      <c r="MGI41" s="822"/>
      <c r="MGJ41" s="822"/>
      <c r="MGK41" s="822"/>
      <c r="MGL41" s="822"/>
      <c r="MGM41" s="822"/>
      <c r="MGN41" s="822"/>
      <c r="MGO41" s="822"/>
      <c r="MGP41" s="822"/>
      <c r="MGQ41" s="822"/>
      <c r="MGR41" s="822"/>
      <c r="MGS41" s="822"/>
      <c r="MGT41" s="822"/>
      <c r="MGU41" s="822"/>
      <c r="MGV41" s="822"/>
      <c r="MGW41" s="822"/>
      <c r="MGX41" s="822"/>
      <c r="MGY41" s="822"/>
      <c r="MGZ41" s="822"/>
      <c r="MHA41" s="822"/>
      <c r="MHB41" s="822"/>
      <c r="MHC41" s="822"/>
      <c r="MHD41" s="822"/>
      <c r="MHE41" s="822"/>
      <c r="MHF41" s="822"/>
      <c r="MHG41" s="822"/>
      <c r="MHH41" s="822"/>
      <c r="MHI41" s="822"/>
      <c r="MHJ41" s="822"/>
      <c r="MHK41" s="822"/>
      <c r="MHL41" s="822"/>
      <c r="MHM41" s="822"/>
      <c r="MHN41" s="822"/>
      <c r="MHO41" s="822"/>
      <c r="MHP41" s="822"/>
      <c r="MHQ41" s="822"/>
      <c r="MHR41" s="822"/>
      <c r="MHS41" s="822"/>
      <c r="MHT41" s="822"/>
      <c r="MHU41" s="822"/>
      <c r="MHV41" s="822"/>
      <c r="MHW41" s="822"/>
      <c r="MHX41" s="822"/>
      <c r="MHY41" s="822"/>
      <c r="MHZ41" s="822"/>
      <c r="MIA41" s="822"/>
      <c r="MIB41" s="822"/>
      <c r="MIC41" s="822"/>
      <c r="MID41" s="822"/>
      <c r="MIE41" s="822"/>
      <c r="MIF41" s="822"/>
      <c r="MIG41" s="822"/>
      <c r="MIH41" s="822"/>
      <c r="MII41" s="822"/>
      <c r="MIJ41" s="822"/>
      <c r="MIK41" s="822"/>
      <c r="MIL41" s="822"/>
      <c r="MIM41" s="822"/>
      <c r="MIN41" s="822"/>
      <c r="MIO41" s="822"/>
      <c r="MIP41" s="822"/>
      <c r="MIQ41" s="822"/>
      <c r="MIR41" s="822"/>
      <c r="MIS41" s="822"/>
      <c r="MIT41" s="822"/>
      <c r="MIU41" s="822"/>
      <c r="MIV41" s="822"/>
      <c r="MIW41" s="822"/>
      <c r="MIX41" s="822"/>
      <c r="MIY41" s="822"/>
      <c r="MIZ41" s="822"/>
      <c r="MJA41" s="822"/>
      <c r="MJB41" s="822"/>
      <c r="MJC41" s="822"/>
      <c r="MJD41" s="822"/>
      <c r="MJE41" s="822"/>
      <c r="MJF41" s="822"/>
      <c r="MJG41" s="822"/>
      <c r="MJH41" s="822"/>
      <c r="MJI41" s="822"/>
      <c r="MJJ41" s="822"/>
      <c r="MJK41" s="822"/>
      <c r="MJL41" s="822"/>
      <c r="MJM41" s="822"/>
      <c r="MJN41" s="822"/>
      <c r="MJO41" s="822"/>
      <c r="MJP41" s="822"/>
      <c r="MJQ41" s="822"/>
      <c r="MJR41" s="822"/>
      <c r="MJS41" s="822"/>
      <c r="MJT41" s="822"/>
      <c r="MJU41" s="822"/>
      <c r="MJV41" s="822"/>
      <c r="MJW41" s="822"/>
      <c r="MJX41" s="822"/>
      <c r="MJY41" s="822"/>
      <c r="MJZ41" s="822"/>
      <c r="MKA41" s="822"/>
      <c r="MKB41" s="822"/>
      <c r="MKC41" s="822"/>
      <c r="MKD41" s="822"/>
      <c r="MKE41" s="822"/>
      <c r="MKF41" s="822"/>
      <c r="MKG41" s="822"/>
      <c r="MKH41" s="822"/>
      <c r="MKI41" s="822"/>
      <c r="MKJ41" s="822"/>
      <c r="MKK41" s="822"/>
      <c r="MKL41" s="822"/>
      <c r="MKM41" s="822"/>
      <c r="MKN41" s="822"/>
      <c r="MKO41" s="822"/>
      <c r="MKP41" s="822"/>
      <c r="MKQ41" s="822"/>
      <c r="MKR41" s="822"/>
      <c r="MKS41" s="822"/>
      <c r="MKT41" s="822"/>
      <c r="MKU41" s="822"/>
      <c r="MKV41" s="822"/>
      <c r="MKW41" s="822"/>
      <c r="MKX41" s="822"/>
      <c r="MKY41" s="822"/>
      <c r="MKZ41" s="822"/>
      <c r="MLA41" s="822"/>
      <c r="MLB41" s="822"/>
      <c r="MLC41" s="822"/>
      <c r="MLD41" s="822"/>
      <c r="MLE41" s="822"/>
      <c r="MLF41" s="822"/>
      <c r="MLG41" s="822"/>
      <c r="MLH41" s="822"/>
      <c r="MLI41" s="822"/>
      <c r="MLJ41" s="822"/>
      <c r="MLK41" s="822"/>
      <c r="MLL41" s="822"/>
      <c r="MLM41" s="822"/>
      <c r="MLN41" s="822"/>
      <c r="MLO41" s="822"/>
      <c r="MLP41" s="822"/>
      <c r="MLQ41" s="822"/>
      <c r="MLR41" s="822"/>
      <c r="MLS41" s="822"/>
      <c r="MLT41" s="822"/>
      <c r="MLU41" s="822"/>
      <c r="MLV41" s="822"/>
      <c r="MLW41" s="822"/>
      <c r="MLX41" s="822"/>
      <c r="MLY41" s="822"/>
      <c r="MLZ41" s="822"/>
      <c r="MMA41" s="822"/>
      <c r="MMB41" s="822"/>
      <c r="MMC41" s="822"/>
      <c r="MMD41" s="822"/>
      <c r="MME41" s="822"/>
      <c r="MMF41" s="822"/>
      <c r="MMG41" s="822"/>
      <c r="MMH41" s="822"/>
      <c r="MMI41" s="822"/>
      <c r="MMJ41" s="822"/>
      <c r="MMK41" s="822"/>
      <c r="MML41" s="822"/>
      <c r="MMM41" s="822"/>
      <c r="MMN41" s="822"/>
      <c r="MMO41" s="822"/>
      <c r="MMP41" s="822"/>
      <c r="MMQ41" s="822"/>
      <c r="MMR41" s="822"/>
      <c r="MMS41" s="822"/>
      <c r="MMT41" s="822"/>
      <c r="MMU41" s="822"/>
      <c r="MMV41" s="822"/>
      <c r="MMW41" s="822"/>
      <c r="MMX41" s="822"/>
      <c r="MMY41" s="822"/>
      <c r="MMZ41" s="822"/>
      <c r="MNA41" s="822"/>
      <c r="MNB41" s="822"/>
      <c r="MNC41" s="822"/>
      <c r="MND41" s="822"/>
      <c r="MNE41" s="822"/>
      <c r="MNF41" s="822"/>
      <c r="MNG41" s="822"/>
      <c r="MNH41" s="822"/>
      <c r="MNI41" s="822"/>
      <c r="MNJ41" s="822"/>
      <c r="MNK41" s="822"/>
      <c r="MNL41" s="822"/>
      <c r="MNM41" s="822"/>
      <c r="MNN41" s="822"/>
      <c r="MNO41" s="822"/>
      <c r="MNP41" s="822"/>
      <c r="MNQ41" s="822"/>
      <c r="MNR41" s="822"/>
      <c r="MNS41" s="822"/>
      <c r="MNT41" s="822"/>
      <c r="MNU41" s="822"/>
      <c r="MNV41" s="822"/>
      <c r="MNW41" s="822"/>
      <c r="MNX41" s="822"/>
      <c r="MNY41" s="822"/>
      <c r="MNZ41" s="822"/>
      <c r="MOA41" s="822"/>
      <c r="MOB41" s="822"/>
      <c r="MOC41" s="822"/>
      <c r="MOD41" s="822"/>
      <c r="MOE41" s="822"/>
      <c r="MOF41" s="822"/>
      <c r="MOG41" s="822"/>
      <c r="MOH41" s="822"/>
      <c r="MOI41" s="822"/>
      <c r="MOJ41" s="822"/>
      <c r="MOK41" s="822"/>
      <c r="MOL41" s="822"/>
      <c r="MOM41" s="822"/>
      <c r="MON41" s="822"/>
      <c r="MOO41" s="822"/>
      <c r="MOP41" s="822"/>
      <c r="MOQ41" s="822"/>
      <c r="MOR41" s="822"/>
      <c r="MOS41" s="822"/>
      <c r="MOT41" s="822"/>
      <c r="MOU41" s="822"/>
      <c r="MOV41" s="822"/>
      <c r="MOW41" s="822"/>
      <c r="MOX41" s="822"/>
      <c r="MOY41" s="822"/>
      <c r="MOZ41" s="822"/>
      <c r="MPA41" s="822"/>
      <c r="MPB41" s="822"/>
      <c r="MPC41" s="822"/>
      <c r="MPD41" s="822"/>
      <c r="MPE41" s="822"/>
      <c r="MPF41" s="822"/>
      <c r="MPG41" s="822"/>
      <c r="MPH41" s="822"/>
      <c r="MPI41" s="822"/>
      <c r="MPJ41" s="822"/>
      <c r="MPK41" s="822"/>
      <c r="MPL41" s="822"/>
      <c r="MPM41" s="822"/>
      <c r="MPN41" s="822"/>
      <c r="MPO41" s="822"/>
      <c r="MPP41" s="822"/>
      <c r="MPQ41" s="822"/>
      <c r="MPR41" s="822"/>
      <c r="MPS41" s="822"/>
      <c r="MPT41" s="822"/>
      <c r="MPU41" s="822"/>
      <c r="MPV41" s="822"/>
      <c r="MPW41" s="822"/>
      <c r="MPX41" s="822"/>
      <c r="MPY41" s="822"/>
      <c r="MPZ41" s="822"/>
      <c r="MQA41" s="822"/>
      <c r="MQB41" s="822"/>
      <c r="MQC41" s="822"/>
      <c r="MQD41" s="822"/>
      <c r="MQE41" s="822"/>
      <c r="MQF41" s="822"/>
      <c r="MQG41" s="822"/>
      <c r="MQH41" s="822"/>
      <c r="MQI41" s="822"/>
      <c r="MQJ41" s="822"/>
      <c r="MQK41" s="822"/>
      <c r="MQL41" s="822"/>
      <c r="MQM41" s="822"/>
      <c r="MQN41" s="822"/>
      <c r="MQO41" s="822"/>
      <c r="MQP41" s="822"/>
      <c r="MQQ41" s="822"/>
      <c r="MQR41" s="822"/>
      <c r="MQS41" s="822"/>
      <c r="MQT41" s="822"/>
      <c r="MQU41" s="822"/>
      <c r="MQV41" s="822"/>
      <c r="MQW41" s="822"/>
      <c r="MQX41" s="822"/>
      <c r="MQY41" s="822"/>
      <c r="MQZ41" s="822"/>
      <c r="MRA41" s="822"/>
      <c r="MRB41" s="822"/>
      <c r="MRC41" s="822"/>
      <c r="MRD41" s="822"/>
      <c r="MRE41" s="822"/>
      <c r="MRF41" s="822"/>
      <c r="MRG41" s="822"/>
      <c r="MRH41" s="822"/>
      <c r="MRI41" s="822"/>
      <c r="MRJ41" s="822"/>
      <c r="MRK41" s="822"/>
      <c r="MRL41" s="822"/>
      <c r="MRM41" s="822"/>
      <c r="MRN41" s="822"/>
      <c r="MRO41" s="822"/>
      <c r="MRP41" s="822"/>
      <c r="MRQ41" s="822"/>
      <c r="MRR41" s="822"/>
      <c r="MRS41" s="822"/>
      <c r="MRT41" s="822"/>
      <c r="MRU41" s="822"/>
      <c r="MRV41" s="822"/>
      <c r="MRW41" s="822"/>
      <c r="MRX41" s="822"/>
      <c r="MRY41" s="822"/>
      <c r="MRZ41" s="822"/>
      <c r="MSA41" s="822"/>
      <c r="MSB41" s="822"/>
      <c r="MSC41" s="822"/>
      <c r="MSD41" s="822"/>
      <c r="MSE41" s="822"/>
      <c r="MSF41" s="822"/>
      <c r="MSG41" s="822"/>
      <c r="MSH41" s="822"/>
      <c r="MSI41" s="822"/>
      <c r="MSJ41" s="822"/>
      <c r="MSK41" s="822"/>
      <c r="MSL41" s="822"/>
      <c r="MSM41" s="822"/>
      <c r="MSN41" s="822"/>
      <c r="MSO41" s="822"/>
      <c r="MSP41" s="822"/>
      <c r="MSQ41" s="822"/>
      <c r="MSR41" s="822"/>
      <c r="MSS41" s="822"/>
      <c r="MST41" s="822"/>
      <c r="MSU41" s="822"/>
      <c r="MSV41" s="822"/>
      <c r="MSW41" s="822"/>
      <c r="MSX41" s="822"/>
      <c r="MSY41" s="822"/>
      <c r="MSZ41" s="822"/>
      <c r="MTA41" s="822"/>
      <c r="MTB41" s="822"/>
      <c r="MTC41" s="822"/>
      <c r="MTD41" s="822"/>
      <c r="MTE41" s="822"/>
      <c r="MTF41" s="822"/>
      <c r="MTG41" s="822"/>
      <c r="MTH41" s="822"/>
      <c r="MTI41" s="822"/>
      <c r="MTJ41" s="822"/>
      <c r="MTK41" s="822"/>
      <c r="MTL41" s="822"/>
      <c r="MTM41" s="822"/>
      <c r="MTN41" s="822"/>
      <c r="MTO41" s="822"/>
      <c r="MTP41" s="822"/>
      <c r="MTQ41" s="822"/>
      <c r="MTR41" s="822"/>
      <c r="MTS41" s="822"/>
      <c r="MTT41" s="822"/>
      <c r="MTU41" s="822"/>
      <c r="MTV41" s="822"/>
      <c r="MTW41" s="822"/>
      <c r="MTX41" s="822"/>
      <c r="MTY41" s="822"/>
      <c r="MTZ41" s="822"/>
      <c r="MUA41" s="822"/>
      <c r="MUB41" s="822"/>
      <c r="MUC41" s="822"/>
      <c r="MUD41" s="822"/>
      <c r="MUE41" s="822"/>
      <c r="MUF41" s="822"/>
      <c r="MUG41" s="822"/>
      <c r="MUH41" s="822"/>
      <c r="MUI41" s="822"/>
      <c r="MUJ41" s="822"/>
      <c r="MUK41" s="822"/>
      <c r="MUL41" s="822"/>
      <c r="MUM41" s="822"/>
      <c r="MUN41" s="822"/>
      <c r="MUO41" s="822"/>
      <c r="MUP41" s="822"/>
      <c r="MUQ41" s="822"/>
      <c r="MUR41" s="822"/>
      <c r="MUS41" s="822"/>
      <c r="MUT41" s="822"/>
      <c r="MUU41" s="822"/>
      <c r="MUV41" s="822"/>
      <c r="MUW41" s="822"/>
      <c r="MUX41" s="822"/>
      <c r="MUY41" s="822"/>
      <c r="MUZ41" s="822"/>
      <c r="MVA41" s="822"/>
      <c r="MVB41" s="822"/>
      <c r="MVC41" s="822"/>
      <c r="MVD41" s="822"/>
      <c r="MVE41" s="822"/>
      <c r="MVF41" s="822"/>
      <c r="MVG41" s="822"/>
      <c r="MVH41" s="822"/>
      <c r="MVI41" s="822"/>
      <c r="MVJ41" s="822"/>
      <c r="MVK41" s="822"/>
      <c r="MVL41" s="822"/>
      <c r="MVM41" s="822"/>
      <c r="MVN41" s="822"/>
      <c r="MVO41" s="822"/>
      <c r="MVP41" s="822"/>
      <c r="MVQ41" s="822"/>
      <c r="MVR41" s="822"/>
      <c r="MVS41" s="822"/>
      <c r="MVT41" s="822"/>
      <c r="MVU41" s="822"/>
      <c r="MVV41" s="822"/>
      <c r="MVW41" s="822"/>
      <c r="MVX41" s="822"/>
      <c r="MVY41" s="822"/>
      <c r="MVZ41" s="822"/>
      <c r="MWA41" s="822"/>
      <c r="MWB41" s="822"/>
      <c r="MWC41" s="822"/>
      <c r="MWD41" s="822"/>
      <c r="MWE41" s="822"/>
      <c r="MWF41" s="822"/>
      <c r="MWG41" s="822"/>
      <c r="MWH41" s="822"/>
      <c r="MWI41" s="822"/>
      <c r="MWJ41" s="822"/>
      <c r="MWK41" s="822"/>
      <c r="MWL41" s="822"/>
      <c r="MWM41" s="822"/>
      <c r="MWN41" s="822"/>
      <c r="MWO41" s="822"/>
      <c r="MWP41" s="822"/>
      <c r="MWQ41" s="822"/>
      <c r="MWR41" s="822"/>
      <c r="MWS41" s="822"/>
      <c r="MWT41" s="822"/>
      <c r="MWU41" s="822"/>
      <c r="MWV41" s="822"/>
      <c r="MWW41" s="822"/>
      <c r="MWX41" s="822"/>
      <c r="MWY41" s="822"/>
      <c r="MWZ41" s="822"/>
      <c r="MXA41" s="822"/>
      <c r="MXB41" s="822"/>
      <c r="MXC41" s="822"/>
      <c r="MXD41" s="822"/>
      <c r="MXE41" s="822"/>
      <c r="MXF41" s="822"/>
      <c r="MXG41" s="822"/>
      <c r="MXH41" s="822"/>
      <c r="MXI41" s="822"/>
      <c r="MXJ41" s="822"/>
      <c r="MXK41" s="822"/>
      <c r="MXL41" s="822"/>
      <c r="MXM41" s="822"/>
      <c r="MXN41" s="822"/>
      <c r="MXO41" s="822"/>
      <c r="MXP41" s="822"/>
      <c r="MXQ41" s="822"/>
      <c r="MXR41" s="822"/>
      <c r="MXS41" s="822"/>
      <c r="MXT41" s="822"/>
      <c r="MXU41" s="822"/>
      <c r="MXV41" s="822"/>
      <c r="MXW41" s="822"/>
      <c r="MXX41" s="822"/>
      <c r="MXY41" s="822"/>
      <c r="MXZ41" s="822"/>
      <c r="MYA41" s="822"/>
      <c r="MYB41" s="822"/>
      <c r="MYC41" s="822"/>
      <c r="MYD41" s="822"/>
      <c r="MYE41" s="822"/>
      <c r="MYF41" s="822"/>
      <c r="MYG41" s="822"/>
      <c r="MYH41" s="822"/>
      <c r="MYI41" s="822"/>
      <c r="MYJ41" s="822"/>
      <c r="MYK41" s="822"/>
      <c r="MYL41" s="822"/>
      <c r="MYM41" s="822"/>
      <c r="MYN41" s="822"/>
      <c r="MYO41" s="822"/>
      <c r="MYP41" s="822"/>
      <c r="MYQ41" s="822"/>
      <c r="MYR41" s="822"/>
      <c r="MYS41" s="822"/>
      <c r="MYT41" s="822"/>
      <c r="MYU41" s="822"/>
      <c r="MYV41" s="822"/>
      <c r="MYW41" s="822"/>
      <c r="MYX41" s="822"/>
      <c r="MYY41" s="822"/>
      <c r="MYZ41" s="822"/>
      <c r="MZA41" s="822"/>
      <c r="MZB41" s="822"/>
      <c r="MZC41" s="822"/>
      <c r="MZD41" s="822"/>
      <c r="MZE41" s="822"/>
      <c r="MZF41" s="822"/>
      <c r="MZG41" s="822"/>
      <c r="MZH41" s="822"/>
      <c r="MZI41" s="822"/>
      <c r="MZJ41" s="822"/>
      <c r="MZK41" s="822"/>
      <c r="MZL41" s="822"/>
      <c r="MZM41" s="822"/>
      <c r="MZN41" s="822"/>
      <c r="MZO41" s="822"/>
      <c r="MZP41" s="822"/>
      <c r="MZQ41" s="822"/>
      <c r="MZR41" s="822"/>
      <c r="MZS41" s="822"/>
      <c r="MZT41" s="822"/>
      <c r="MZU41" s="822"/>
      <c r="MZV41" s="822"/>
      <c r="MZW41" s="822"/>
      <c r="MZX41" s="822"/>
      <c r="MZY41" s="822"/>
      <c r="MZZ41" s="822"/>
      <c r="NAA41" s="822"/>
      <c r="NAB41" s="822"/>
      <c r="NAC41" s="822"/>
      <c r="NAD41" s="822"/>
      <c r="NAE41" s="822"/>
      <c r="NAF41" s="822"/>
      <c r="NAG41" s="822"/>
      <c r="NAH41" s="822"/>
      <c r="NAI41" s="822"/>
      <c r="NAJ41" s="822"/>
      <c r="NAK41" s="822"/>
      <c r="NAL41" s="822"/>
      <c r="NAM41" s="822"/>
      <c r="NAN41" s="822"/>
      <c r="NAO41" s="822"/>
      <c r="NAP41" s="822"/>
      <c r="NAQ41" s="822"/>
      <c r="NAR41" s="822"/>
      <c r="NAS41" s="822"/>
      <c r="NAT41" s="822"/>
      <c r="NAU41" s="822"/>
      <c r="NAV41" s="822"/>
      <c r="NAW41" s="822"/>
      <c r="NAX41" s="822"/>
      <c r="NAY41" s="822"/>
      <c r="NAZ41" s="822"/>
      <c r="NBA41" s="822"/>
      <c r="NBB41" s="822"/>
      <c r="NBC41" s="822"/>
      <c r="NBD41" s="822"/>
      <c r="NBE41" s="822"/>
      <c r="NBF41" s="822"/>
      <c r="NBG41" s="822"/>
      <c r="NBH41" s="822"/>
      <c r="NBI41" s="822"/>
      <c r="NBJ41" s="822"/>
      <c r="NBK41" s="822"/>
      <c r="NBL41" s="822"/>
      <c r="NBM41" s="822"/>
      <c r="NBN41" s="822"/>
      <c r="NBO41" s="822"/>
      <c r="NBP41" s="822"/>
      <c r="NBQ41" s="822"/>
      <c r="NBR41" s="822"/>
      <c r="NBS41" s="822"/>
      <c r="NBT41" s="822"/>
      <c r="NBU41" s="822"/>
      <c r="NBV41" s="822"/>
      <c r="NBW41" s="822"/>
      <c r="NBX41" s="822"/>
      <c r="NBY41" s="822"/>
      <c r="NBZ41" s="822"/>
      <c r="NCA41" s="822"/>
      <c r="NCB41" s="822"/>
      <c r="NCC41" s="822"/>
      <c r="NCD41" s="822"/>
      <c r="NCE41" s="822"/>
      <c r="NCF41" s="822"/>
      <c r="NCG41" s="822"/>
      <c r="NCH41" s="822"/>
      <c r="NCI41" s="822"/>
      <c r="NCJ41" s="822"/>
      <c r="NCK41" s="822"/>
      <c r="NCL41" s="822"/>
      <c r="NCM41" s="822"/>
      <c r="NCN41" s="822"/>
      <c r="NCO41" s="822"/>
      <c r="NCP41" s="822"/>
      <c r="NCQ41" s="822"/>
      <c r="NCR41" s="822"/>
      <c r="NCS41" s="822"/>
      <c r="NCT41" s="822"/>
      <c r="NCU41" s="822"/>
      <c r="NCV41" s="822"/>
      <c r="NCW41" s="822"/>
      <c r="NCX41" s="822"/>
      <c r="NCY41" s="822"/>
      <c r="NCZ41" s="822"/>
      <c r="NDA41" s="822"/>
      <c r="NDB41" s="822"/>
      <c r="NDC41" s="822"/>
      <c r="NDD41" s="822"/>
      <c r="NDE41" s="822"/>
      <c r="NDF41" s="822"/>
      <c r="NDG41" s="822"/>
      <c r="NDH41" s="822"/>
      <c r="NDI41" s="822"/>
      <c r="NDJ41" s="822"/>
      <c r="NDK41" s="822"/>
      <c r="NDL41" s="822"/>
      <c r="NDM41" s="822"/>
      <c r="NDN41" s="822"/>
      <c r="NDO41" s="822"/>
      <c r="NDP41" s="822"/>
      <c r="NDQ41" s="822"/>
      <c r="NDR41" s="822"/>
      <c r="NDS41" s="822"/>
      <c r="NDT41" s="822"/>
      <c r="NDU41" s="822"/>
      <c r="NDV41" s="822"/>
      <c r="NDW41" s="822"/>
      <c r="NDX41" s="822"/>
      <c r="NDY41" s="822"/>
      <c r="NDZ41" s="822"/>
      <c r="NEA41" s="822"/>
      <c r="NEB41" s="822"/>
      <c r="NEC41" s="822"/>
      <c r="NED41" s="822"/>
      <c r="NEE41" s="822"/>
      <c r="NEF41" s="822"/>
      <c r="NEG41" s="822"/>
      <c r="NEH41" s="822"/>
      <c r="NEI41" s="822"/>
      <c r="NEJ41" s="822"/>
      <c r="NEK41" s="822"/>
      <c r="NEL41" s="822"/>
      <c r="NEM41" s="822"/>
      <c r="NEN41" s="822"/>
      <c r="NEO41" s="822"/>
      <c r="NEP41" s="822"/>
      <c r="NEQ41" s="822"/>
      <c r="NER41" s="822"/>
      <c r="NES41" s="822"/>
      <c r="NET41" s="822"/>
      <c r="NEU41" s="822"/>
      <c r="NEV41" s="822"/>
      <c r="NEW41" s="822"/>
      <c r="NEX41" s="822"/>
      <c r="NEY41" s="822"/>
      <c r="NEZ41" s="822"/>
      <c r="NFA41" s="822"/>
      <c r="NFB41" s="822"/>
      <c r="NFC41" s="822"/>
      <c r="NFD41" s="822"/>
      <c r="NFE41" s="822"/>
      <c r="NFF41" s="822"/>
      <c r="NFG41" s="822"/>
      <c r="NFH41" s="822"/>
      <c r="NFI41" s="822"/>
      <c r="NFJ41" s="822"/>
      <c r="NFK41" s="822"/>
      <c r="NFL41" s="822"/>
      <c r="NFM41" s="822"/>
      <c r="NFN41" s="822"/>
      <c r="NFO41" s="822"/>
      <c r="NFP41" s="822"/>
      <c r="NFQ41" s="822"/>
      <c r="NFR41" s="822"/>
      <c r="NFS41" s="822"/>
      <c r="NFT41" s="822"/>
      <c r="NFU41" s="822"/>
      <c r="NFV41" s="822"/>
      <c r="NFW41" s="822"/>
      <c r="NFX41" s="822"/>
      <c r="NFY41" s="822"/>
      <c r="NFZ41" s="822"/>
      <c r="NGA41" s="822"/>
      <c r="NGB41" s="822"/>
      <c r="NGC41" s="822"/>
      <c r="NGD41" s="822"/>
      <c r="NGE41" s="822"/>
      <c r="NGF41" s="822"/>
      <c r="NGG41" s="822"/>
      <c r="NGH41" s="822"/>
      <c r="NGI41" s="822"/>
      <c r="NGJ41" s="822"/>
      <c r="NGK41" s="822"/>
      <c r="NGL41" s="822"/>
      <c r="NGM41" s="822"/>
      <c r="NGN41" s="822"/>
      <c r="NGO41" s="822"/>
      <c r="NGP41" s="822"/>
      <c r="NGQ41" s="822"/>
      <c r="NGR41" s="822"/>
      <c r="NGS41" s="822"/>
      <c r="NGT41" s="822"/>
      <c r="NGU41" s="822"/>
      <c r="NGV41" s="822"/>
      <c r="NGW41" s="822"/>
      <c r="NGX41" s="822"/>
      <c r="NGY41" s="822"/>
      <c r="NGZ41" s="822"/>
      <c r="NHA41" s="822"/>
      <c r="NHB41" s="822"/>
      <c r="NHC41" s="822"/>
      <c r="NHD41" s="822"/>
      <c r="NHE41" s="822"/>
      <c r="NHF41" s="822"/>
      <c r="NHG41" s="822"/>
      <c r="NHH41" s="822"/>
      <c r="NHI41" s="822"/>
      <c r="NHJ41" s="822"/>
      <c r="NHK41" s="822"/>
      <c r="NHL41" s="822"/>
      <c r="NHM41" s="822"/>
      <c r="NHN41" s="822"/>
      <c r="NHO41" s="822"/>
      <c r="NHP41" s="822"/>
      <c r="NHQ41" s="822"/>
      <c r="NHR41" s="822"/>
      <c r="NHS41" s="822"/>
      <c r="NHT41" s="822"/>
      <c r="NHU41" s="822"/>
      <c r="NHV41" s="822"/>
      <c r="NHW41" s="822"/>
      <c r="NHX41" s="822"/>
      <c r="NHY41" s="822"/>
      <c r="NHZ41" s="822"/>
      <c r="NIA41" s="822"/>
      <c r="NIB41" s="822"/>
      <c r="NIC41" s="822"/>
      <c r="NID41" s="822"/>
      <c r="NIE41" s="822"/>
      <c r="NIF41" s="822"/>
      <c r="NIG41" s="822"/>
      <c r="NIH41" s="822"/>
      <c r="NII41" s="822"/>
      <c r="NIJ41" s="822"/>
      <c r="NIK41" s="822"/>
      <c r="NIL41" s="822"/>
      <c r="NIM41" s="822"/>
      <c r="NIN41" s="822"/>
      <c r="NIO41" s="822"/>
      <c r="NIP41" s="822"/>
      <c r="NIQ41" s="822"/>
      <c r="NIR41" s="822"/>
      <c r="NIS41" s="822"/>
      <c r="NIT41" s="822"/>
      <c r="NIU41" s="822"/>
      <c r="NIV41" s="822"/>
      <c r="NIW41" s="822"/>
      <c r="NIX41" s="822"/>
      <c r="NIY41" s="822"/>
      <c r="NIZ41" s="822"/>
      <c r="NJA41" s="822"/>
      <c r="NJB41" s="822"/>
      <c r="NJC41" s="822"/>
      <c r="NJD41" s="822"/>
      <c r="NJE41" s="822"/>
      <c r="NJF41" s="822"/>
      <c r="NJG41" s="822"/>
      <c r="NJH41" s="822"/>
      <c r="NJI41" s="822"/>
      <c r="NJJ41" s="822"/>
      <c r="NJK41" s="822"/>
      <c r="NJL41" s="822"/>
      <c r="NJM41" s="822"/>
      <c r="NJN41" s="822"/>
      <c r="NJO41" s="822"/>
      <c r="NJP41" s="822"/>
      <c r="NJQ41" s="822"/>
      <c r="NJR41" s="822"/>
      <c r="NJS41" s="822"/>
      <c r="NJT41" s="822"/>
      <c r="NJU41" s="822"/>
      <c r="NJV41" s="822"/>
      <c r="NJW41" s="822"/>
      <c r="NJX41" s="822"/>
      <c r="NJY41" s="822"/>
      <c r="NJZ41" s="822"/>
      <c r="NKA41" s="822"/>
      <c r="NKB41" s="822"/>
      <c r="NKC41" s="822"/>
      <c r="NKD41" s="822"/>
      <c r="NKE41" s="822"/>
      <c r="NKF41" s="822"/>
      <c r="NKG41" s="822"/>
      <c r="NKH41" s="822"/>
      <c r="NKI41" s="822"/>
      <c r="NKJ41" s="822"/>
      <c r="NKK41" s="822"/>
      <c r="NKL41" s="822"/>
      <c r="NKM41" s="822"/>
      <c r="NKN41" s="822"/>
      <c r="NKO41" s="822"/>
      <c r="NKP41" s="822"/>
      <c r="NKQ41" s="822"/>
      <c r="NKR41" s="822"/>
      <c r="NKS41" s="822"/>
      <c r="NKT41" s="822"/>
      <c r="NKU41" s="822"/>
      <c r="NKV41" s="822"/>
      <c r="NKW41" s="822"/>
      <c r="NKX41" s="822"/>
      <c r="NKY41" s="822"/>
      <c r="NKZ41" s="822"/>
      <c r="NLA41" s="822"/>
      <c r="NLB41" s="822"/>
      <c r="NLC41" s="822"/>
      <c r="NLD41" s="822"/>
      <c r="NLE41" s="822"/>
      <c r="NLF41" s="822"/>
      <c r="NLG41" s="822"/>
      <c r="NLH41" s="822"/>
      <c r="NLI41" s="822"/>
      <c r="NLJ41" s="822"/>
      <c r="NLK41" s="822"/>
      <c r="NLL41" s="822"/>
      <c r="NLM41" s="822"/>
      <c r="NLN41" s="822"/>
      <c r="NLO41" s="822"/>
      <c r="NLP41" s="822"/>
      <c r="NLQ41" s="822"/>
      <c r="NLR41" s="822"/>
      <c r="NLS41" s="822"/>
      <c r="NLT41" s="822"/>
      <c r="NLU41" s="822"/>
      <c r="NLV41" s="822"/>
      <c r="NLW41" s="822"/>
      <c r="NLX41" s="822"/>
      <c r="NLY41" s="822"/>
      <c r="NLZ41" s="822"/>
      <c r="NMA41" s="822"/>
      <c r="NMB41" s="822"/>
      <c r="NMC41" s="822"/>
      <c r="NMD41" s="822"/>
      <c r="NME41" s="822"/>
      <c r="NMF41" s="822"/>
      <c r="NMG41" s="822"/>
      <c r="NMH41" s="822"/>
      <c r="NMI41" s="822"/>
      <c r="NMJ41" s="822"/>
      <c r="NMK41" s="822"/>
      <c r="NML41" s="822"/>
      <c r="NMM41" s="822"/>
      <c r="NMN41" s="822"/>
      <c r="NMO41" s="822"/>
      <c r="NMP41" s="822"/>
      <c r="NMQ41" s="822"/>
      <c r="NMR41" s="822"/>
      <c r="NMS41" s="822"/>
      <c r="NMT41" s="822"/>
      <c r="NMU41" s="822"/>
      <c r="NMV41" s="822"/>
      <c r="NMW41" s="822"/>
      <c r="NMX41" s="822"/>
      <c r="NMY41" s="822"/>
      <c r="NMZ41" s="822"/>
      <c r="NNA41" s="822"/>
      <c r="NNB41" s="822"/>
      <c r="NNC41" s="822"/>
      <c r="NND41" s="822"/>
      <c r="NNE41" s="822"/>
      <c r="NNF41" s="822"/>
      <c r="NNG41" s="822"/>
      <c r="NNH41" s="822"/>
      <c r="NNI41" s="822"/>
      <c r="NNJ41" s="822"/>
      <c r="NNK41" s="822"/>
      <c r="NNL41" s="822"/>
      <c r="NNM41" s="822"/>
      <c r="NNN41" s="822"/>
      <c r="NNO41" s="822"/>
      <c r="NNP41" s="822"/>
      <c r="NNQ41" s="822"/>
      <c r="NNR41" s="822"/>
      <c r="NNS41" s="822"/>
      <c r="NNT41" s="822"/>
      <c r="NNU41" s="822"/>
      <c r="NNV41" s="822"/>
      <c r="NNW41" s="822"/>
      <c r="NNX41" s="822"/>
      <c r="NNY41" s="822"/>
      <c r="NNZ41" s="822"/>
      <c r="NOA41" s="822"/>
      <c r="NOB41" s="822"/>
      <c r="NOC41" s="822"/>
      <c r="NOD41" s="822"/>
      <c r="NOE41" s="822"/>
      <c r="NOF41" s="822"/>
      <c r="NOG41" s="822"/>
      <c r="NOH41" s="822"/>
      <c r="NOI41" s="822"/>
      <c r="NOJ41" s="822"/>
      <c r="NOK41" s="822"/>
      <c r="NOL41" s="822"/>
      <c r="NOM41" s="822"/>
      <c r="NON41" s="822"/>
      <c r="NOO41" s="822"/>
      <c r="NOP41" s="822"/>
      <c r="NOQ41" s="822"/>
      <c r="NOR41" s="822"/>
      <c r="NOS41" s="822"/>
      <c r="NOT41" s="822"/>
      <c r="NOU41" s="822"/>
      <c r="NOV41" s="822"/>
      <c r="NOW41" s="822"/>
      <c r="NOX41" s="822"/>
      <c r="NOY41" s="822"/>
      <c r="NOZ41" s="822"/>
      <c r="NPA41" s="822"/>
      <c r="NPB41" s="822"/>
      <c r="NPC41" s="822"/>
      <c r="NPD41" s="822"/>
      <c r="NPE41" s="822"/>
      <c r="NPF41" s="822"/>
      <c r="NPG41" s="822"/>
      <c r="NPH41" s="822"/>
      <c r="NPI41" s="822"/>
      <c r="NPJ41" s="822"/>
      <c r="NPK41" s="822"/>
      <c r="NPL41" s="822"/>
      <c r="NPM41" s="822"/>
      <c r="NPN41" s="822"/>
      <c r="NPO41" s="822"/>
      <c r="NPP41" s="822"/>
      <c r="NPQ41" s="822"/>
      <c r="NPR41" s="822"/>
      <c r="NPS41" s="822"/>
      <c r="NPT41" s="822"/>
      <c r="NPU41" s="822"/>
      <c r="NPV41" s="822"/>
      <c r="NPW41" s="822"/>
      <c r="NPX41" s="822"/>
      <c r="NPY41" s="822"/>
      <c r="NPZ41" s="822"/>
      <c r="NQA41" s="822"/>
      <c r="NQB41" s="822"/>
      <c r="NQC41" s="822"/>
      <c r="NQD41" s="822"/>
      <c r="NQE41" s="822"/>
      <c r="NQF41" s="822"/>
      <c r="NQG41" s="822"/>
      <c r="NQH41" s="822"/>
      <c r="NQI41" s="822"/>
      <c r="NQJ41" s="822"/>
      <c r="NQK41" s="822"/>
      <c r="NQL41" s="822"/>
      <c r="NQM41" s="822"/>
      <c r="NQN41" s="822"/>
      <c r="NQO41" s="822"/>
      <c r="NQP41" s="822"/>
      <c r="NQQ41" s="822"/>
      <c r="NQR41" s="822"/>
      <c r="NQS41" s="822"/>
      <c r="NQT41" s="822"/>
      <c r="NQU41" s="822"/>
      <c r="NQV41" s="822"/>
      <c r="NQW41" s="822"/>
      <c r="NQX41" s="822"/>
      <c r="NQY41" s="822"/>
      <c r="NQZ41" s="822"/>
      <c r="NRA41" s="822"/>
      <c r="NRB41" s="822"/>
      <c r="NRC41" s="822"/>
      <c r="NRD41" s="822"/>
      <c r="NRE41" s="822"/>
      <c r="NRF41" s="822"/>
      <c r="NRG41" s="822"/>
      <c r="NRH41" s="822"/>
      <c r="NRI41" s="822"/>
      <c r="NRJ41" s="822"/>
      <c r="NRK41" s="822"/>
      <c r="NRL41" s="822"/>
      <c r="NRM41" s="822"/>
      <c r="NRN41" s="822"/>
      <c r="NRO41" s="822"/>
      <c r="NRP41" s="822"/>
      <c r="NRQ41" s="822"/>
      <c r="NRR41" s="822"/>
      <c r="NRS41" s="822"/>
      <c r="NRT41" s="822"/>
      <c r="NRU41" s="822"/>
      <c r="NRV41" s="822"/>
      <c r="NRW41" s="822"/>
      <c r="NRX41" s="822"/>
      <c r="NRY41" s="822"/>
      <c r="NRZ41" s="822"/>
      <c r="NSA41" s="822"/>
      <c r="NSB41" s="822"/>
      <c r="NSC41" s="822"/>
      <c r="NSD41" s="822"/>
      <c r="NSE41" s="822"/>
      <c r="NSF41" s="822"/>
      <c r="NSG41" s="822"/>
      <c r="NSH41" s="822"/>
      <c r="NSI41" s="822"/>
      <c r="NSJ41" s="822"/>
      <c r="NSK41" s="822"/>
      <c r="NSL41" s="822"/>
      <c r="NSM41" s="822"/>
      <c r="NSN41" s="822"/>
      <c r="NSO41" s="822"/>
      <c r="NSP41" s="822"/>
      <c r="NSQ41" s="822"/>
      <c r="NSR41" s="822"/>
      <c r="NSS41" s="822"/>
      <c r="NST41" s="822"/>
      <c r="NSU41" s="822"/>
      <c r="NSV41" s="822"/>
      <c r="NSW41" s="822"/>
      <c r="NSX41" s="822"/>
      <c r="NSY41" s="822"/>
      <c r="NSZ41" s="822"/>
      <c r="NTA41" s="822"/>
      <c r="NTB41" s="822"/>
      <c r="NTC41" s="822"/>
      <c r="NTD41" s="822"/>
      <c r="NTE41" s="822"/>
      <c r="NTF41" s="822"/>
      <c r="NTG41" s="822"/>
      <c r="NTH41" s="822"/>
      <c r="NTI41" s="822"/>
      <c r="NTJ41" s="822"/>
      <c r="NTK41" s="822"/>
      <c r="NTL41" s="822"/>
      <c r="NTM41" s="822"/>
      <c r="NTN41" s="822"/>
      <c r="NTO41" s="822"/>
      <c r="NTP41" s="822"/>
      <c r="NTQ41" s="822"/>
      <c r="NTR41" s="822"/>
      <c r="NTS41" s="822"/>
      <c r="NTT41" s="822"/>
      <c r="NTU41" s="822"/>
      <c r="NTV41" s="822"/>
      <c r="NTW41" s="822"/>
      <c r="NTX41" s="822"/>
      <c r="NTY41" s="822"/>
      <c r="NTZ41" s="822"/>
      <c r="NUA41" s="822"/>
      <c r="NUB41" s="822"/>
      <c r="NUC41" s="822"/>
      <c r="NUD41" s="822"/>
      <c r="NUE41" s="822"/>
      <c r="NUF41" s="822"/>
      <c r="NUG41" s="822"/>
      <c r="NUH41" s="822"/>
      <c r="NUI41" s="822"/>
      <c r="NUJ41" s="822"/>
      <c r="NUK41" s="822"/>
      <c r="NUL41" s="822"/>
      <c r="NUM41" s="822"/>
      <c r="NUN41" s="822"/>
      <c r="NUO41" s="822"/>
      <c r="NUP41" s="822"/>
      <c r="NUQ41" s="822"/>
      <c r="NUR41" s="822"/>
      <c r="NUS41" s="822"/>
      <c r="NUT41" s="822"/>
      <c r="NUU41" s="822"/>
      <c r="NUV41" s="822"/>
      <c r="NUW41" s="822"/>
      <c r="NUX41" s="822"/>
      <c r="NUY41" s="822"/>
      <c r="NUZ41" s="822"/>
      <c r="NVA41" s="822"/>
      <c r="NVB41" s="822"/>
      <c r="NVC41" s="822"/>
      <c r="NVD41" s="822"/>
      <c r="NVE41" s="822"/>
      <c r="NVF41" s="822"/>
      <c r="NVG41" s="822"/>
      <c r="NVH41" s="822"/>
      <c r="NVI41" s="822"/>
      <c r="NVJ41" s="822"/>
      <c r="NVK41" s="822"/>
      <c r="NVL41" s="822"/>
      <c r="NVM41" s="822"/>
      <c r="NVN41" s="822"/>
      <c r="NVO41" s="822"/>
      <c r="NVP41" s="822"/>
      <c r="NVQ41" s="822"/>
      <c r="NVR41" s="822"/>
      <c r="NVS41" s="822"/>
      <c r="NVT41" s="822"/>
      <c r="NVU41" s="822"/>
      <c r="NVV41" s="822"/>
      <c r="NVW41" s="822"/>
      <c r="NVX41" s="822"/>
      <c r="NVY41" s="822"/>
      <c r="NVZ41" s="822"/>
      <c r="NWA41" s="822"/>
      <c r="NWB41" s="822"/>
      <c r="NWC41" s="822"/>
      <c r="NWD41" s="822"/>
      <c r="NWE41" s="822"/>
      <c r="NWF41" s="822"/>
      <c r="NWG41" s="822"/>
      <c r="NWH41" s="822"/>
      <c r="NWI41" s="822"/>
      <c r="NWJ41" s="822"/>
      <c r="NWK41" s="822"/>
      <c r="NWL41" s="822"/>
      <c r="NWM41" s="822"/>
      <c r="NWN41" s="822"/>
      <c r="NWO41" s="822"/>
      <c r="NWP41" s="822"/>
      <c r="NWQ41" s="822"/>
      <c r="NWR41" s="822"/>
      <c r="NWS41" s="822"/>
      <c r="NWT41" s="822"/>
      <c r="NWU41" s="822"/>
      <c r="NWV41" s="822"/>
      <c r="NWW41" s="822"/>
      <c r="NWX41" s="822"/>
      <c r="NWY41" s="822"/>
      <c r="NWZ41" s="822"/>
      <c r="NXA41" s="822"/>
      <c r="NXB41" s="822"/>
      <c r="NXC41" s="822"/>
      <c r="NXD41" s="822"/>
      <c r="NXE41" s="822"/>
      <c r="NXF41" s="822"/>
      <c r="NXG41" s="822"/>
      <c r="NXH41" s="822"/>
      <c r="NXI41" s="822"/>
      <c r="NXJ41" s="822"/>
      <c r="NXK41" s="822"/>
      <c r="NXL41" s="822"/>
      <c r="NXM41" s="822"/>
      <c r="NXN41" s="822"/>
      <c r="NXO41" s="822"/>
      <c r="NXP41" s="822"/>
      <c r="NXQ41" s="822"/>
      <c r="NXR41" s="822"/>
      <c r="NXS41" s="822"/>
      <c r="NXT41" s="822"/>
      <c r="NXU41" s="822"/>
      <c r="NXV41" s="822"/>
      <c r="NXW41" s="822"/>
      <c r="NXX41" s="822"/>
      <c r="NXY41" s="822"/>
      <c r="NXZ41" s="822"/>
      <c r="NYA41" s="822"/>
      <c r="NYB41" s="822"/>
      <c r="NYC41" s="822"/>
      <c r="NYD41" s="822"/>
      <c r="NYE41" s="822"/>
      <c r="NYF41" s="822"/>
      <c r="NYG41" s="822"/>
      <c r="NYH41" s="822"/>
      <c r="NYI41" s="822"/>
      <c r="NYJ41" s="822"/>
      <c r="NYK41" s="822"/>
      <c r="NYL41" s="822"/>
      <c r="NYM41" s="822"/>
      <c r="NYN41" s="822"/>
      <c r="NYO41" s="822"/>
      <c r="NYP41" s="822"/>
      <c r="NYQ41" s="822"/>
      <c r="NYR41" s="822"/>
      <c r="NYS41" s="822"/>
      <c r="NYT41" s="822"/>
      <c r="NYU41" s="822"/>
      <c r="NYV41" s="822"/>
      <c r="NYW41" s="822"/>
      <c r="NYX41" s="822"/>
      <c r="NYY41" s="822"/>
      <c r="NYZ41" s="822"/>
      <c r="NZA41" s="822"/>
      <c r="NZB41" s="822"/>
      <c r="NZC41" s="822"/>
      <c r="NZD41" s="822"/>
      <c r="NZE41" s="822"/>
      <c r="NZF41" s="822"/>
      <c r="NZG41" s="822"/>
      <c r="NZH41" s="822"/>
      <c r="NZI41" s="822"/>
      <c r="NZJ41" s="822"/>
      <c r="NZK41" s="822"/>
      <c r="NZL41" s="822"/>
      <c r="NZM41" s="822"/>
      <c r="NZN41" s="822"/>
      <c r="NZO41" s="822"/>
      <c r="NZP41" s="822"/>
      <c r="NZQ41" s="822"/>
      <c r="NZR41" s="822"/>
      <c r="NZS41" s="822"/>
      <c r="NZT41" s="822"/>
      <c r="NZU41" s="822"/>
      <c r="NZV41" s="822"/>
      <c r="NZW41" s="822"/>
      <c r="NZX41" s="822"/>
      <c r="NZY41" s="822"/>
      <c r="NZZ41" s="822"/>
      <c r="OAA41" s="822"/>
      <c r="OAB41" s="822"/>
      <c r="OAC41" s="822"/>
      <c r="OAD41" s="822"/>
      <c r="OAE41" s="822"/>
      <c r="OAF41" s="822"/>
      <c r="OAG41" s="822"/>
      <c r="OAH41" s="822"/>
      <c r="OAI41" s="822"/>
      <c r="OAJ41" s="822"/>
      <c r="OAK41" s="822"/>
      <c r="OAL41" s="822"/>
      <c r="OAM41" s="822"/>
      <c r="OAN41" s="822"/>
      <c r="OAO41" s="822"/>
      <c r="OAP41" s="822"/>
      <c r="OAQ41" s="822"/>
      <c r="OAR41" s="822"/>
      <c r="OAS41" s="822"/>
      <c r="OAT41" s="822"/>
      <c r="OAU41" s="822"/>
      <c r="OAV41" s="822"/>
      <c r="OAW41" s="822"/>
      <c r="OAX41" s="822"/>
      <c r="OAY41" s="822"/>
      <c r="OAZ41" s="822"/>
      <c r="OBA41" s="822"/>
      <c r="OBB41" s="822"/>
      <c r="OBC41" s="822"/>
      <c r="OBD41" s="822"/>
      <c r="OBE41" s="822"/>
      <c r="OBF41" s="822"/>
      <c r="OBG41" s="822"/>
      <c r="OBH41" s="822"/>
      <c r="OBI41" s="822"/>
      <c r="OBJ41" s="822"/>
      <c r="OBK41" s="822"/>
      <c r="OBL41" s="822"/>
      <c r="OBM41" s="822"/>
      <c r="OBN41" s="822"/>
      <c r="OBO41" s="822"/>
      <c r="OBP41" s="822"/>
      <c r="OBQ41" s="822"/>
      <c r="OBR41" s="822"/>
      <c r="OBS41" s="822"/>
      <c r="OBT41" s="822"/>
      <c r="OBU41" s="822"/>
      <c r="OBV41" s="822"/>
      <c r="OBW41" s="822"/>
      <c r="OBX41" s="822"/>
      <c r="OBY41" s="822"/>
      <c r="OBZ41" s="822"/>
      <c r="OCA41" s="822"/>
      <c r="OCB41" s="822"/>
      <c r="OCC41" s="822"/>
      <c r="OCD41" s="822"/>
      <c r="OCE41" s="822"/>
      <c r="OCF41" s="822"/>
      <c r="OCG41" s="822"/>
      <c r="OCH41" s="822"/>
      <c r="OCI41" s="822"/>
      <c r="OCJ41" s="822"/>
      <c r="OCK41" s="822"/>
      <c r="OCL41" s="822"/>
      <c r="OCM41" s="822"/>
      <c r="OCN41" s="822"/>
      <c r="OCO41" s="822"/>
      <c r="OCP41" s="822"/>
      <c r="OCQ41" s="822"/>
      <c r="OCR41" s="822"/>
      <c r="OCS41" s="822"/>
      <c r="OCT41" s="822"/>
      <c r="OCU41" s="822"/>
      <c r="OCV41" s="822"/>
      <c r="OCW41" s="822"/>
      <c r="OCX41" s="822"/>
      <c r="OCY41" s="822"/>
      <c r="OCZ41" s="822"/>
      <c r="ODA41" s="822"/>
      <c r="ODB41" s="822"/>
      <c r="ODC41" s="822"/>
      <c r="ODD41" s="822"/>
      <c r="ODE41" s="822"/>
      <c r="ODF41" s="822"/>
      <c r="ODG41" s="822"/>
      <c r="ODH41" s="822"/>
      <c r="ODI41" s="822"/>
      <c r="ODJ41" s="822"/>
      <c r="ODK41" s="822"/>
      <c r="ODL41" s="822"/>
      <c r="ODM41" s="822"/>
      <c r="ODN41" s="822"/>
      <c r="ODO41" s="822"/>
      <c r="ODP41" s="822"/>
      <c r="ODQ41" s="822"/>
      <c r="ODR41" s="822"/>
      <c r="ODS41" s="822"/>
      <c r="ODT41" s="822"/>
      <c r="ODU41" s="822"/>
      <c r="ODV41" s="822"/>
      <c r="ODW41" s="822"/>
      <c r="ODX41" s="822"/>
      <c r="ODY41" s="822"/>
      <c r="ODZ41" s="822"/>
      <c r="OEA41" s="822"/>
      <c r="OEB41" s="822"/>
      <c r="OEC41" s="822"/>
      <c r="OED41" s="822"/>
      <c r="OEE41" s="822"/>
      <c r="OEF41" s="822"/>
      <c r="OEG41" s="822"/>
      <c r="OEH41" s="822"/>
      <c r="OEI41" s="822"/>
      <c r="OEJ41" s="822"/>
      <c r="OEK41" s="822"/>
      <c r="OEL41" s="822"/>
      <c r="OEM41" s="822"/>
      <c r="OEN41" s="822"/>
      <c r="OEO41" s="822"/>
      <c r="OEP41" s="822"/>
      <c r="OEQ41" s="822"/>
      <c r="OER41" s="822"/>
      <c r="OES41" s="822"/>
      <c r="OET41" s="822"/>
      <c r="OEU41" s="822"/>
      <c r="OEV41" s="822"/>
      <c r="OEW41" s="822"/>
      <c r="OEX41" s="822"/>
      <c r="OEY41" s="822"/>
      <c r="OEZ41" s="822"/>
      <c r="OFA41" s="822"/>
      <c r="OFB41" s="822"/>
      <c r="OFC41" s="822"/>
      <c r="OFD41" s="822"/>
      <c r="OFE41" s="822"/>
      <c r="OFF41" s="822"/>
      <c r="OFG41" s="822"/>
      <c r="OFH41" s="822"/>
      <c r="OFI41" s="822"/>
      <c r="OFJ41" s="822"/>
      <c r="OFK41" s="822"/>
      <c r="OFL41" s="822"/>
      <c r="OFM41" s="822"/>
      <c r="OFN41" s="822"/>
      <c r="OFO41" s="822"/>
      <c r="OFP41" s="822"/>
      <c r="OFQ41" s="822"/>
      <c r="OFR41" s="822"/>
      <c r="OFS41" s="822"/>
      <c r="OFT41" s="822"/>
      <c r="OFU41" s="822"/>
      <c r="OFV41" s="822"/>
      <c r="OFW41" s="822"/>
      <c r="OFX41" s="822"/>
      <c r="OFY41" s="822"/>
      <c r="OFZ41" s="822"/>
      <c r="OGA41" s="822"/>
      <c r="OGB41" s="822"/>
      <c r="OGC41" s="822"/>
      <c r="OGD41" s="822"/>
      <c r="OGE41" s="822"/>
      <c r="OGF41" s="822"/>
      <c r="OGG41" s="822"/>
      <c r="OGH41" s="822"/>
      <c r="OGI41" s="822"/>
      <c r="OGJ41" s="822"/>
      <c r="OGK41" s="822"/>
      <c r="OGL41" s="822"/>
      <c r="OGM41" s="822"/>
      <c r="OGN41" s="822"/>
      <c r="OGO41" s="822"/>
      <c r="OGP41" s="822"/>
      <c r="OGQ41" s="822"/>
      <c r="OGR41" s="822"/>
      <c r="OGS41" s="822"/>
      <c r="OGT41" s="822"/>
      <c r="OGU41" s="822"/>
      <c r="OGV41" s="822"/>
      <c r="OGW41" s="822"/>
      <c r="OGX41" s="822"/>
      <c r="OGY41" s="822"/>
      <c r="OGZ41" s="822"/>
      <c r="OHA41" s="822"/>
      <c r="OHB41" s="822"/>
      <c r="OHC41" s="822"/>
      <c r="OHD41" s="822"/>
      <c r="OHE41" s="822"/>
      <c r="OHF41" s="822"/>
      <c r="OHG41" s="822"/>
      <c r="OHH41" s="822"/>
      <c r="OHI41" s="822"/>
      <c r="OHJ41" s="822"/>
      <c r="OHK41" s="822"/>
      <c r="OHL41" s="822"/>
      <c r="OHM41" s="822"/>
      <c r="OHN41" s="822"/>
      <c r="OHO41" s="822"/>
      <c r="OHP41" s="822"/>
      <c r="OHQ41" s="822"/>
      <c r="OHR41" s="822"/>
      <c r="OHS41" s="822"/>
      <c r="OHT41" s="822"/>
      <c r="OHU41" s="822"/>
      <c r="OHV41" s="822"/>
      <c r="OHW41" s="822"/>
      <c r="OHX41" s="822"/>
      <c r="OHY41" s="822"/>
      <c r="OHZ41" s="822"/>
      <c r="OIA41" s="822"/>
      <c r="OIB41" s="822"/>
      <c r="OIC41" s="822"/>
      <c r="OID41" s="822"/>
      <c r="OIE41" s="822"/>
      <c r="OIF41" s="822"/>
      <c r="OIG41" s="822"/>
      <c r="OIH41" s="822"/>
      <c r="OII41" s="822"/>
      <c r="OIJ41" s="822"/>
      <c r="OIK41" s="822"/>
      <c r="OIL41" s="822"/>
      <c r="OIM41" s="822"/>
      <c r="OIN41" s="822"/>
      <c r="OIO41" s="822"/>
      <c r="OIP41" s="822"/>
      <c r="OIQ41" s="822"/>
      <c r="OIR41" s="822"/>
      <c r="OIS41" s="822"/>
      <c r="OIT41" s="822"/>
      <c r="OIU41" s="822"/>
      <c r="OIV41" s="822"/>
      <c r="OIW41" s="822"/>
      <c r="OIX41" s="822"/>
      <c r="OIY41" s="822"/>
      <c r="OIZ41" s="822"/>
      <c r="OJA41" s="822"/>
      <c r="OJB41" s="822"/>
      <c r="OJC41" s="822"/>
      <c r="OJD41" s="822"/>
      <c r="OJE41" s="822"/>
      <c r="OJF41" s="822"/>
      <c r="OJG41" s="822"/>
      <c r="OJH41" s="822"/>
      <c r="OJI41" s="822"/>
      <c r="OJJ41" s="822"/>
      <c r="OJK41" s="822"/>
      <c r="OJL41" s="822"/>
      <c r="OJM41" s="822"/>
      <c r="OJN41" s="822"/>
      <c r="OJO41" s="822"/>
      <c r="OJP41" s="822"/>
      <c r="OJQ41" s="822"/>
      <c r="OJR41" s="822"/>
      <c r="OJS41" s="822"/>
      <c r="OJT41" s="822"/>
      <c r="OJU41" s="822"/>
      <c r="OJV41" s="822"/>
      <c r="OJW41" s="822"/>
      <c r="OJX41" s="822"/>
      <c r="OJY41" s="822"/>
      <c r="OJZ41" s="822"/>
      <c r="OKA41" s="822"/>
      <c r="OKB41" s="822"/>
      <c r="OKC41" s="822"/>
      <c r="OKD41" s="822"/>
      <c r="OKE41" s="822"/>
      <c r="OKF41" s="822"/>
      <c r="OKG41" s="822"/>
      <c r="OKH41" s="822"/>
      <c r="OKI41" s="822"/>
      <c r="OKJ41" s="822"/>
      <c r="OKK41" s="822"/>
      <c r="OKL41" s="822"/>
      <c r="OKM41" s="822"/>
      <c r="OKN41" s="822"/>
      <c r="OKO41" s="822"/>
      <c r="OKP41" s="822"/>
      <c r="OKQ41" s="822"/>
      <c r="OKR41" s="822"/>
      <c r="OKS41" s="822"/>
      <c r="OKT41" s="822"/>
      <c r="OKU41" s="822"/>
      <c r="OKV41" s="822"/>
      <c r="OKW41" s="822"/>
      <c r="OKX41" s="822"/>
      <c r="OKY41" s="822"/>
      <c r="OKZ41" s="822"/>
      <c r="OLA41" s="822"/>
      <c r="OLB41" s="822"/>
      <c r="OLC41" s="822"/>
      <c r="OLD41" s="822"/>
      <c r="OLE41" s="822"/>
      <c r="OLF41" s="822"/>
      <c r="OLG41" s="822"/>
      <c r="OLH41" s="822"/>
      <c r="OLI41" s="822"/>
      <c r="OLJ41" s="822"/>
      <c r="OLK41" s="822"/>
      <c r="OLL41" s="822"/>
      <c r="OLM41" s="822"/>
      <c r="OLN41" s="822"/>
      <c r="OLO41" s="822"/>
      <c r="OLP41" s="822"/>
      <c r="OLQ41" s="822"/>
      <c r="OLR41" s="822"/>
      <c r="OLS41" s="822"/>
      <c r="OLT41" s="822"/>
      <c r="OLU41" s="822"/>
      <c r="OLV41" s="822"/>
      <c r="OLW41" s="822"/>
      <c r="OLX41" s="822"/>
      <c r="OLY41" s="822"/>
      <c r="OLZ41" s="822"/>
      <c r="OMA41" s="822"/>
      <c r="OMB41" s="822"/>
      <c r="OMC41" s="822"/>
      <c r="OMD41" s="822"/>
      <c r="OME41" s="822"/>
      <c r="OMF41" s="822"/>
      <c r="OMG41" s="822"/>
      <c r="OMH41" s="822"/>
      <c r="OMI41" s="822"/>
      <c r="OMJ41" s="822"/>
      <c r="OMK41" s="822"/>
      <c r="OML41" s="822"/>
      <c r="OMM41" s="822"/>
      <c r="OMN41" s="822"/>
      <c r="OMO41" s="822"/>
      <c r="OMP41" s="822"/>
      <c r="OMQ41" s="822"/>
      <c r="OMR41" s="822"/>
      <c r="OMS41" s="822"/>
      <c r="OMT41" s="822"/>
      <c r="OMU41" s="822"/>
      <c r="OMV41" s="822"/>
      <c r="OMW41" s="822"/>
      <c r="OMX41" s="822"/>
      <c r="OMY41" s="822"/>
      <c r="OMZ41" s="822"/>
      <c r="ONA41" s="822"/>
      <c r="ONB41" s="822"/>
      <c r="ONC41" s="822"/>
      <c r="OND41" s="822"/>
      <c r="ONE41" s="822"/>
      <c r="ONF41" s="822"/>
      <c r="ONG41" s="822"/>
      <c r="ONH41" s="822"/>
      <c r="ONI41" s="822"/>
      <c r="ONJ41" s="822"/>
      <c r="ONK41" s="822"/>
      <c r="ONL41" s="822"/>
      <c r="ONM41" s="822"/>
      <c r="ONN41" s="822"/>
      <c r="ONO41" s="822"/>
      <c r="ONP41" s="822"/>
      <c r="ONQ41" s="822"/>
      <c r="ONR41" s="822"/>
      <c r="ONS41" s="822"/>
      <c r="ONT41" s="822"/>
      <c r="ONU41" s="822"/>
      <c r="ONV41" s="822"/>
      <c r="ONW41" s="822"/>
      <c r="ONX41" s="822"/>
      <c r="ONY41" s="822"/>
      <c r="ONZ41" s="822"/>
      <c r="OOA41" s="822"/>
      <c r="OOB41" s="822"/>
      <c r="OOC41" s="822"/>
      <c r="OOD41" s="822"/>
      <c r="OOE41" s="822"/>
      <c r="OOF41" s="822"/>
      <c r="OOG41" s="822"/>
      <c r="OOH41" s="822"/>
      <c r="OOI41" s="822"/>
      <c r="OOJ41" s="822"/>
      <c r="OOK41" s="822"/>
      <c r="OOL41" s="822"/>
      <c r="OOM41" s="822"/>
      <c r="OON41" s="822"/>
      <c r="OOO41" s="822"/>
      <c r="OOP41" s="822"/>
      <c r="OOQ41" s="822"/>
      <c r="OOR41" s="822"/>
      <c r="OOS41" s="822"/>
      <c r="OOT41" s="822"/>
      <c r="OOU41" s="822"/>
      <c r="OOV41" s="822"/>
      <c r="OOW41" s="822"/>
      <c r="OOX41" s="822"/>
      <c r="OOY41" s="822"/>
      <c r="OOZ41" s="822"/>
      <c r="OPA41" s="822"/>
      <c r="OPB41" s="822"/>
      <c r="OPC41" s="822"/>
      <c r="OPD41" s="822"/>
      <c r="OPE41" s="822"/>
      <c r="OPF41" s="822"/>
      <c r="OPG41" s="822"/>
      <c r="OPH41" s="822"/>
      <c r="OPI41" s="822"/>
      <c r="OPJ41" s="822"/>
      <c r="OPK41" s="822"/>
      <c r="OPL41" s="822"/>
      <c r="OPM41" s="822"/>
      <c r="OPN41" s="822"/>
      <c r="OPO41" s="822"/>
      <c r="OPP41" s="822"/>
      <c r="OPQ41" s="822"/>
      <c r="OPR41" s="822"/>
      <c r="OPS41" s="822"/>
      <c r="OPT41" s="822"/>
      <c r="OPU41" s="822"/>
      <c r="OPV41" s="822"/>
      <c r="OPW41" s="822"/>
      <c r="OPX41" s="822"/>
      <c r="OPY41" s="822"/>
      <c r="OPZ41" s="822"/>
      <c r="OQA41" s="822"/>
      <c r="OQB41" s="822"/>
      <c r="OQC41" s="822"/>
      <c r="OQD41" s="822"/>
      <c r="OQE41" s="822"/>
      <c r="OQF41" s="822"/>
      <c r="OQG41" s="822"/>
      <c r="OQH41" s="822"/>
      <c r="OQI41" s="822"/>
      <c r="OQJ41" s="822"/>
      <c r="OQK41" s="822"/>
      <c r="OQL41" s="822"/>
      <c r="OQM41" s="822"/>
      <c r="OQN41" s="822"/>
      <c r="OQO41" s="822"/>
      <c r="OQP41" s="822"/>
      <c r="OQQ41" s="822"/>
      <c r="OQR41" s="822"/>
      <c r="OQS41" s="822"/>
      <c r="OQT41" s="822"/>
      <c r="OQU41" s="822"/>
      <c r="OQV41" s="822"/>
      <c r="OQW41" s="822"/>
      <c r="OQX41" s="822"/>
      <c r="OQY41" s="822"/>
      <c r="OQZ41" s="822"/>
      <c r="ORA41" s="822"/>
      <c r="ORB41" s="822"/>
      <c r="ORC41" s="822"/>
      <c r="ORD41" s="822"/>
      <c r="ORE41" s="822"/>
      <c r="ORF41" s="822"/>
      <c r="ORG41" s="822"/>
      <c r="ORH41" s="822"/>
      <c r="ORI41" s="822"/>
      <c r="ORJ41" s="822"/>
      <c r="ORK41" s="822"/>
      <c r="ORL41" s="822"/>
      <c r="ORM41" s="822"/>
      <c r="ORN41" s="822"/>
      <c r="ORO41" s="822"/>
      <c r="ORP41" s="822"/>
      <c r="ORQ41" s="822"/>
      <c r="ORR41" s="822"/>
      <c r="ORS41" s="822"/>
      <c r="ORT41" s="822"/>
      <c r="ORU41" s="822"/>
      <c r="ORV41" s="822"/>
      <c r="ORW41" s="822"/>
      <c r="ORX41" s="822"/>
      <c r="ORY41" s="822"/>
      <c r="ORZ41" s="822"/>
      <c r="OSA41" s="822"/>
      <c r="OSB41" s="822"/>
      <c r="OSC41" s="822"/>
      <c r="OSD41" s="822"/>
      <c r="OSE41" s="822"/>
      <c r="OSF41" s="822"/>
      <c r="OSG41" s="822"/>
      <c r="OSH41" s="822"/>
      <c r="OSI41" s="822"/>
      <c r="OSJ41" s="822"/>
      <c r="OSK41" s="822"/>
      <c r="OSL41" s="822"/>
      <c r="OSM41" s="822"/>
      <c r="OSN41" s="822"/>
      <c r="OSO41" s="822"/>
      <c r="OSP41" s="822"/>
      <c r="OSQ41" s="822"/>
      <c r="OSR41" s="822"/>
      <c r="OSS41" s="822"/>
      <c r="OST41" s="822"/>
      <c r="OSU41" s="822"/>
      <c r="OSV41" s="822"/>
      <c r="OSW41" s="822"/>
      <c r="OSX41" s="822"/>
      <c r="OSY41" s="822"/>
      <c r="OSZ41" s="822"/>
      <c r="OTA41" s="822"/>
      <c r="OTB41" s="822"/>
      <c r="OTC41" s="822"/>
      <c r="OTD41" s="822"/>
      <c r="OTE41" s="822"/>
      <c r="OTF41" s="822"/>
      <c r="OTG41" s="822"/>
      <c r="OTH41" s="822"/>
      <c r="OTI41" s="822"/>
      <c r="OTJ41" s="822"/>
      <c r="OTK41" s="822"/>
      <c r="OTL41" s="822"/>
      <c r="OTM41" s="822"/>
      <c r="OTN41" s="822"/>
      <c r="OTO41" s="822"/>
      <c r="OTP41" s="822"/>
      <c r="OTQ41" s="822"/>
      <c r="OTR41" s="822"/>
      <c r="OTS41" s="822"/>
      <c r="OTT41" s="822"/>
      <c r="OTU41" s="822"/>
      <c r="OTV41" s="822"/>
      <c r="OTW41" s="822"/>
      <c r="OTX41" s="822"/>
      <c r="OTY41" s="822"/>
      <c r="OTZ41" s="822"/>
      <c r="OUA41" s="822"/>
      <c r="OUB41" s="822"/>
      <c r="OUC41" s="822"/>
      <c r="OUD41" s="822"/>
      <c r="OUE41" s="822"/>
      <c r="OUF41" s="822"/>
      <c r="OUG41" s="822"/>
      <c r="OUH41" s="822"/>
      <c r="OUI41" s="822"/>
      <c r="OUJ41" s="822"/>
      <c r="OUK41" s="822"/>
      <c r="OUL41" s="822"/>
      <c r="OUM41" s="822"/>
      <c r="OUN41" s="822"/>
      <c r="OUO41" s="822"/>
      <c r="OUP41" s="822"/>
      <c r="OUQ41" s="822"/>
      <c r="OUR41" s="822"/>
      <c r="OUS41" s="822"/>
      <c r="OUT41" s="822"/>
      <c r="OUU41" s="822"/>
      <c r="OUV41" s="822"/>
      <c r="OUW41" s="822"/>
      <c r="OUX41" s="822"/>
      <c r="OUY41" s="822"/>
      <c r="OUZ41" s="822"/>
      <c r="OVA41" s="822"/>
      <c r="OVB41" s="822"/>
      <c r="OVC41" s="822"/>
      <c r="OVD41" s="822"/>
      <c r="OVE41" s="822"/>
      <c r="OVF41" s="822"/>
      <c r="OVG41" s="822"/>
      <c r="OVH41" s="822"/>
      <c r="OVI41" s="822"/>
      <c r="OVJ41" s="822"/>
      <c r="OVK41" s="822"/>
      <c r="OVL41" s="822"/>
      <c r="OVM41" s="822"/>
      <c r="OVN41" s="822"/>
      <c r="OVO41" s="822"/>
      <c r="OVP41" s="822"/>
      <c r="OVQ41" s="822"/>
      <c r="OVR41" s="822"/>
      <c r="OVS41" s="822"/>
      <c r="OVT41" s="822"/>
      <c r="OVU41" s="822"/>
      <c r="OVV41" s="822"/>
      <c r="OVW41" s="822"/>
      <c r="OVX41" s="822"/>
      <c r="OVY41" s="822"/>
      <c r="OVZ41" s="822"/>
      <c r="OWA41" s="822"/>
      <c r="OWB41" s="822"/>
      <c r="OWC41" s="822"/>
      <c r="OWD41" s="822"/>
      <c r="OWE41" s="822"/>
      <c r="OWF41" s="822"/>
      <c r="OWG41" s="822"/>
      <c r="OWH41" s="822"/>
      <c r="OWI41" s="822"/>
      <c r="OWJ41" s="822"/>
      <c r="OWK41" s="822"/>
      <c r="OWL41" s="822"/>
      <c r="OWM41" s="822"/>
      <c r="OWN41" s="822"/>
      <c r="OWO41" s="822"/>
      <c r="OWP41" s="822"/>
      <c r="OWQ41" s="822"/>
      <c r="OWR41" s="822"/>
      <c r="OWS41" s="822"/>
      <c r="OWT41" s="822"/>
      <c r="OWU41" s="822"/>
      <c r="OWV41" s="822"/>
      <c r="OWW41" s="822"/>
      <c r="OWX41" s="822"/>
      <c r="OWY41" s="822"/>
      <c r="OWZ41" s="822"/>
      <c r="OXA41" s="822"/>
      <c r="OXB41" s="822"/>
      <c r="OXC41" s="822"/>
      <c r="OXD41" s="822"/>
      <c r="OXE41" s="822"/>
      <c r="OXF41" s="822"/>
      <c r="OXG41" s="822"/>
      <c r="OXH41" s="822"/>
      <c r="OXI41" s="822"/>
      <c r="OXJ41" s="822"/>
      <c r="OXK41" s="822"/>
      <c r="OXL41" s="822"/>
      <c r="OXM41" s="822"/>
      <c r="OXN41" s="822"/>
      <c r="OXO41" s="822"/>
      <c r="OXP41" s="822"/>
      <c r="OXQ41" s="822"/>
      <c r="OXR41" s="822"/>
      <c r="OXS41" s="822"/>
      <c r="OXT41" s="822"/>
      <c r="OXU41" s="822"/>
      <c r="OXV41" s="822"/>
      <c r="OXW41" s="822"/>
      <c r="OXX41" s="822"/>
      <c r="OXY41" s="822"/>
      <c r="OXZ41" s="822"/>
      <c r="OYA41" s="822"/>
      <c r="OYB41" s="822"/>
      <c r="OYC41" s="822"/>
      <c r="OYD41" s="822"/>
      <c r="OYE41" s="822"/>
      <c r="OYF41" s="822"/>
      <c r="OYG41" s="822"/>
      <c r="OYH41" s="822"/>
      <c r="OYI41" s="822"/>
      <c r="OYJ41" s="822"/>
      <c r="OYK41" s="822"/>
      <c r="OYL41" s="822"/>
      <c r="OYM41" s="822"/>
      <c r="OYN41" s="822"/>
      <c r="OYO41" s="822"/>
      <c r="OYP41" s="822"/>
      <c r="OYQ41" s="822"/>
      <c r="OYR41" s="822"/>
      <c r="OYS41" s="822"/>
      <c r="OYT41" s="822"/>
      <c r="OYU41" s="822"/>
      <c r="OYV41" s="822"/>
      <c r="OYW41" s="822"/>
      <c r="OYX41" s="822"/>
      <c r="OYY41" s="822"/>
      <c r="OYZ41" s="822"/>
      <c r="OZA41" s="822"/>
      <c r="OZB41" s="822"/>
      <c r="OZC41" s="822"/>
      <c r="OZD41" s="822"/>
      <c r="OZE41" s="822"/>
      <c r="OZF41" s="822"/>
      <c r="OZG41" s="822"/>
      <c r="OZH41" s="822"/>
      <c r="OZI41" s="822"/>
      <c r="OZJ41" s="822"/>
      <c r="OZK41" s="822"/>
      <c r="OZL41" s="822"/>
      <c r="OZM41" s="822"/>
      <c r="OZN41" s="822"/>
      <c r="OZO41" s="822"/>
      <c r="OZP41" s="822"/>
      <c r="OZQ41" s="822"/>
      <c r="OZR41" s="822"/>
      <c r="OZS41" s="822"/>
      <c r="OZT41" s="822"/>
      <c r="OZU41" s="822"/>
      <c r="OZV41" s="822"/>
      <c r="OZW41" s="822"/>
      <c r="OZX41" s="822"/>
      <c r="OZY41" s="822"/>
      <c r="OZZ41" s="822"/>
      <c r="PAA41" s="822"/>
      <c r="PAB41" s="822"/>
      <c r="PAC41" s="822"/>
      <c r="PAD41" s="822"/>
      <c r="PAE41" s="822"/>
      <c r="PAF41" s="822"/>
      <c r="PAG41" s="822"/>
      <c r="PAH41" s="822"/>
      <c r="PAI41" s="822"/>
      <c r="PAJ41" s="822"/>
      <c r="PAK41" s="822"/>
      <c r="PAL41" s="822"/>
      <c r="PAM41" s="822"/>
      <c r="PAN41" s="822"/>
      <c r="PAO41" s="822"/>
      <c r="PAP41" s="822"/>
      <c r="PAQ41" s="822"/>
      <c r="PAR41" s="822"/>
      <c r="PAS41" s="822"/>
      <c r="PAT41" s="822"/>
      <c r="PAU41" s="822"/>
      <c r="PAV41" s="822"/>
      <c r="PAW41" s="822"/>
      <c r="PAX41" s="822"/>
      <c r="PAY41" s="822"/>
      <c r="PAZ41" s="822"/>
      <c r="PBA41" s="822"/>
      <c r="PBB41" s="822"/>
      <c r="PBC41" s="822"/>
      <c r="PBD41" s="822"/>
      <c r="PBE41" s="822"/>
      <c r="PBF41" s="822"/>
      <c r="PBG41" s="822"/>
      <c r="PBH41" s="822"/>
      <c r="PBI41" s="822"/>
      <c r="PBJ41" s="822"/>
      <c r="PBK41" s="822"/>
      <c r="PBL41" s="822"/>
      <c r="PBM41" s="822"/>
      <c r="PBN41" s="822"/>
      <c r="PBO41" s="822"/>
      <c r="PBP41" s="822"/>
      <c r="PBQ41" s="822"/>
      <c r="PBR41" s="822"/>
      <c r="PBS41" s="822"/>
      <c r="PBT41" s="822"/>
      <c r="PBU41" s="822"/>
      <c r="PBV41" s="822"/>
      <c r="PBW41" s="822"/>
      <c r="PBX41" s="822"/>
      <c r="PBY41" s="822"/>
      <c r="PBZ41" s="822"/>
      <c r="PCA41" s="822"/>
      <c r="PCB41" s="822"/>
      <c r="PCC41" s="822"/>
      <c r="PCD41" s="822"/>
      <c r="PCE41" s="822"/>
      <c r="PCF41" s="822"/>
      <c r="PCG41" s="822"/>
      <c r="PCH41" s="822"/>
      <c r="PCI41" s="822"/>
      <c r="PCJ41" s="822"/>
      <c r="PCK41" s="822"/>
      <c r="PCL41" s="822"/>
      <c r="PCM41" s="822"/>
      <c r="PCN41" s="822"/>
      <c r="PCO41" s="822"/>
      <c r="PCP41" s="822"/>
      <c r="PCQ41" s="822"/>
      <c r="PCR41" s="822"/>
      <c r="PCS41" s="822"/>
      <c r="PCT41" s="822"/>
      <c r="PCU41" s="822"/>
      <c r="PCV41" s="822"/>
      <c r="PCW41" s="822"/>
      <c r="PCX41" s="822"/>
      <c r="PCY41" s="822"/>
      <c r="PCZ41" s="822"/>
      <c r="PDA41" s="822"/>
      <c r="PDB41" s="822"/>
      <c r="PDC41" s="822"/>
      <c r="PDD41" s="822"/>
      <c r="PDE41" s="822"/>
      <c r="PDF41" s="822"/>
      <c r="PDG41" s="822"/>
      <c r="PDH41" s="822"/>
      <c r="PDI41" s="822"/>
      <c r="PDJ41" s="822"/>
      <c r="PDK41" s="822"/>
      <c r="PDL41" s="822"/>
      <c r="PDM41" s="822"/>
      <c r="PDN41" s="822"/>
      <c r="PDO41" s="822"/>
      <c r="PDP41" s="822"/>
      <c r="PDQ41" s="822"/>
      <c r="PDR41" s="822"/>
      <c r="PDS41" s="822"/>
      <c r="PDT41" s="822"/>
      <c r="PDU41" s="822"/>
      <c r="PDV41" s="822"/>
      <c r="PDW41" s="822"/>
      <c r="PDX41" s="822"/>
      <c r="PDY41" s="822"/>
      <c r="PDZ41" s="822"/>
      <c r="PEA41" s="822"/>
      <c r="PEB41" s="822"/>
      <c r="PEC41" s="822"/>
      <c r="PED41" s="822"/>
      <c r="PEE41" s="822"/>
      <c r="PEF41" s="822"/>
      <c r="PEG41" s="822"/>
      <c r="PEH41" s="822"/>
      <c r="PEI41" s="822"/>
      <c r="PEJ41" s="822"/>
      <c r="PEK41" s="822"/>
      <c r="PEL41" s="822"/>
      <c r="PEM41" s="822"/>
      <c r="PEN41" s="822"/>
      <c r="PEO41" s="822"/>
      <c r="PEP41" s="822"/>
      <c r="PEQ41" s="822"/>
      <c r="PER41" s="822"/>
      <c r="PES41" s="822"/>
      <c r="PET41" s="822"/>
      <c r="PEU41" s="822"/>
      <c r="PEV41" s="822"/>
      <c r="PEW41" s="822"/>
      <c r="PEX41" s="822"/>
      <c r="PEY41" s="822"/>
      <c r="PEZ41" s="822"/>
      <c r="PFA41" s="822"/>
      <c r="PFB41" s="822"/>
      <c r="PFC41" s="822"/>
      <c r="PFD41" s="822"/>
      <c r="PFE41" s="822"/>
      <c r="PFF41" s="822"/>
      <c r="PFG41" s="822"/>
      <c r="PFH41" s="822"/>
      <c r="PFI41" s="822"/>
      <c r="PFJ41" s="822"/>
      <c r="PFK41" s="822"/>
      <c r="PFL41" s="822"/>
      <c r="PFM41" s="822"/>
      <c r="PFN41" s="822"/>
      <c r="PFO41" s="822"/>
      <c r="PFP41" s="822"/>
      <c r="PFQ41" s="822"/>
      <c r="PFR41" s="822"/>
      <c r="PFS41" s="822"/>
      <c r="PFT41" s="822"/>
      <c r="PFU41" s="822"/>
      <c r="PFV41" s="822"/>
      <c r="PFW41" s="822"/>
      <c r="PFX41" s="822"/>
      <c r="PFY41" s="822"/>
      <c r="PFZ41" s="822"/>
      <c r="PGA41" s="822"/>
      <c r="PGB41" s="822"/>
      <c r="PGC41" s="822"/>
      <c r="PGD41" s="822"/>
      <c r="PGE41" s="822"/>
      <c r="PGF41" s="822"/>
      <c r="PGG41" s="822"/>
      <c r="PGH41" s="822"/>
      <c r="PGI41" s="822"/>
      <c r="PGJ41" s="822"/>
      <c r="PGK41" s="822"/>
      <c r="PGL41" s="822"/>
      <c r="PGM41" s="822"/>
      <c r="PGN41" s="822"/>
      <c r="PGO41" s="822"/>
      <c r="PGP41" s="822"/>
      <c r="PGQ41" s="822"/>
      <c r="PGR41" s="822"/>
      <c r="PGS41" s="822"/>
      <c r="PGT41" s="822"/>
      <c r="PGU41" s="822"/>
      <c r="PGV41" s="822"/>
      <c r="PGW41" s="822"/>
      <c r="PGX41" s="822"/>
      <c r="PGY41" s="822"/>
      <c r="PGZ41" s="822"/>
      <c r="PHA41" s="822"/>
      <c r="PHB41" s="822"/>
      <c r="PHC41" s="822"/>
      <c r="PHD41" s="822"/>
      <c r="PHE41" s="822"/>
      <c r="PHF41" s="822"/>
      <c r="PHG41" s="822"/>
      <c r="PHH41" s="822"/>
      <c r="PHI41" s="822"/>
      <c r="PHJ41" s="822"/>
      <c r="PHK41" s="822"/>
      <c r="PHL41" s="822"/>
      <c r="PHM41" s="822"/>
      <c r="PHN41" s="822"/>
      <c r="PHO41" s="822"/>
      <c r="PHP41" s="822"/>
      <c r="PHQ41" s="822"/>
      <c r="PHR41" s="822"/>
      <c r="PHS41" s="822"/>
      <c r="PHT41" s="822"/>
      <c r="PHU41" s="822"/>
      <c r="PHV41" s="822"/>
      <c r="PHW41" s="822"/>
      <c r="PHX41" s="822"/>
      <c r="PHY41" s="822"/>
      <c r="PHZ41" s="822"/>
      <c r="PIA41" s="822"/>
      <c r="PIB41" s="822"/>
      <c r="PIC41" s="822"/>
      <c r="PID41" s="822"/>
      <c r="PIE41" s="822"/>
      <c r="PIF41" s="822"/>
      <c r="PIG41" s="822"/>
      <c r="PIH41" s="822"/>
      <c r="PII41" s="822"/>
      <c r="PIJ41" s="822"/>
      <c r="PIK41" s="822"/>
      <c r="PIL41" s="822"/>
      <c r="PIM41" s="822"/>
      <c r="PIN41" s="822"/>
      <c r="PIO41" s="822"/>
      <c r="PIP41" s="822"/>
      <c r="PIQ41" s="822"/>
      <c r="PIR41" s="822"/>
      <c r="PIS41" s="822"/>
      <c r="PIT41" s="822"/>
      <c r="PIU41" s="822"/>
      <c r="PIV41" s="822"/>
      <c r="PIW41" s="822"/>
      <c r="PIX41" s="822"/>
      <c r="PIY41" s="822"/>
      <c r="PIZ41" s="822"/>
      <c r="PJA41" s="822"/>
      <c r="PJB41" s="822"/>
      <c r="PJC41" s="822"/>
      <c r="PJD41" s="822"/>
      <c r="PJE41" s="822"/>
      <c r="PJF41" s="822"/>
      <c r="PJG41" s="822"/>
      <c r="PJH41" s="822"/>
      <c r="PJI41" s="822"/>
      <c r="PJJ41" s="822"/>
      <c r="PJK41" s="822"/>
      <c r="PJL41" s="822"/>
      <c r="PJM41" s="822"/>
      <c r="PJN41" s="822"/>
      <c r="PJO41" s="822"/>
      <c r="PJP41" s="822"/>
      <c r="PJQ41" s="822"/>
      <c r="PJR41" s="822"/>
      <c r="PJS41" s="822"/>
      <c r="PJT41" s="822"/>
      <c r="PJU41" s="822"/>
      <c r="PJV41" s="822"/>
      <c r="PJW41" s="822"/>
      <c r="PJX41" s="822"/>
      <c r="PJY41" s="822"/>
      <c r="PJZ41" s="822"/>
      <c r="PKA41" s="822"/>
      <c r="PKB41" s="822"/>
      <c r="PKC41" s="822"/>
      <c r="PKD41" s="822"/>
      <c r="PKE41" s="822"/>
      <c r="PKF41" s="822"/>
      <c r="PKG41" s="822"/>
      <c r="PKH41" s="822"/>
      <c r="PKI41" s="822"/>
      <c r="PKJ41" s="822"/>
      <c r="PKK41" s="822"/>
      <c r="PKL41" s="822"/>
      <c r="PKM41" s="822"/>
      <c r="PKN41" s="822"/>
      <c r="PKO41" s="822"/>
      <c r="PKP41" s="822"/>
      <c r="PKQ41" s="822"/>
      <c r="PKR41" s="822"/>
      <c r="PKS41" s="822"/>
      <c r="PKT41" s="822"/>
      <c r="PKU41" s="822"/>
      <c r="PKV41" s="822"/>
      <c r="PKW41" s="822"/>
      <c r="PKX41" s="822"/>
      <c r="PKY41" s="822"/>
      <c r="PKZ41" s="822"/>
      <c r="PLA41" s="822"/>
      <c r="PLB41" s="822"/>
      <c r="PLC41" s="822"/>
      <c r="PLD41" s="822"/>
      <c r="PLE41" s="822"/>
      <c r="PLF41" s="822"/>
      <c r="PLG41" s="822"/>
      <c r="PLH41" s="822"/>
      <c r="PLI41" s="822"/>
      <c r="PLJ41" s="822"/>
      <c r="PLK41" s="822"/>
      <c r="PLL41" s="822"/>
      <c r="PLM41" s="822"/>
      <c r="PLN41" s="822"/>
      <c r="PLO41" s="822"/>
      <c r="PLP41" s="822"/>
      <c r="PLQ41" s="822"/>
      <c r="PLR41" s="822"/>
      <c r="PLS41" s="822"/>
      <c r="PLT41" s="822"/>
      <c r="PLU41" s="822"/>
      <c r="PLV41" s="822"/>
      <c r="PLW41" s="822"/>
      <c r="PLX41" s="822"/>
      <c r="PLY41" s="822"/>
      <c r="PLZ41" s="822"/>
      <c r="PMA41" s="822"/>
      <c r="PMB41" s="822"/>
      <c r="PMC41" s="822"/>
      <c r="PMD41" s="822"/>
      <c r="PME41" s="822"/>
      <c r="PMF41" s="822"/>
      <c r="PMG41" s="822"/>
      <c r="PMH41" s="822"/>
      <c r="PMI41" s="822"/>
      <c r="PMJ41" s="822"/>
      <c r="PMK41" s="822"/>
      <c r="PML41" s="822"/>
      <c r="PMM41" s="822"/>
      <c r="PMN41" s="822"/>
      <c r="PMO41" s="822"/>
      <c r="PMP41" s="822"/>
      <c r="PMQ41" s="822"/>
      <c r="PMR41" s="822"/>
      <c r="PMS41" s="822"/>
      <c r="PMT41" s="822"/>
      <c r="PMU41" s="822"/>
      <c r="PMV41" s="822"/>
      <c r="PMW41" s="822"/>
      <c r="PMX41" s="822"/>
      <c r="PMY41" s="822"/>
      <c r="PMZ41" s="822"/>
      <c r="PNA41" s="822"/>
      <c r="PNB41" s="822"/>
      <c r="PNC41" s="822"/>
      <c r="PND41" s="822"/>
      <c r="PNE41" s="822"/>
      <c r="PNF41" s="822"/>
      <c r="PNG41" s="822"/>
      <c r="PNH41" s="822"/>
      <c r="PNI41" s="822"/>
      <c r="PNJ41" s="822"/>
      <c r="PNK41" s="822"/>
      <c r="PNL41" s="822"/>
      <c r="PNM41" s="822"/>
      <c r="PNN41" s="822"/>
      <c r="PNO41" s="822"/>
      <c r="PNP41" s="822"/>
      <c r="PNQ41" s="822"/>
      <c r="PNR41" s="822"/>
      <c r="PNS41" s="822"/>
      <c r="PNT41" s="822"/>
      <c r="PNU41" s="822"/>
      <c r="PNV41" s="822"/>
      <c r="PNW41" s="822"/>
      <c r="PNX41" s="822"/>
      <c r="PNY41" s="822"/>
      <c r="PNZ41" s="822"/>
      <c r="POA41" s="822"/>
      <c r="POB41" s="822"/>
      <c r="POC41" s="822"/>
      <c r="POD41" s="822"/>
      <c r="POE41" s="822"/>
      <c r="POF41" s="822"/>
      <c r="POG41" s="822"/>
      <c r="POH41" s="822"/>
      <c r="POI41" s="822"/>
      <c r="POJ41" s="822"/>
      <c r="POK41" s="822"/>
      <c r="POL41" s="822"/>
      <c r="POM41" s="822"/>
      <c r="PON41" s="822"/>
      <c r="POO41" s="822"/>
      <c r="POP41" s="822"/>
      <c r="POQ41" s="822"/>
      <c r="POR41" s="822"/>
      <c r="POS41" s="822"/>
      <c r="POT41" s="822"/>
      <c r="POU41" s="822"/>
      <c r="POV41" s="822"/>
      <c r="POW41" s="822"/>
      <c r="POX41" s="822"/>
      <c r="POY41" s="822"/>
      <c r="POZ41" s="822"/>
      <c r="PPA41" s="822"/>
      <c r="PPB41" s="822"/>
      <c r="PPC41" s="822"/>
      <c r="PPD41" s="822"/>
      <c r="PPE41" s="822"/>
      <c r="PPF41" s="822"/>
      <c r="PPG41" s="822"/>
      <c r="PPH41" s="822"/>
      <c r="PPI41" s="822"/>
      <c r="PPJ41" s="822"/>
      <c r="PPK41" s="822"/>
      <c r="PPL41" s="822"/>
      <c r="PPM41" s="822"/>
      <c r="PPN41" s="822"/>
      <c r="PPO41" s="822"/>
      <c r="PPP41" s="822"/>
      <c r="PPQ41" s="822"/>
      <c r="PPR41" s="822"/>
      <c r="PPS41" s="822"/>
      <c r="PPT41" s="822"/>
      <c r="PPU41" s="822"/>
      <c r="PPV41" s="822"/>
      <c r="PPW41" s="822"/>
      <c r="PPX41" s="822"/>
      <c r="PPY41" s="822"/>
      <c r="PPZ41" s="822"/>
      <c r="PQA41" s="822"/>
      <c r="PQB41" s="822"/>
      <c r="PQC41" s="822"/>
      <c r="PQD41" s="822"/>
      <c r="PQE41" s="822"/>
      <c r="PQF41" s="822"/>
      <c r="PQG41" s="822"/>
      <c r="PQH41" s="822"/>
      <c r="PQI41" s="822"/>
      <c r="PQJ41" s="822"/>
      <c r="PQK41" s="822"/>
      <c r="PQL41" s="822"/>
      <c r="PQM41" s="822"/>
      <c r="PQN41" s="822"/>
      <c r="PQO41" s="822"/>
      <c r="PQP41" s="822"/>
      <c r="PQQ41" s="822"/>
      <c r="PQR41" s="822"/>
      <c r="PQS41" s="822"/>
      <c r="PQT41" s="822"/>
      <c r="PQU41" s="822"/>
      <c r="PQV41" s="822"/>
      <c r="PQW41" s="822"/>
      <c r="PQX41" s="822"/>
      <c r="PQY41" s="822"/>
      <c r="PQZ41" s="822"/>
      <c r="PRA41" s="822"/>
      <c r="PRB41" s="822"/>
      <c r="PRC41" s="822"/>
      <c r="PRD41" s="822"/>
      <c r="PRE41" s="822"/>
      <c r="PRF41" s="822"/>
      <c r="PRG41" s="822"/>
      <c r="PRH41" s="822"/>
      <c r="PRI41" s="822"/>
      <c r="PRJ41" s="822"/>
      <c r="PRK41" s="822"/>
      <c r="PRL41" s="822"/>
      <c r="PRM41" s="822"/>
      <c r="PRN41" s="822"/>
      <c r="PRO41" s="822"/>
      <c r="PRP41" s="822"/>
      <c r="PRQ41" s="822"/>
      <c r="PRR41" s="822"/>
      <c r="PRS41" s="822"/>
      <c r="PRT41" s="822"/>
      <c r="PRU41" s="822"/>
      <c r="PRV41" s="822"/>
      <c r="PRW41" s="822"/>
      <c r="PRX41" s="822"/>
      <c r="PRY41" s="822"/>
      <c r="PRZ41" s="822"/>
      <c r="PSA41" s="822"/>
      <c r="PSB41" s="822"/>
      <c r="PSC41" s="822"/>
      <c r="PSD41" s="822"/>
      <c r="PSE41" s="822"/>
      <c r="PSF41" s="822"/>
      <c r="PSG41" s="822"/>
      <c r="PSH41" s="822"/>
      <c r="PSI41" s="822"/>
      <c r="PSJ41" s="822"/>
      <c r="PSK41" s="822"/>
      <c r="PSL41" s="822"/>
      <c r="PSM41" s="822"/>
      <c r="PSN41" s="822"/>
      <c r="PSO41" s="822"/>
      <c r="PSP41" s="822"/>
      <c r="PSQ41" s="822"/>
      <c r="PSR41" s="822"/>
      <c r="PSS41" s="822"/>
      <c r="PST41" s="822"/>
      <c r="PSU41" s="822"/>
      <c r="PSV41" s="822"/>
      <c r="PSW41" s="822"/>
      <c r="PSX41" s="822"/>
      <c r="PSY41" s="822"/>
      <c r="PSZ41" s="822"/>
      <c r="PTA41" s="822"/>
      <c r="PTB41" s="822"/>
      <c r="PTC41" s="822"/>
      <c r="PTD41" s="822"/>
      <c r="PTE41" s="822"/>
      <c r="PTF41" s="822"/>
      <c r="PTG41" s="822"/>
      <c r="PTH41" s="822"/>
      <c r="PTI41" s="822"/>
      <c r="PTJ41" s="822"/>
      <c r="PTK41" s="822"/>
      <c r="PTL41" s="822"/>
      <c r="PTM41" s="822"/>
      <c r="PTN41" s="822"/>
      <c r="PTO41" s="822"/>
      <c r="PTP41" s="822"/>
      <c r="PTQ41" s="822"/>
      <c r="PTR41" s="822"/>
      <c r="PTS41" s="822"/>
      <c r="PTT41" s="822"/>
      <c r="PTU41" s="822"/>
      <c r="PTV41" s="822"/>
      <c r="PTW41" s="822"/>
      <c r="PTX41" s="822"/>
      <c r="PTY41" s="822"/>
      <c r="PTZ41" s="822"/>
      <c r="PUA41" s="822"/>
      <c r="PUB41" s="822"/>
      <c r="PUC41" s="822"/>
      <c r="PUD41" s="822"/>
      <c r="PUE41" s="822"/>
      <c r="PUF41" s="822"/>
      <c r="PUG41" s="822"/>
      <c r="PUH41" s="822"/>
      <c r="PUI41" s="822"/>
      <c r="PUJ41" s="822"/>
      <c r="PUK41" s="822"/>
      <c r="PUL41" s="822"/>
      <c r="PUM41" s="822"/>
      <c r="PUN41" s="822"/>
      <c r="PUO41" s="822"/>
      <c r="PUP41" s="822"/>
      <c r="PUQ41" s="822"/>
      <c r="PUR41" s="822"/>
      <c r="PUS41" s="822"/>
      <c r="PUT41" s="822"/>
      <c r="PUU41" s="822"/>
      <c r="PUV41" s="822"/>
      <c r="PUW41" s="822"/>
      <c r="PUX41" s="822"/>
      <c r="PUY41" s="822"/>
      <c r="PUZ41" s="822"/>
      <c r="PVA41" s="822"/>
      <c r="PVB41" s="822"/>
      <c r="PVC41" s="822"/>
      <c r="PVD41" s="822"/>
      <c r="PVE41" s="822"/>
      <c r="PVF41" s="822"/>
      <c r="PVG41" s="822"/>
      <c r="PVH41" s="822"/>
      <c r="PVI41" s="822"/>
      <c r="PVJ41" s="822"/>
      <c r="PVK41" s="822"/>
      <c r="PVL41" s="822"/>
      <c r="PVM41" s="822"/>
      <c r="PVN41" s="822"/>
      <c r="PVO41" s="822"/>
      <c r="PVP41" s="822"/>
      <c r="PVQ41" s="822"/>
      <c r="PVR41" s="822"/>
      <c r="PVS41" s="822"/>
      <c r="PVT41" s="822"/>
      <c r="PVU41" s="822"/>
      <c r="PVV41" s="822"/>
      <c r="PVW41" s="822"/>
      <c r="PVX41" s="822"/>
      <c r="PVY41" s="822"/>
      <c r="PVZ41" s="822"/>
      <c r="PWA41" s="822"/>
      <c r="PWB41" s="822"/>
      <c r="PWC41" s="822"/>
      <c r="PWD41" s="822"/>
      <c r="PWE41" s="822"/>
      <c r="PWF41" s="822"/>
      <c r="PWG41" s="822"/>
      <c r="PWH41" s="822"/>
      <c r="PWI41" s="822"/>
      <c r="PWJ41" s="822"/>
      <c r="PWK41" s="822"/>
      <c r="PWL41" s="822"/>
      <c r="PWM41" s="822"/>
      <c r="PWN41" s="822"/>
      <c r="PWO41" s="822"/>
      <c r="PWP41" s="822"/>
      <c r="PWQ41" s="822"/>
      <c r="PWR41" s="822"/>
      <c r="PWS41" s="822"/>
      <c r="PWT41" s="822"/>
      <c r="PWU41" s="822"/>
      <c r="PWV41" s="822"/>
      <c r="PWW41" s="822"/>
      <c r="PWX41" s="822"/>
      <c r="PWY41" s="822"/>
      <c r="PWZ41" s="822"/>
      <c r="PXA41" s="822"/>
      <c r="PXB41" s="822"/>
      <c r="PXC41" s="822"/>
      <c r="PXD41" s="822"/>
      <c r="PXE41" s="822"/>
      <c r="PXF41" s="822"/>
      <c r="PXG41" s="822"/>
      <c r="PXH41" s="822"/>
      <c r="PXI41" s="822"/>
      <c r="PXJ41" s="822"/>
      <c r="PXK41" s="822"/>
      <c r="PXL41" s="822"/>
      <c r="PXM41" s="822"/>
      <c r="PXN41" s="822"/>
      <c r="PXO41" s="822"/>
      <c r="PXP41" s="822"/>
      <c r="PXQ41" s="822"/>
      <c r="PXR41" s="822"/>
      <c r="PXS41" s="822"/>
      <c r="PXT41" s="822"/>
      <c r="PXU41" s="822"/>
      <c r="PXV41" s="822"/>
      <c r="PXW41" s="822"/>
      <c r="PXX41" s="822"/>
      <c r="PXY41" s="822"/>
      <c r="PXZ41" s="822"/>
      <c r="PYA41" s="822"/>
      <c r="PYB41" s="822"/>
      <c r="PYC41" s="822"/>
      <c r="PYD41" s="822"/>
      <c r="PYE41" s="822"/>
      <c r="PYF41" s="822"/>
      <c r="PYG41" s="822"/>
      <c r="PYH41" s="822"/>
      <c r="PYI41" s="822"/>
      <c r="PYJ41" s="822"/>
      <c r="PYK41" s="822"/>
      <c r="PYL41" s="822"/>
      <c r="PYM41" s="822"/>
      <c r="PYN41" s="822"/>
      <c r="PYO41" s="822"/>
      <c r="PYP41" s="822"/>
      <c r="PYQ41" s="822"/>
      <c r="PYR41" s="822"/>
      <c r="PYS41" s="822"/>
      <c r="PYT41" s="822"/>
      <c r="PYU41" s="822"/>
      <c r="PYV41" s="822"/>
      <c r="PYW41" s="822"/>
      <c r="PYX41" s="822"/>
      <c r="PYY41" s="822"/>
      <c r="PYZ41" s="822"/>
      <c r="PZA41" s="822"/>
      <c r="PZB41" s="822"/>
      <c r="PZC41" s="822"/>
      <c r="PZD41" s="822"/>
      <c r="PZE41" s="822"/>
      <c r="PZF41" s="822"/>
      <c r="PZG41" s="822"/>
      <c r="PZH41" s="822"/>
      <c r="PZI41" s="822"/>
      <c r="PZJ41" s="822"/>
      <c r="PZK41" s="822"/>
      <c r="PZL41" s="822"/>
      <c r="PZM41" s="822"/>
      <c r="PZN41" s="822"/>
      <c r="PZO41" s="822"/>
      <c r="PZP41" s="822"/>
      <c r="PZQ41" s="822"/>
      <c r="PZR41" s="822"/>
      <c r="PZS41" s="822"/>
      <c r="PZT41" s="822"/>
      <c r="PZU41" s="822"/>
      <c r="PZV41" s="822"/>
      <c r="PZW41" s="822"/>
      <c r="PZX41" s="822"/>
      <c r="PZY41" s="822"/>
      <c r="PZZ41" s="822"/>
      <c r="QAA41" s="822"/>
      <c r="QAB41" s="822"/>
      <c r="QAC41" s="822"/>
      <c r="QAD41" s="822"/>
      <c r="QAE41" s="822"/>
      <c r="QAF41" s="822"/>
      <c r="QAG41" s="822"/>
      <c r="QAH41" s="822"/>
      <c r="QAI41" s="822"/>
      <c r="QAJ41" s="822"/>
      <c r="QAK41" s="822"/>
      <c r="QAL41" s="822"/>
      <c r="QAM41" s="822"/>
      <c r="QAN41" s="822"/>
      <c r="QAO41" s="822"/>
      <c r="QAP41" s="822"/>
      <c r="QAQ41" s="822"/>
      <c r="QAR41" s="822"/>
      <c r="QAS41" s="822"/>
      <c r="QAT41" s="822"/>
      <c r="QAU41" s="822"/>
      <c r="QAV41" s="822"/>
      <c r="QAW41" s="822"/>
      <c r="QAX41" s="822"/>
      <c r="QAY41" s="822"/>
      <c r="QAZ41" s="822"/>
      <c r="QBA41" s="822"/>
      <c r="QBB41" s="822"/>
      <c r="QBC41" s="822"/>
      <c r="QBD41" s="822"/>
      <c r="QBE41" s="822"/>
      <c r="QBF41" s="822"/>
      <c r="QBG41" s="822"/>
      <c r="QBH41" s="822"/>
      <c r="QBI41" s="822"/>
      <c r="QBJ41" s="822"/>
      <c r="QBK41" s="822"/>
      <c r="QBL41" s="822"/>
      <c r="QBM41" s="822"/>
      <c r="QBN41" s="822"/>
      <c r="QBO41" s="822"/>
      <c r="QBP41" s="822"/>
      <c r="QBQ41" s="822"/>
      <c r="QBR41" s="822"/>
      <c r="QBS41" s="822"/>
      <c r="QBT41" s="822"/>
      <c r="QBU41" s="822"/>
      <c r="QBV41" s="822"/>
      <c r="QBW41" s="822"/>
      <c r="QBX41" s="822"/>
      <c r="QBY41" s="822"/>
      <c r="QBZ41" s="822"/>
      <c r="QCA41" s="822"/>
      <c r="QCB41" s="822"/>
      <c r="QCC41" s="822"/>
      <c r="QCD41" s="822"/>
      <c r="QCE41" s="822"/>
      <c r="QCF41" s="822"/>
      <c r="QCG41" s="822"/>
      <c r="QCH41" s="822"/>
      <c r="QCI41" s="822"/>
      <c r="QCJ41" s="822"/>
      <c r="QCK41" s="822"/>
      <c r="QCL41" s="822"/>
      <c r="QCM41" s="822"/>
      <c r="QCN41" s="822"/>
      <c r="QCO41" s="822"/>
      <c r="QCP41" s="822"/>
      <c r="QCQ41" s="822"/>
      <c r="QCR41" s="822"/>
      <c r="QCS41" s="822"/>
      <c r="QCT41" s="822"/>
      <c r="QCU41" s="822"/>
      <c r="QCV41" s="822"/>
      <c r="QCW41" s="822"/>
      <c r="QCX41" s="822"/>
      <c r="QCY41" s="822"/>
      <c r="QCZ41" s="822"/>
      <c r="QDA41" s="822"/>
      <c r="QDB41" s="822"/>
      <c r="QDC41" s="822"/>
      <c r="QDD41" s="822"/>
      <c r="QDE41" s="822"/>
      <c r="QDF41" s="822"/>
      <c r="QDG41" s="822"/>
      <c r="QDH41" s="822"/>
      <c r="QDI41" s="822"/>
      <c r="QDJ41" s="822"/>
      <c r="QDK41" s="822"/>
      <c r="QDL41" s="822"/>
      <c r="QDM41" s="822"/>
      <c r="QDN41" s="822"/>
      <c r="QDO41" s="822"/>
      <c r="QDP41" s="822"/>
      <c r="QDQ41" s="822"/>
      <c r="QDR41" s="822"/>
      <c r="QDS41" s="822"/>
      <c r="QDT41" s="822"/>
      <c r="QDU41" s="822"/>
      <c r="QDV41" s="822"/>
      <c r="QDW41" s="822"/>
      <c r="QDX41" s="822"/>
      <c r="QDY41" s="822"/>
      <c r="QDZ41" s="822"/>
      <c r="QEA41" s="822"/>
      <c r="QEB41" s="822"/>
      <c r="QEC41" s="822"/>
      <c r="QED41" s="822"/>
      <c r="QEE41" s="822"/>
      <c r="QEF41" s="822"/>
      <c r="QEG41" s="822"/>
      <c r="QEH41" s="822"/>
      <c r="QEI41" s="822"/>
      <c r="QEJ41" s="822"/>
      <c r="QEK41" s="822"/>
      <c r="QEL41" s="822"/>
      <c r="QEM41" s="822"/>
      <c r="QEN41" s="822"/>
      <c r="QEO41" s="822"/>
      <c r="QEP41" s="822"/>
      <c r="QEQ41" s="822"/>
      <c r="QER41" s="822"/>
      <c r="QES41" s="822"/>
      <c r="QET41" s="822"/>
      <c r="QEU41" s="822"/>
      <c r="QEV41" s="822"/>
      <c r="QEW41" s="822"/>
      <c r="QEX41" s="822"/>
      <c r="QEY41" s="822"/>
      <c r="QEZ41" s="822"/>
      <c r="QFA41" s="822"/>
      <c r="QFB41" s="822"/>
      <c r="QFC41" s="822"/>
      <c r="QFD41" s="822"/>
      <c r="QFE41" s="822"/>
      <c r="QFF41" s="822"/>
      <c r="QFG41" s="822"/>
      <c r="QFH41" s="822"/>
      <c r="QFI41" s="822"/>
      <c r="QFJ41" s="822"/>
      <c r="QFK41" s="822"/>
      <c r="QFL41" s="822"/>
      <c r="QFM41" s="822"/>
      <c r="QFN41" s="822"/>
      <c r="QFO41" s="822"/>
      <c r="QFP41" s="822"/>
      <c r="QFQ41" s="822"/>
      <c r="QFR41" s="822"/>
      <c r="QFS41" s="822"/>
      <c r="QFT41" s="822"/>
      <c r="QFU41" s="822"/>
      <c r="QFV41" s="822"/>
      <c r="QFW41" s="822"/>
      <c r="QFX41" s="822"/>
      <c r="QFY41" s="822"/>
      <c r="QFZ41" s="822"/>
      <c r="QGA41" s="822"/>
      <c r="QGB41" s="822"/>
      <c r="QGC41" s="822"/>
      <c r="QGD41" s="822"/>
      <c r="QGE41" s="822"/>
      <c r="QGF41" s="822"/>
      <c r="QGG41" s="822"/>
      <c r="QGH41" s="822"/>
      <c r="QGI41" s="822"/>
      <c r="QGJ41" s="822"/>
      <c r="QGK41" s="822"/>
      <c r="QGL41" s="822"/>
      <c r="QGM41" s="822"/>
      <c r="QGN41" s="822"/>
      <c r="QGO41" s="822"/>
      <c r="QGP41" s="822"/>
      <c r="QGQ41" s="822"/>
      <c r="QGR41" s="822"/>
      <c r="QGS41" s="822"/>
      <c r="QGT41" s="822"/>
      <c r="QGU41" s="822"/>
      <c r="QGV41" s="822"/>
      <c r="QGW41" s="822"/>
      <c r="QGX41" s="822"/>
      <c r="QGY41" s="822"/>
      <c r="QGZ41" s="822"/>
      <c r="QHA41" s="822"/>
      <c r="QHB41" s="822"/>
      <c r="QHC41" s="822"/>
      <c r="QHD41" s="822"/>
      <c r="QHE41" s="822"/>
      <c r="QHF41" s="822"/>
      <c r="QHG41" s="822"/>
      <c r="QHH41" s="822"/>
      <c r="QHI41" s="822"/>
      <c r="QHJ41" s="822"/>
      <c r="QHK41" s="822"/>
      <c r="QHL41" s="822"/>
      <c r="QHM41" s="822"/>
      <c r="QHN41" s="822"/>
      <c r="QHO41" s="822"/>
      <c r="QHP41" s="822"/>
      <c r="QHQ41" s="822"/>
      <c r="QHR41" s="822"/>
      <c r="QHS41" s="822"/>
      <c r="QHT41" s="822"/>
      <c r="QHU41" s="822"/>
      <c r="QHV41" s="822"/>
      <c r="QHW41" s="822"/>
      <c r="QHX41" s="822"/>
      <c r="QHY41" s="822"/>
      <c r="QHZ41" s="822"/>
      <c r="QIA41" s="822"/>
      <c r="QIB41" s="822"/>
      <c r="QIC41" s="822"/>
      <c r="QID41" s="822"/>
      <c r="QIE41" s="822"/>
      <c r="QIF41" s="822"/>
      <c r="QIG41" s="822"/>
      <c r="QIH41" s="822"/>
      <c r="QII41" s="822"/>
      <c r="QIJ41" s="822"/>
      <c r="QIK41" s="822"/>
      <c r="QIL41" s="822"/>
      <c r="QIM41" s="822"/>
      <c r="QIN41" s="822"/>
      <c r="QIO41" s="822"/>
      <c r="QIP41" s="822"/>
      <c r="QIQ41" s="822"/>
      <c r="QIR41" s="822"/>
      <c r="QIS41" s="822"/>
      <c r="QIT41" s="822"/>
      <c r="QIU41" s="822"/>
      <c r="QIV41" s="822"/>
      <c r="QIW41" s="822"/>
      <c r="QIX41" s="822"/>
      <c r="QIY41" s="822"/>
      <c r="QIZ41" s="822"/>
      <c r="QJA41" s="822"/>
      <c r="QJB41" s="822"/>
      <c r="QJC41" s="822"/>
      <c r="QJD41" s="822"/>
      <c r="QJE41" s="822"/>
      <c r="QJF41" s="822"/>
      <c r="QJG41" s="822"/>
      <c r="QJH41" s="822"/>
      <c r="QJI41" s="822"/>
      <c r="QJJ41" s="822"/>
      <c r="QJK41" s="822"/>
      <c r="QJL41" s="822"/>
      <c r="QJM41" s="822"/>
      <c r="QJN41" s="822"/>
      <c r="QJO41" s="822"/>
      <c r="QJP41" s="822"/>
      <c r="QJQ41" s="822"/>
      <c r="QJR41" s="822"/>
      <c r="QJS41" s="822"/>
      <c r="QJT41" s="822"/>
      <c r="QJU41" s="822"/>
      <c r="QJV41" s="822"/>
      <c r="QJW41" s="822"/>
      <c r="QJX41" s="822"/>
      <c r="QJY41" s="822"/>
      <c r="QJZ41" s="822"/>
      <c r="QKA41" s="822"/>
      <c r="QKB41" s="822"/>
      <c r="QKC41" s="822"/>
      <c r="QKD41" s="822"/>
      <c r="QKE41" s="822"/>
      <c r="QKF41" s="822"/>
      <c r="QKG41" s="822"/>
      <c r="QKH41" s="822"/>
      <c r="QKI41" s="822"/>
      <c r="QKJ41" s="822"/>
      <c r="QKK41" s="822"/>
      <c r="QKL41" s="822"/>
      <c r="QKM41" s="822"/>
      <c r="QKN41" s="822"/>
      <c r="QKO41" s="822"/>
      <c r="QKP41" s="822"/>
      <c r="QKQ41" s="822"/>
      <c r="QKR41" s="822"/>
      <c r="QKS41" s="822"/>
      <c r="QKT41" s="822"/>
      <c r="QKU41" s="822"/>
      <c r="QKV41" s="822"/>
      <c r="QKW41" s="822"/>
      <c r="QKX41" s="822"/>
      <c r="QKY41" s="822"/>
      <c r="QKZ41" s="822"/>
      <c r="QLA41" s="822"/>
      <c r="QLB41" s="822"/>
      <c r="QLC41" s="822"/>
      <c r="QLD41" s="822"/>
      <c r="QLE41" s="822"/>
      <c r="QLF41" s="822"/>
      <c r="QLG41" s="822"/>
      <c r="QLH41" s="822"/>
      <c r="QLI41" s="822"/>
      <c r="QLJ41" s="822"/>
      <c r="QLK41" s="822"/>
      <c r="QLL41" s="822"/>
      <c r="QLM41" s="822"/>
      <c r="QLN41" s="822"/>
      <c r="QLO41" s="822"/>
      <c r="QLP41" s="822"/>
      <c r="QLQ41" s="822"/>
      <c r="QLR41" s="822"/>
      <c r="QLS41" s="822"/>
      <c r="QLT41" s="822"/>
      <c r="QLU41" s="822"/>
      <c r="QLV41" s="822"/>
      <c r="QLW41" s="822"/>
      <c r="QLX41" s="822"/>
      <c r="QLY41" s="822"/>
      <c r="QLZ41" s="822"/>
      <c r="QMA41" s="822"/>
      <c r="QMB41" s="822"/>
      <c r="QMC41" s="822"/>
      <c r="QMD41" s="822"/>
      <c r="QME41" s="822"/>
      <c r="QMF41" s="822"/>
      <c r="QMG41" s="822"/>
      <c r="QMH41" s="822"/>
      <c r="QMI41" s="822"/>
      <c r="QMJ41" s="822"/>
      <c r="QMK41" s="822"/>
      <c r="QML41" s="822"/>
      <c r="QMM41" s="822"/>
      <c r="QMN41" s="822"/>
      <c r="QMO41" s="822"/>
      <c r="QMP41" s="822"/>
      <c r="QMQ41" s="822"/>
      <c r="QMR41" s="822"/>
      <c r="QMS41" s="822"/>
      <c r="QMT41" s="822"/>
      <c r="QMU41" s="822"/>
      <c r="QMV41" s="822"/>
      <c r="QMW41" s="822"/>
      <c r="QMX41" s="822"/>
      <c r="QMY41" s="822"/>
      <c r="QMZ41" s="822"/>
      <c r="QNA41" s="822"/>
      <c r="QNB41" s="822"/>
      <c r="QNC41" s="822"/>
      <c r="QND41" s="822"/>
      <c r="QNE41" s="822"/>
      <c r="QNF41" s="822"/>
      <c r="QNG41" s="822"/>
      <c r="QNH41" s="822"/>
      <c r="QNI41" s="822"/>
      <c r="QNJ41" s="822"/>
      <c r="QNK41" s="822"/>
      <c r="QNL41" s="822"/>
      <c r="QNM41" s="822"/>
      <c r="QNN41" s="822"/>
      <c r="QNO41" s="822"/>
      <c r="QNP41" s="822"/>
      <c r="QNQ41" s="822"/>
      <c r="QNR41" s="822"/>
      <c r="QNS41" s="822"/>
      <c r="QNT41" s="822"/>
      <c r="QNU41" s="822"/>
      <c r="QNV41" s="822"/>
      <c r="QNW41" s="822"/>
      <c r="QNX41" s="822"/>
      <c r="QNY41" s="822"/>
      <c r="QNZ41" s="822"/>
      <c r="QOA41" s="822"/>
      <c r="QOB41" s="822"/>
      <c r="QOC41" s="822"/>
      <c r="QOD41" s="822"/>
      <c r="QOE41" s="822"/>
      <c r="QOF41" s="822"/>
      <c r="QOG41" s="822"/>
      <c r="QOH41" s="822"/>
      <c r="QOI41" s="822"/>
      <c r="QOJ41" s="822"/>
      <c r="QOK41" s="822"/>
      <c r="QOL41" s="822"/>
      <c r="QOM41" s="822"/>
      <c r="QON41" s="822"/>
      <c r="QOO41" s="822"/>
      <c r="QOP41" s="822"/>
      <c r="QOQ41" s="822"/>
      <c r="QOR41" s="822"/>
      <c r="QOS41" s="822"/>
      <c r="QOT41" s="822"/>
      <c r="QOU41" s="822"/>
      <c r="QOV41" s="822"/>
      <c r="QOW41" s="822"/>
      <c r="QOX41" s="822"/>
      <c r="QOY41" s="822"/>
      <c r="QOZ41" s="822"/>
      <c r="QPA41" s="822"/>
      <c r="QPB41" s="822"/>
      <c r="QPC41" s="822"/>
      <c r="QPD41" s="822"/>
      <c r="QPE41" s="822"/>
      <c r="QPF41" s="822"/>
      <c r="QPG41" s="822"/>
      <c r="QPH41" s="822"/>
      <c r="QPI41" s="822"/>
      <c r="QPJ41" s="822"/>
      <c r="QPK41" s="822"/>
      <c r="QPL41" s="822"/>
      <c r="QPM41" s="822"/>
      <c r="QPN41" s="822"/>
      <c r="QPO41" s="822"/>
      <c r="QPP41" s="822"/>
      <c r="QPQ41" s="822"/>
      <c r="QPR41" s="822"/>
      <c r="QPS41" s="822"/>
      <c r="QPT41" s="822"/>
      <c r="QPU41" s="822"/>
      <c r="QPV41" s="822"/>
      <c r="QPW41" s="822"/>
      <c r="QPX41" s="822"/>
      <c r="QPY41" s="822"/>
      <c r="QPZ41" s="822"/>
      <c r="QQA41" s="822"/>
      <c r="QQB41" s="822"/>
      <c r="QQC41" s="822"/>
      <c r="QQD41" s="822"/>
      <c r="QQE41" s="822"/>
      <c r="QQF41" s="822"/>
      <c r="QQG41" s="822"/>
      <c r="QQH41" s="822"/>
      <c r="QQI41" s="822"/>
      <c r="QQJ41" s="822"/>
      <c r="QQK41" s="822"/>
      <c r="QQL41" s="822"/>
      <c r="QQM41" s="822"/>
      <c r="QQN41" s="822"/>
      <c r="QQO41" s="822"/>
      <c r="QQP41" s="822"/>
      <c r="QQQ41" s="822"/>
      <c r="QQR41" s="822"/>
      <c r="QQS41" s="822"/>
      <c r="QQT41" s="822"/>
      <c r="QQU41" s="822"/>
      <c r="QQV41" s="822"/>
      <c r="QQW41" s="822"/>
      <c r="QQX41" s="822"/>
      <c r="QQY41" s="822"/>
      <c r="QQZ41" s="822"/>
      <c r="QRA41" s="822"/>
      <c r="QRB41" s="822"/>
      <c r="QRC41" s="822"/>
      <c r="QRD41" s="822"/>
      <c r="QRE41" s="822"/>
      <c r="QRF41" s="822"/>
      <c r="QRG41" s="822"/>
      <c r="QRH41" s="822"/>
      <c r="QRI41" s="822"/>
      <c r="QRJ41" s="822"/>
      <c r="QRK41" s="822"/>
      <c r="QRL41" s="822"/>
      <c r="QRM41" s="822"/>
      <c r="QRN41" s="822"/>
      <c r="QRO41" s="822"/>
      <c r="QRP41" s="822"/>
      <c r="QRQ41" s="822"/>
      <c r="QRR41" s="822"/>
      <c r="QRS41" s="822"/>
      <c r="QRT41" s="822"/>
      <c r="QRU41" s="822"/>
      <c r="QRV41" s="822"/>
      <c r="QRW41" s="822"/>
      <c r="QRX41" s="822"/>
      <c r="QRY41" s="822"/>
      <c r="QRZ41" s="822"/>
      <c r="QSA41" s="822"/>
      <c r="QSB41" s="822"/>
      <c r="QSC41" s="822"/>
      <c r="QSD41" s="822"/>
      <c r="QSE41" s="822"/>
      <c r="QSF41" s="822"/>
      <c r="QSG41" s="822"/>
      <c r="QSH41" s="822"/>
      <c r="QSI41" s="822"/>
      <c r="QSJ41" s="822"/>
      <c r="QSK41" s="822"/>
      <c r="QSL41" s="822"/>
      <c r="QSM41" s="822"/>
      <c r="QSN41" s="822"/>
      <c r="QSO41" s="822"/>
      <c r="QSP41" s="822"/>
      <c r="QSQ41" s="822"/>
      <c r="QSR41" s="822"/>
      <c r="QSS41" s="822"/>
      <c r="QST41" s="822"/>
      <c r="QSU41" s="822"/>
      <c r="QSV41" s="822"/>
      <c r="QSW41" s="822"/>
      <c r="QSX41" s="822"/>
      <c r="QSY41" s="822"/>
      <c r="QSZ41" s="822"/>
      <c r="QTA41" s="822"/>
      <c r="QTB41" s="822"/>
      <c r="QTC41" s="822"/>
      <c r="QTD41" s="822"/>
      <c r="QTE41" s="822"/>
      <c r="QTF41" s="822"/>
      <c r="QTG41" s="822"/>
      <c r="QTH41" s="822"/>
      <c r="QTI41" s="822"/>
      <c r="QTJ41" s="822"/>
      <c r="QTK41" s="822"/>
      <c r="QTL41" s="822"/>
      <c r="QTM41" s="822"/>
      <c r="QTN41" s="822"/>
      <c r="QTO41" s="822"/>
      <c r="QTP41" s="822"/>
      <c r="QTQ41" s="822"/>
      <c r="QTR41" s="822"/>
      <c r="QTS41" s="822"/>
      <c r="QTT41" s="822"/>
      <c r="QTU41" s="822"/>
      <c r="QTV41" s="822"/>
      <c r="QTW41" s="822"/>
      <c r="QTX41" s="822"/>
      <c r="QTY41" s="822"/>
      <c r="QTZ41" s="822"/>
      <c r="QUA41" s="822"/>
      <c r="QUB41" s="822"/>
      <c r="QUC41" s="822"/>
      <c r="QUD41" s="822"/>
      <c r="QUE41" s="822"/>
      <c r="QUF41" s="822"/>
      <c r="QUG41" s="822"/>
      <c r="QUH41" s="822"/>
      <c r="QUI41" s="822"/>
      <c r="QUJ41" s="822"/>
      <c r="QUK41" s="822"/>
      <c r="QUL41" s="822"/>
      <c r="QUM41" s="822"/>
      <c r="QUN41" s="822"/>
      <c r="QUO41" s="822"/>
      <c r="QUP41" s="822"/>
      <c r="QUQ41" s="822"/>
      <c r="QUR41" s="822"/>
      <c r="QUS41" s="822"/>
      <c r="QUT41" s="822"/>
      <c r="QUU41" s="822"/>
      <c r="QUV41" s="822"/>
      <c r="QUW41" s="822"/>
      <c r="QUX41" s="822"/>
      <c r="QUY41" s="822"/>
      <c r="QUZ41" s="822"/>
      <c r="QVA41" s="822"/>
      <c r="QVB41" s="822"/>
      <c r="QVC41" s="822"/>
      <c r="QVD41" s="822"/>
      <c r="QVE41" s="822"/>
      <c r="QVF41" s="822"/>
      <c r="QVG41" s="822"/>
      <c r="QVH41" s="822"/>
      <c r="QVI41" s="822"/>
      <c r="QVJ41" s="822"/>
      <c r="QVK41" s="822"/>
      <c r="QVL41" s="822"/>
      <c r="QVM41" s="822"/>
      <c r="QVN41" s="822"/>
      <c r="QVO41" s="822"/>
      <c r="QVP41" s="822"/>
      <c r="QVQ41" s="822"/>
      <c r="QVR41" s="822"/>
      <c r="QVS41" s="822"/>
      <c r="QVT41" s="822"/>
      <c r="QVU41" s="822"/>
      <c r="QVV41" s="822"/>
      <c r="QVW41" s="822"/>
      <c r="QVX41" s="822"/>
      <c r="QVY41" s="822"/>
      <c r="QVZ41" s="822"/>
      <c r="QWA41" s="822"/>
      <c r="QWB41" s="822"/>
      <c r="QWC41" s="822"/>
      <c r="QWD41" s="822"/>
      <c r="QWE41" s="822"/>
      <c r="QWF41" s="822"/>
      <c r="QWG41" s="822"/>
      <c r="QWH41" s="822"/>
      <c r="QWI41" s="822"/>
      <c r="QWJ41" s="822"/>
      <c r="QWK41" s="822"/>
      <c r="QWL41" s="822"/>
      <c r="QWM41" s="822"/>
      <c r="QWN41" s="822"/>
      <c r="QWO41" s="822"/>
      <c r="QWP41" s="822"/>
      <c r="QWQ41" s="822"/>
      <c r="QWR41" s="822"/>
      <c r="QWS41" s="822"/>
      <c r="QWT41" s="822"/>
      <c r="QWU41" s="822"/>
      <c r="QWV41" s="822"/>
      <c r="QWW41" s="822"/>
      <c r="QWX41" s="822"/>
      <c r="QWY41" s="822"/>
      <c r="QWZ41" s="822"/>
      <c r="QXA41" s="822"/>
      <c r="QXB41" s="822"/>
      <c r="QXC41" s="822"/>
      <c r="QXD41" s="822"/>
      <c r="QXE41" s="822"/>
      <c r="QXF41" s="822"/>
      <c r="QXG41" s="822"/>
      <c r="QXH41" s="822"/>
      <c r="QXI41" s="822"/>
      <c r="QXJ41" s="822"/>
      <c r="QXK41" s="822"/>
      <c r="QXL41" s="822"/>
      <c r="QXM41" s="822"/>
      <c r="QXN41" s="822"/>
      <c r="QXO41" s="822"/>
      <c r="QXP41" s="822"/>
      <c r="QXQ41" s="822"/>
      <c r="QXR41" s="822"/>
      <c r="QXS41" s="822"/>
      <c r="QXT41" s="822"/>
      <c r="QXU41" s="822"/>
      <c r="QXV41" s="822"/>
      <c r="QXW41" s="822"/>
      <c r="QXX41" s="822"/>
      <c r="QXY41" s="822"/>
      <c r="QXZ41" s="822"/>
      <c r="QYA41" s="822"/>
      <c r="QYB41" s="822"/>
      <c r="QYC41" s="822"/>
      <c r="QYD41" s="822"/>
      <c r="QYE41" s="822"/>
      <c r="QYF41" s="822"/>
      <c r="QYG41" s="822"/>
      <c r="QYH41" s="822"/>
      <c r="QYI41" s="822"/>
      <c r="QYJ41" s="822"/>
      <c r="QYK41" s="822"/>
      <c r="QYL41" s="822"/>
      <c r="QYM41" s="822"/>
      <c r="QYN41" s="822"/>
      <c r="QYO41" s="822"/>
      <c r="QYP41" s="822"/>
      <c r="QYQ41" s="822"/>
      <c r="QYR41" s="822"/>
      <c r="QYS41" s="822"/>
      <c r="QYT41" s="822"/>
      <c r="QYU41" s="822"/>
      <c r="QYV41" s="822"/>
      <c r="QYW41" s="822"/>
      <c r="QYX41" s="822"/>
      <c r="QYY41" s="822"/>
      <c r="QYZ41" s="822"/>
      <c r="QZA41" s="822"/>
      <c r="QZB41" s="822"/>
      <c r="QZC41" s="822"/>
      <c r="QZD41" s="822"/>
      <c r="QZE41" s="822"/>
      <c r="QZF41" s="822"/>
      <c r="QZG41" s="822"/>
      <c r="QZH41" s="822"/>
      <c r="QZI41" s="822"/>
      <c r="QZJ41" s="822"/>
      <c r="QZK41" s="822"/>
      <c r="QZL41" s="822"/>
      <c r="QZM41" s="822"/>
      <c r="QZN41" s="822"/>
      <c r="QZO41" s="822"/>
      <c r="QZP41" s="822"/>
      <c r="QZQ41" s="822"/>
      <c r="QZR41" s="822"/>
      <c r="QZS41" s="822"/>
      <c r="QZT41" s="822"/>
      <c r="QZU41" s="822"/>
      <c r="QZV41" s="822"/>
      <c r="QZW41" s="822"/>
      <c r="QZX41" s="822"/>
      <c r="QZY41" s="822"/>
      <c r="QZZ41" s="822"/>
      <c r="RAA41" s="822"/>
      <c r="RAB41" s="822"/>
      <c r="RAC41" s="822"/>
      <c r="RAD41" s="822"/>
      <c r="RAE41" s="822"/>
      <c r="RAF41" s="822"/>
      <c r="RAG41" s="822"/>
      <c r="RAH41" s="822"/>
      <c r="RAI41" s="822"/>
      <c r="RAJ41" s="822"/>
      <c r="RAK41" s="822"/>
      <c r="RAL41" s="822"/>
      <c r="RAM41" s="822"/>
      <c r="RAN41" s="822"/>
      <c r="RAO41" s="822"/>
      <c r="RAP41" s="822"/>
      <c r="RAQ41" s="822"/>
      <c r="RAR41" s="822"/>
      <c r="RAS41" s="822"/>
      <c r="RAT41" s="822"/>
      <c r="RAU41" s="822"/>
      <c r="RAV41" s="822"/>
      <c r="RAW41" s="822"/>
      <c r="RAX41" s="822"/>
      <c r="RAY41" s="822"/>
      <c r="RAZ41" s="822"/>
      <c r="RBA41" s="822"/>
      <c r="RBB41" s="822"/>
      <c r="RBC41" s="822"/>
      <c r="RBD41" s="822"/>
      <c r="RBE41" s="822"/>
      <c r="RBF41" s="822"/>
      <c r="RBG41" s="822"/>
      <c r="RBH41" s="822"/>
      <c r="RBI41" s="822"/>
      <c r="RBJ41" s="822"/>
      <c r="RBK41" s="822"/>
      <c r="RBL41" s="822"/>
      <c r="RBM41" s="822"/>
      <c r="RBN41" s="822"/>
      <c r="RBO41" s="822"/>
      <c r="RBP41" s="822"/>
      <c r="RBQ41" s="822"/>
      <c r="RBR41" s="822"/>
      <c r="RBS41" s="822"/>
      <c r="RBT41" s="822"/>
      <c r="RBU41" s="822"/>
      <c r="RBV41" s="822"/>
      <c r="RBW41" s="822"/>
      <c r="RBX41" s="822"/>
      <c r="RBY41" s="822"/>
      <c r="RBZ41" s="822"/>
      <c r="RCA41" s="822"/>
      <c r="RCB41" s="822"/>
      <c r="RCC41" s="822"/>
      <c r="RCD41" s="822"/>
      <c r="RCE41" s="822"/>
      <c r="RCF41" s="822"/>
      <c r="RCG41" s="822"/>
      <c r="RCH41" s="822"/>
      <c r="RCI41" s="822"/>
      <c r="RCJ41" s="822"/>
      <c r="RCK41" s="822"/>
      <c r="RCL41" s="822"/>
      <c r="RCM41" s="822"/>
      <c r="RCN41" s="822"/>
      <c r="RCO41" s="822"/>
      <c r="RCP41" s="822"/>
      <c r="RCQ41" s="822"/>
      <c r="RCR41" s="822"/>
      <c r="RCS41" s="822"/>
      <c r="RCT41" s="822"/>
      <c r="RCU41" s="822"/>
      <c r="RCV41" s="822"/>
      <c r="RCW41" s="822"/>
      <c r="RCX41" s="822"/>
      <c r="RCY41" s="822"/>
      <c r="RCZ41" s="822"/>
      <c r="RDA41" s="822"/>
      <c r="RDB41" s="822"/>
      <c r="RDC41" s="822"/>
      <c r="RDD41" s="822"/>
      <c r="RDE41" s="822"/>
      <c r="RDF41" s="822"/>
      <c r="RDG41" s="822"/>
      <c r="RDH41" s="822"/>
      <c r="RDI41" s="822"/>
      <c r="RDJ41" s="822"/>
      <c r="RDK41" s="822"/>
      <c r="RDL41" s="822"/>
      <c r="RDM41" s="822"/>
      <c r="RDN41" s="822"/>
      <c r="RDO41" s="822"/>
      <c r="RDP41" s="822"/>
      <c r="RDQ41" s="822"/>
      <c r="RDR41" s="822"/>
      <c r="RDS41" s="822"/>
      <c r="RDT41" s="822"/>
      <c r="RDU41" s="822"/>
      <c r="RDV41" s="822"/>
      <c r="RDW41" s="822"/>
      <c r="RDX41" s="822"/>
      <c r="RDY41" s="822"/>
      <c r="RDZ41" s="822"/>
      <c r="REA41" s="822"/>
      <c r="REB41" s="822"/>
      <c r="REC41" s="822"/>
      <c r="RED41" s="822"/>
      <c r="REE41" s="822"/>
      <c r="REF41" s="822"/>
      <c r="REG41" s="822"/>
      <c r="REH41" s="822"/>
      <c r="REI41" s="822"/>
      <c r="REJ41" s="822"/>
      <c r="REK41" s="822"/>
      <c r="REL41" s="822"/>
      <c r="REM41" s="822"/>
      <c r="REN41" s="822"/>
      <c r="REO41" s="822"/>
      <c r="REP41" s="822"/>
      <c r="REQ41" s="822"/>
      <c r="RER41" s="822"/>
      <c r="RES41" s="822"/>
      <c r="RET41" s="822"/>
      <c r="REU41" s="822"/>
      <c r="REV41" s="822"/>
      <c r="REW41" s="822"/>
      <c r="REX41" s="822"/>
      <c r="REY41" s="822"/>
      <c r="REZ41" s="822"/>
      <c r="RFA41" s="822"/>
      <c r="RFB41" s="822"/>
      <c r="RFC41" s="822"/>
      <c r="RFD41" s="822"/>
      <c r="RFE41" s="822"/>
      <c r="RFF41" s="822"/>
      <c r="RFG41" s="822"/>
      <c r="RFH41" s="822"/>
      <c r="RFI41" s="822"/>
      <c r="RFJ41" s="822"/>
      <c r="RFK41" s="822"/>
      <c r="RFL41" s="822"/>
      <c r="RFM41" s="822"/>
      <c r="RFN41" s="822"/>
      <c r="RFO41" s="822"/>
      <c r="RFP41" s="822"/>
      <c r="RFQ41" s="822"/>
      <c r="RFR41" s="822"/>
      <c r="RFS41" s="822"/>
      <c r="RFT41" s="822"/>
      <c r="RFU41" s="822"/>
      <c r="RFV41" s="822"/>
      <c r="RFW41" s="822"/>
      <c r="RFX41" s="822"/>
      <c r="RFY41" s="822"/>
      <c r="RFZ41" s="822"/>
      <c r="RGA41" s="822"/>
      <c r="RGB41" s="822"/>
      <c r="RGC41" s="822"/>
      <c r="RGD41" s="822"/>
      <c r="RGE41" s="822"/>
      <c r="RGF41" s="822"/>
      <c r="RGG41" s="822"/>
      <c r="RGH41" s="822"/>
      <c r="RGI41" s="822"/>
      <c r="RGJ41" s="822"/>
      <c r="RGK41" s="822"/>
      <c r="RGL41" s="822"/>
      <c r="RGM41" s="822"/>
      <c r="RGN41" s="822"/>
      <c r="RGO41" s="822"/>
      <c r="RGP41" s="822"/>
      <c r="RGQ41" s="822"/>
      <c r="RGR41" s="822"/>
      <c r="RGS41" s="822"/>
      <c r="RGT41" s="822"/>
      <c r="RGU41" s="822"/>
      <c r="RGV41" s="822"/>
      <c r="RGW41" s="822"/>
      <c r="RGX41" s="822"/>
      <c r="RGY41" s="822"/>
      <c r="RGZ41" s="822"/>
      <c r="RHA41" s="822"/>
      <c r="RHB41" s="822"/>
      <c r="RHC41" s="822"/>
      <c r="RHD41" s="822"/>
      <c r="RHE41" s="822"/>
      <c r="RHF41" s="822"/>
      <c r="RHG41" s="822"/>
      <c r="RHH41" s="822"/>
      <c r="RHI41" s="822"/>
      <c r="RHJ41" s="822"/>
      <c r="RHK41" s="822"/>
      <c r="RHL41" s="822"/>
      <c r="RHM41" s="822"/>
      <c r="RHN41" s="822"/>
      <c r="RHO41" s="822"/>
      <c r="RHP41" s="822"/>
      <c r="RHQ41" s="822"/>
      <c r="RHR41" s="822"/>
      <c r="RHS41" s="822"/>
      <c r="RHT41" s="822"/>
      <c r="RHU41" s="822"/>
      <c r="RHV41" s="822"/>
      <c r="RHW41" s="822"/>
      <c r="RHX41" s="822"/>
      <c r="RHY41" s="822"/>
      <c r="RHZ41" s="822"/>
      <c r="RIA41" s="822"/>
      <c r="RIB41" s="822"/>
      <c r="RIC41" s="822"/>
      <c r="RID41" s="822"/>
      <c r="RIE41" s="822"/>
      <c r="RIF41" s="822"/>
      <c r="RIG41" s="822"/>
      <c r="RIH41" s="822"/>
      <c r="RII41" s="822"/>
      <c r="RIJ41" s="822"/>
      <c r="RIK41" s="822"/>
      <c r="RIL41" s="822"/>
      <c r="RIM41" s="822"/>
      <c r="RIN41" s="822"/>
      <c r="RIO41" s="822"/>
      <c r="RIP41" s="822"/>
      <c r="RIQ41" s="822"/>
      <c r="RIR41" s="822"/>
      <c r="RIS41" s="822"/>
      <c r="RIT41" s="822"/>
      <c r="RIU41" s="822"/>
      <c r="RIV41" s="822"/>
      <c r="RIW41" s="822"/>
      <c r="RIX41" s="822"/>
      <c r="RIY41" s="822"/>
      <c r="RIZ41" s="822"/>
      <c r="RJA41" s="822"/>
      <c r="RJB41" s="822"/>
      <c r="RJC41" s="822"/>
      <c r="RJD41" s="822"/>
      <c r="RJE41" s="822"/>
      <c r="RJF41" s="822"/>
      <c r="RJG41" s="822"/>
      <c r="RJH41" s="822"/>
      <c r="RJI41" s="822"/>
      <c r="RJJ41" s="822"/>
      <c r="RJK41" s="822"/>
      <c r="RJL41" s="822"/>
      <c r="RJM41" s="822"/>
      <c r="RJN41" s="822"/>
      <c r="RJO41" s="822"/>
      <c r="RJP41" s="822"/>
      <c r="RJQ41" s="822"/>
      <c r="RJR41" s="822"/>
      <c r="RJS41" s="822"/>
      <c r="RJT41" s="822"/>
      <c r="RJU41" s="822"/>
      <c r="RJV41" s="822"/>
      <c r="RJW41" s="822"/>
      <c r="RJX41" s="822"/>
      <c r="RJY41" s="822"/>
      <c r="RJZ41" s="822"/>
      <c r="RKA41" s="822"/>
      <c r="RKB41" s="822"/>
      <c r="RKC41" s="822"/>
      <c r="RKD41" s="822"/>
      <c r="RKE41" s="822"/>
      <c r="RKF41" s="822"/>
      <c r="RKG41" s="822"/>
      <c r="RKH41" s="822"/>
      <c r="RKI41" s="822"/>
      <c r="RKJ41" s="822"/>
      <c r="RKK41" s="822"/>
      <c r="RKL41" s="822"/>
      <c r="RKM41" s="822"/>
      <c r="RKN41" s="822"/>
      <c r="RKO41" s="822"/>
      <c r="RKP41" s="822"/>
      <c r="RKQ41" s="822"/>
      <c r="RKR41" s="822"/>
      <c r="RKS41" s="822"/>
      <c r="RKT41" s="822"/>
      <c r="RKU41" s="822"/>
      <c r="RKV41" s="822"/>
      <c r="RKW41" s="822"/>
      <c r="RKX41" s="822"/>
      <c r="RKY41" s="822"/>
      <c r="RKZ41" s="822"/>
      <c r="RLA41" s="822"/>
      <c r="RLB41" s="822"/>
      <c r="RLC41" s="822"/>
      <c r="RLD41" s="822"/>
      <c r="RLE41" s="822"/>
      <c r="RLF41" s="822"/>
      <c r="RLG41" s="822"/>
      <c r="RLH41" s="822"/>
      <c r="RLI41" s="822"/>
      <c r="RLJ41" s="822"/>
      <c r="RLK41" s="822"/>
      <c r="RLL41" s="822"/>
      <c r="RLM41" s="822"/>
      <c r="RLN41" s="822"/>
      <c r="RLO41" s="822"/>
      <c r="RLP41" s="822"/>
      <c r="RLQ41" s="822"/>
      <c r="RLR41" s="822"/>
      <c r="RLS41" s="822"/>
      <c r="RLT41" s="822"/>
      <c r="RLU41" s="822"/>
      <c r="RLV41" s="822"/>
      <c r="RLW41" s="822"/>
      <c r="RLX41" s="822"/>
      <c r="RLY41" s="822"/>
      <c r="RLZ41" s="822"/>
      <c r="RMA41" s="822"/>
      <c r="RMB41" s="822"/>
      <c r="RMC41" s="822"/>
      <c r="RMD41" s="822"/>
      <c r="RME41" s="822"/>
      <c r="RMF41" s="822"/>
      <c r="RMG41" s="822"/>
      <c r="RMH41" s="822"/>
      <c r="RMI41" s="822"/>
      <c r="RMJ41" s="822"/>
      <c r="RMK41" s="822"/>
      <c r="RML41" s="822"/>
      <c r="RMM41" s="822"/>
      <c r="RMN41" s="822"/>
      <c r="RMO41" s="822"/>
      <c r="RMP41" s="822"/>
      <c r="RMQ41" s="822"/>
      <c r="RMR41" s="822"/>
      <c r="RMS41" s="822"/>
      <c r="RMT41" s="822"/>
      <c r="RMU41" s="822"/>
      <c r="RMV41" s="822"/>
      <c r="RMW41" s="822"/>
      <c r="RMX41" s="822"/>
      <c r="RMY41" s="822"/>
      <c r="RMZ41" s="822"/>
      <c r="RNA41" s="822"/>
      <c r="RNB41" s="822"/>
      <c r="RNC41" s="822"/>
      <c r="RND41" s="822"/>
      <c r="RNE41" s="822"/>
      <c r="RNF41" s="822"/>
      <c r="RNG41" s="822"/>
      <c r="RNH41" s="822"/>
      <c r="RNI41" s="822"/>
      <c r="RNJ41" s="822"/>
      <c r="RNK41" s="822"/>
      <c r="RNL41" s="822"/>
      <c r="RNM41" s="822"/>
      <c r="RNN41" s="822"/>
      <c r="RNO41" s="822"/>
      <c r="RNP41" s="822"/>
      <c r="RNQ41" s="822"/>
      <c r="RNR41" s="822"/>
      <c r="RNS41" s="822"/>
      <c r="RNT41" s="822"/>
      <c r="RNU41" s="822"/>
      <c r="RNV41" s="822"/>
      <c r="RNW41" s="822"/>
      <c r="RNX41" s="822"/>
      <c r="RNY41" s="822"/>
      <c r="RNZ41" s="822"/>
      <c r="ROA41" s="822"/>
      <c r="ROB41" s="822"/>
      <c r="ROC41" s="822"/>
      <c r="ROD41" s="822"/>
      <c r="ROE41" s="822"/>
      <c r="ROF41" s="822"/>
      <c r="ROG41" s="822"/>
      <c r="ROH41" s="822"/>
      <c r="ROI41" s="822"/>
      <c r="ROJ41" s="822"/>
      <c r="ROK41" s="822"/>
      <c r="ROL41" s="822"/>
      <c r="ROM41" s="822"/>
      <c r="RON41" s="822"/>
      <c r="ROO41" s="822"/>
      <c r="ROP41" s="822"/>
      <c r="ROQ41" s="822"/>
      <c r="ROR41" s="822"/>
      <c r="ROS41" s="822"/>
      <c r="ROT41" s="822"/>
      <c r="ROU41" s="822"/>
      <c r="ROV41" s="822"/>
      <c r="ROW41" s="822"/>
      <c r="ROX41" s="822"/>
      <c r="ROY41" s="822"/>
      <c r="ROZ41" s="822"/>
      <c r="RPA41" s="822"/>
      <c r="RPB41" s="822"/>
      <c r="RPC41" s="822"/>
      <c r="RPD41" s="822"/>
      <c r="RPE41" s="822"/>
      <c r="RPF41" s="822"/>
      <c r="RPG41" s="822"/>
      <c r="RPH41" s="822"/>
      <c r="RPI41" s="822"/>
      <c r="RPJ41" s="822"/>
      <c r="RPK41" s="822"/>
      <c r="RPL41" s="822"/>
      <c r="RPM41" s="822"/>
      <c r="RPN41" s="822"/>
      <c r="RPO41" s="822"/>
      <c r="RPP41" s="822"/>
      <c r="RPQ41" s="822"/>
      <c r="RPR41" s="822"/>
      <c r="RPS41" s="822"/>
      <c r="RPT41" s="822"/>
      <c r="RPU41" s="822"/>
      <c r="RPV41" s="822"/>
      <c r="RPW41" s="822"/>
      <c r="RPX41" s="822"/>
      <c r="RPY41" s="822"/>
      <c r="RPZ41" s="822"/>
      <c r="RQA41" s="822"/>
      <c r="RQB41" s="822"/>
      <c r="RQC41" s="822"/>
      <c r="RQD41" s="822"/>
      <c r="RQE41" s="822"/>
      <c r="RQF41" s="822"/>
      <c r="RQG41" s="822"/>
      <c r="RQH41" s="822"/>
      <c r="RQI41" s="822"/>
      <c r="RQJ41" s="822"/>
      <c r="RQK41" s="822"/>
      <c r="RQL41" s="822"/>
      <c r="RQM41" s="822"/>
      <c r="RQN41" s="822"/>
      <c r="RQO41" s="822"/>
      <c r="RQP41" s="822"/>
      <c r="RQQ41" s="822"/>
      <c r="RQR41" s="822"/>
      <c r="RQS41" s="822"/>
      <c r="RQT41" s="822"/>
      <c r="RQU41" s="822"/>
      <c r="RQV41" s="822"/>
      <c r="RQW41" s="822"/>
      <c r="RQX41" s="822"/>
      <c r="RQY41" s="822"/>
      <c r="RQZ41" s="822"/>
      <c r="RRA41" s="822"/>
      <c r="RRB41" s="822"/>
      <c r="RRC41" s="822"/>
      <c r="RRD41" s="822"/>
      <c r="RRE41" s="822"/>
      <c r="RRF41" s="822"/>
      <c r="RRG41" s="822"/>
      <c r="RRH41" s="822"/>
      <c r="RRI41" s="822"/>
      <c r="RRJ41" s="822"/>
      <c r="RRK41" s="822"/>
      <c r="RRL41" s="822"/>
      <c r="RRM41" s="822"/>
      <c r="RRN41" s="822"/>
      <c r="RRO41" s="822"/>
      <c r="RRP41" s="822"/>
      <c r="RRQ41" s="822"/>
      <c r="RRR41" s="822"/>
      <c r="RRS41" s="822"/>
      <c r="RRT41" s="822"/>
      <c r="RRU41" s="822"/>
      <c r="RRV41" s="822"/>
      <c r="RRW41" s="822"/>
      <c r="RRX41" s="822"/>
      <c r="RRY41" s="822"/>
      <c r="RRZ41" s="822"/>
      <c r="RSA41" s="822"/>
      <c r="RSB41" s="822"/>
      <c r="RSC41" s="822"/>
      <c r="RSD41" s="822"/>
      <c r="RSE41" s="822"/>
      <c r="RSF41" s="822"/>
      <c r="RSG41" s="822"/>
      <c r="RSH41" s="822"/>
      <c r="RSI41" s="822"/>
      <c r="RSJ41" s="822"/>
      <c r="RSK41" s="822"/>
      <c r="RSL41" s="822"/>
      <c r="RSM41" s="822"/>
      <c r="RSN41" s="822"/>
      <c r="RSO41" s="822"/>
      <c r="RSP41" s="822"/>
      <c r="RSQ41" s="822"/>
      <c r="RSR41" s="822"/>
      <c r="RSS41" s="822"/>
      <c r="RST41" s="822"/>
      <c r="RSU41" s="822"/>
      <c r="RSV41" s="822"/>
      <c r="RSW41" s="822"/>
      <c r="RSX41" s="822"/>
      <c r="RSY41" s="822"/>
      <c r="RSZ41" s="822"/>
      <c r="RTA41" s="822"/>
      <c r="RTB41" s="822"/>
      <c r="RTC41" s="822"/>
      <c r="RTD41" s="822"/>
      <c r="RTE41" s="822"/>
      <c r="RTF41" s="822"/>
      <c r="RTG41" s="822"/>
      <c r="RTH41" s="822"/>
      <c r="RTI41" s="822"/>
      <c r="RTJ41" s="822"/>
      <c r="RTK41" s="822"/>
      <c r="RTL41" s="822"/>
      <c r="RTM41" s="822"/>
      <c r="RTN41" s="822"/>
      <c r="RTO41" s="822"/>
      <c r="RTP41" s="822"/>
      <c r="RTQ41" s="822"/>
      <c r="RTR41" s="822"/>
      <c r="RTS41" s="822"/>
      <c r="RTT41" s="822"/>
      <c r="RTU41" s="822"/>
      <c r="RTV41" s="822"/>
      <c r="RTW41" s="822"/>
      <c r="RTX41" s="822"/>
      <c r="RTY41" s="822"/>
      <c r="RTZ41" s="822"/>
      <c r="RUA41" s="822"/>
      <c r="RUB41" s="822"/>
      <c r="RUC41" s="822"/>
      <c r="RUD41" s="822"/>
      <c r="RUE41" s="822"/>
      <c r="RUF41" s="822"/>
      <c r="RUG41" s="822"/>
      <c r="RUH41" s="822"/>
      <c r="RUI41" s="822"/>
      <c r="RUJ41" s="822"/>
      <c r="RUK41" s="822"/>
      <c r="RUL41" s="822"/>
      <c r="RUM41" s="822"/>
      <c r="RUN41" s="822"/>
      <c r="RUO41" s="822"/>
      <c r="RUP41" s="822"/>
      <c r="RUQ41" s="822"/>
      <c r="RUR41" s="822"/>
      <c r="RUS41" s="822"/>
      <c r="RUT41" s="822"/>
      <c r="RUU41" s="822"/>
      <c r="RUV41" s="822"/>
      <c r="RUW41" s="822"/>
      <c r="RUX41" s="822"/>
      <c r="RUY41" s="822"/>
      <c r="RUZ41" s="822"/>
      <c r="RVA41" s="822"/>
      <c r="RVB41" s="822"/>
      <c r="RVC41" s="822"/>
      <c r="RVD41" s="822"/>
      <c r="RVE41" s="822"/>
      <c r="RVF41" s="822"/>
      <c r="RVG41" s="822"/>
      <c r="RVH41" s="822"/>
      <c r="RVI41" s="822"/>
      <c r="RVJ41" s="822"/>
      <c r="RVK41" s="822"/>
      <c r="RVL41" s="822"/>
      <c r="RVM41" s="822"/>
      <c r="RVN41" s="822"/>
      <c r="RVO41" s="822"/>
      <c r="RVP41" s="822"/>
      <c r="RVQ41" s="822"/>
      <c r="RVR41" s="822"/>
      <c r="RVS41" s="822"/>
      <c r="RVT41" s="822"/>
      <c r="RVU41" s="822"/>
      <c r="RVV41" s="822"/>
      <c r="RVW41" s="822"/>
      <c r="RVX41" s="822"/>
      <c r="RVY41" s="822"/>
      <c r="RVZ41" s="822"/>
      <c r="RWA41" s="822"/>
      <c r="RWB41" s="822"/>
      <c r="RWC41" s="822"/>
      <c r="RWD41" s="822"/>
      <c r="RWE41" s="822"/>
      <c r="RWF41" s="822"/>
      <c r="RWG41" s="822"/>
      <c r="RWH41" s="822"/>
      <c r="RWI41" s="822"/>
      <c r="RWJ41" s="822"/>
      <c r="RWK41" s="822"/>
      <c r="RWL41" s="822"/>
      <c r="RWM41" s="822"/>
      <c r="RWN41" s="822"/>
      <c r="RWO41" s="822"/>
      <c r="RWP41" s="822"/>
      <c r="RWQ41" s="822"/>
      <c r="RWR41" s="822"/>
      <c r="RWS41" s="822"/>
      <c r="RWT41" s="822"/>
      <c r="RWU41" s="822"/>
      <c r="RWV41" s="822"/>
      <c r="RWW41" s="822"/>
      <c r="RWX41" s="822"/>
      <c r="RWY41" s="822"/>
      <c r="RWZ41" s="822"/>
      <c r="RXA41" s="822"/>
      <c r="RXB41" s="822"/>
      <c r="RXC41" s="822"/>
      <c r="RXD41" s="822"/>
      <c r="RXE41" s="822"/>
      <c r="RXF41" s="822"/>
      <c r="RXG41" s="822"/>
      <c r="RXH41" s="822"/>
      <c r="RXI41" s="822"/>
      <c r="RXJ41" s="822"/>
      <c r="RXK41" s="822"/>
      <c r="RXL41" s="822"/>
      <c r="RXM41" s="822"/>
      <c r="RXN41" s="822"/>
      <c r="RXO41" s="822"/>
      <c r="RXP41" s="822"/>
      <c r="RXQ41" s="822"/>
      <c r="RXR41" s="822"/>
      <c r="RXS41" s="822"/>
      <c r="RXT41" s="822"/>
      <c r="RXU41" s="822"/>
      <c r="RXV41" s="822"/>
      <c r="RXW41" s="822"/>
      <c r="RXX41" s="822"/>
      <c r="RXY41" s="822"/>
      <c r="RXZ41" s="822"/>
      <c r="RYA41" s="822"/>
      <c r="RYB41" s="822"/>
      <c r="RYC41" s="822"/>
      <c r="RYD41" s="822"/>
      <c r="RYE41" s="822"/>
      <c r="RYF41" s="822"/>
      <c r="RYG41" s="822"/>
      <c r="RYH41" s="822"/>
      <c r="RYI41" s="822"/>
      <c r="RYJ41" s="822"/>
      <c r="RYK41" s="822"/>
      <c r="RYL41" s="822"/>
      <c r="RYM41" s="822"/>
      <c r="RYN41" s="822"/>
      <c r="RYO41" s="822"/>
      <c r="RYP41" s="822"/>
      <c r="RYQ41" s="822"/>
      <c r="RYR41" s="822"/>
      <c r="RYS41" s="822"/>
      <c r="RYT41" s="822"/>
      <c r="RYU41" s="822"/>
      <c r="RYV41" s="822"/>
      <c r="RYW41" s="822"/>
      <c r="RYX41" s="822"/>
      <c r="RYY41" s="822"/>
      <c r="RYZ41" s="822"/>
      <c r="RZA41" s="822"/>
      <c r="RZB41" s="822"/>
      <c r="RZC41" s="822"/>
      <c r="RZD41" s="822"/>
      <c r="RZE41" s="822"/>
      <c r="RZF41" s="822"/>
      <c r="RZG41" s="822"/>
      <c r="RZH41" s="822"/>
      <c r="RZI41" s="822"/>
      <c r="RZJ41" s="822"/>
      <c r="RZK41" s="822"/>
      <c r="RZL41" s="822"/>
      <c r="RZM41" s="822"/>
      <c r="RZN41" s="822"/>
      <c r="RZO41" s="822"/>
      <c r="RZP41" s="822"/>
      <c r="RZQ41" s="822"/>
      <c r="RZR41" s="822"/>
      <c r="RZS41" s="822"/>
      <c r="RZT41" s="822"/>
      <c r="RZU41" s="822"/>
      <c r="RZV41" s="822"/>
      <c r="RZW41" s="822"/>
      <c r="RZX41" s="822"/>
      <c r="RZY41" s="822"/>
      <c r="RZZ41" s="822"/>
      <c r="SAA41" s="822"/>
      <c r="SAB41" s="822"/>
      <c r="SAC41" s="822"/>
      <c r="SAD41" s="822"/>
      <c r="SAE41" s="822"/>
      <c r="SAF41" s="822"/>
      <c r="SAG41" s="822"/>
      <c r="SAH41" s="822"/>
      <c r="SAI41" s="822"/>
      <c r="SAJ41" s="822"/>
      <c r="SAK41" s="822"/>
      <c r="SAL41" s="822"/>
      <c r="SAM41" s="822"/>
      <c r="SAN41" s="822"/>
      <c r="SAO41" s="822"/>
      <c r="SAP41" s="822"/>
      <c r="SAQ41" s="822"/>
      <c r="SAR41" s="822"/>
      <c r="SAS41" s="822"/>
      <c r="SAT41" s="822"/>
      <c r="SAU41" s="822"/>
      <c r="SAV41" s="822"/>
      <c r="SAW41" s="822"/>
      <c r="SAX41" s="822"/>
      <c r="SAY41" s="822"/>
      <c r="SAZ41" s="822"/>
      <c r="SBA41" s="822"/>
      <c r="SBB41" s="822"/>
      <c r="SBC41" s="822"/>
      <c r="SBD41" s="822"/>
      <c r="SBE41" s="822"/>
      <c r="SBF41" s="822"/>
      <c r="SBG41" s="822"/>
      <c r="SBH41" s="822"/>
      <c r="SBI41" s="822"/>
      <c r="SBJ41" s="822"/>
      <c r="SBK41" s="822"/>
      <c r="SBL41" s="822"/>
      <c r="SBM41" s="822"/>
      <c r="SBN41" s="822"/>
      <c r="SBO41" s="822"/>
      <c r="SBP41" s="822"/>
      <c r="SBQ41" s="822"/>
      <c r="SBR41" s="822"/>
      <c r="SBS41" s="822"/>
      <c r="SBT41" s="822"/>
      <c r="SBU41" s="822"/>
      <c r="SBV41" s="822"/>
      <c r="SBW41" s="822"/>
      <c r="SBX41" s="822"/>
      <c r="SBY41" s="822"/>
      <c r="SBZ41" s="822"/>
      <c r="SCA41" s="822"/>
      <c r="SCB41" s="822"/>
      <c r="SCC41" s="822"/>
      <c r="SCD41" s="822"/>
      <c r="SCE41" s="822"/>
      <c r="SCF41" s="822"/>
      <c r="SCG41" s="822"/>
      <c r="SCH41" s="822"/>
      <c r="SCI41" s="822"/>
      <c r="SCJ41" s="822"/>
      <c r="SCK41" s="822"/>
      <c r="SCL41" s="822"/>
      <c r="SCM41" s="822"/>
      <c r="SCN41" s="822"/>
      <c r="SCO41" s="822"/>
      <c r="SCP41" s="822"/>
      <c r="SCQ41" s="822"/>
      <c r="SCR41" s="822"/>
      <c r="SCS41" s="822"/>
      <c r="SCT41" s="822"/>
      <c r="SCU41" s="822"/>
      <c r="SCV41" s="822"/>
      <c r="SCW41" s="822"/>
      <c r="SCX41" s="822"/>
      <c r="SCY41" s="822"/>
      <c r="SCZ41" s="822"/>
      <c r="SDA41" s="822"/>
      <c r="SDB41" s="822"/>
      <c r="SDC41" s="822"/>
      <c r="SDD41" s="822"/>
      <c r="SDE41" s="822"/>
      <c r="SDF41" s="822"/>
      <c r="SDG41" s="822"/>
      <c r="SDH41" s="822"/>
      <c r="SDI41" s="822"/>
      <c r="SDJ41" s="822"/>
      <c r="SDK41" s="822"/>
      <c r="SDL41" s="822"/>
      <c r="SDM41" s="822"/>
      <c r="SDN41" s="822"/>
      <c r="SDO41" s="822"/>
      <c r="SDP41" s="822"/>
      <c r="SDQ41" s="822"/>
      <c r="SDR41" s="822"/>
      <c r="SDS41" s="822"/>
      <c r="SDT41" s="822"/>
      <c r="SDU41" s="822"/>
      <c r="SDV41" s="822"/>
      <c r="SDW41" s="822"/>
      <c r="SDX41" s="822"/>
      <c r="SDY41" s="822"/>
      <c r="SDZ41" s="822"/>
      <c r="SEA41" s="822"/>
      <c r="SEB41" s="822"/>
      <c r="SEC41" s="822"/>
      <c r="SED41" s="822"/>
      <c r="SEE41" s="822"/>
      <c r="SEF41" s="822"/>
      <c r="SEG41" s="822"/>
      <c r="SEH41" s="822"/>
      <c r="SEI41" s="822"/>
      <c r="SEJ41" s="822"/>
      <c r="SEK41" s="822"/>
      <c r="SEL41" s="822"/>
      <c r="SEM41" s="822"/>
      <c r="SEN41" s="822"/>
      <c r="SEO41" s="822"/>
      <c r="SEP41" s="822"/>
      <c r="SEQ41" s="822"/>
      <c r="SER41" s="822"/>
      <c r="SES41" s="822"/>
      <c r="SET41" s="822"/>
      <c r="SEU41" s="822"/>
      <c r="SEV41" s="822"/>
      <c r="SEW41" s="822"/>
      <c r="SEX41" s="822"/>
      <c r="SEY41" s="822"/>
      <c r="SEZ41" s="822"/>
      <c r="SFA41" s="822"/>
      <c r="SFB41" s="822"/>
      <c r="SFC41" s="822"/>
      <c r="SFD41" s="822"/>
      <c r="SFE41" s="822"/>
      <c r="SFF41" s="822"/>
      <c r="SFG41" s="822"/>
      <c r="SFH41" s="822"/>
      <c r="SFI41" s="822"/>
      <c r="SFJ41" s="822"/>
      <c r="SFK41" s="822"/>
      <c r="SFL41" s="822"/>
      <c r="SFM41" s="822"/>
      <c r="SFN41" s="822"/>
      <c r="SFO41" s="822"/>
      <c r="SFP41" s="822"/>
      <c r="SFQ41" s="822"/>
      <c r="SFR41" s="822"/>
      <c r="SFS41" s="822"/>
      <c r="SFT41" s="822"/>
      <c r="SFU41" s="822"/>
      <c r="SFV41" s="822"/>
      <c r="SFW41" s="822"/>
      <c r="SFX41" s="822"/>
      <c r="SFY41" s="822"/>
      <c r="SFZ41" s="822"/>
      <c r="SGA41" s="822"/>
      <c r="SGB41" s="822"/>
      <c r="SGC41" s="822"/>
      <c r="SGD41" s="822"/>
      <c r="SGE41" s="822"/>
      <c r="SGF41" s="822"/>
      <c r="SGG41" s="822"/>
      <c r="SGH41" s="822"/>
      <c r="SGI41" s="822"/>
      <c r="SGJ41" s="822"/>
      <c r="SGK41" s="822"/>
      <c r="SGL41" s="822"/>
      <c r="SGM41" s="822"/>
      <c r="SGN41" s="822"/>
      <c r="SGO41" s="822"/>
      <c r="SGP41" s="822"/>
      <c r="SGQ41" s="822"/>
      <c r="SGR41" s="822"/>
      <c r="SGS41" s="822"/>
      <c r="SGT41" s="822"/>
      <c r="SGU41" s="822"/>
      <c r="SGV41" s="822"/>
      <c r="SGW41" s="822"/>
      <c r="SGX41" s="822"/>
      <c r="SGY41" s="822"/>
      <c r="SGZ41" s="822"/>
      <c r="SHA41" s="822"/>
      <c r="SHB41" s="822"/>
      <c r="SHC41" s="822"/>
      <c r="SHD41" s="822"/>
      <c r="SHE41" s="822"/>
      <c r="SHF41" s="822"/>
      <c r="SHG41" s="822"/>
      <c r="SHH41" s="822"/>
      <c r="SHI41" s="822"/>
      <c r="SHJ41" s="822"/>
      <c r="SHK41" s="822"/>
      <c r="SHL41" s="822"/>
      <c r="SHM41" s="822"/>
      <c r="SHN41" s="822"/>
      <c r="SHO41" s="822"/>
      <c r="SHP41" s="822"/>
      <c r="SHQ41" s="822"/>
      <c r="SHR41" s="822"/>
      <c r="SHS41" s="822"/>
      <c r="SHT41" s="822"/>
      <c r="SHU41" s="822"/>
      <c r="SHV41" s="822"/>
      <c r="SHW41" s="822"/>
      <c r="SHX41" s="822"/>
      <c r="SHY41" s="822"/>
      <c r="SHZ41" s="822"/>
      <c r="SIA41" s="822"/>
      <c r="SIB41" s="822"/>
      <c r="SIC41" s="822"/>
      <c r="SID41" s="822"/>
      <c r="SIE41" s="822"/>
      <c r="SIF41" s="822"/>
      <c r="SIG41" s="822"/>
      <c r="SIH41" s="822"/>
      <c r="SII41" s="822"/>
      <c r="SIJ41" s="822"/>
      <c r="SIK41" s="822"/>
      <c r="SIL41" s="822"/>
      <c r="SIM41" s="822"/>
      <c r="SIN41" s="822"/>
      <c r="SIO41" s="822"/>
      <c r="SIP41" s="822"/>
      <c r="SIQ41" s="822"/>
      <c r="SIR41" s="822"/>
      <c r="SIS41" s="822"/>
      <c r="SIT41" s="822"/>
      <c r="SIU41" s="822"/>
      <c r="SIV41" s="822"/>
      <c r="SIW41" s="822"/>
      <c r="SIX41" s="822"/>
      <c r="SIY41" s="822"/>
      <c r="SIZ41" s="822"/>
      <c r="SJA41" s="822"/>
      <c r="SJB41" s="822"/>
      <c r="SJC41" s="822"/>
      <c r="SJD41" s="822"/>
      <c r="SJE41" s="822"/>
      <c r="SJF41" s="822"/>
      <c r="SJG41" s="822"/>
      <c r="SJH41" s="822"/>
      <c r="SJI41" s="822"/>
      <c r="SJJ41" s="822"/>
      <c r="SJK41" s="822"/>
      <c r="SJL41" s="822"/>
      <c r="SJM41" s="822"/>
      <c r="SJN41" s="822"/>
      <c r="SJO41" s="822"/>
      <c r="SJP41" s="822"/>
      <c r="SJQ41" s="822"/>
      <c r="SJR41" s="822"/>
      <c r="SJS41" s="822"/>
      <c r="SJT41" s="822"/>
      <c r="SJU41" s="822"/>
      <c r="SJV41" s="822"/>
      <c r="SJW41" s="822"/>
      <c r="SJX41" s="822"/>
      <c r="SJY41" s="822"/>
      <c r="SJZ41" s="822"/>
      <c r="SKA41" s="822"/>
      <c r="SKB41" s="822"/>
      <c r="SKC41" s="822"/>
      <c r="SKD41" s="822"/>
      <c r="SKE41" s="822"/>
      <c r="SKF41" s="822"/>
      <c r="SKG41" s="822"/>
      <c r="SKH41" s="822"/>
      <c r="SKI41" s="822"/>
      <c r="SKJ41" s="822"/>
      <c r="SKK41" s="822"/>
      <c r="SKL41" s="822"/>
      <c r="SKM41" s="822"/>
      <c r="SKN41" s="822"/>
      <c r="SKO41" s="822"/>
      <c r="SKP41" s="822"/>
      <c r="SKQ41" s="822"/>
      <c r="SKR41" s="822"/>
      <c r="SKS41" s="822"/>
      <c r="SKT41" s="822"/>
      <c r="SKU41" s="822"/>
      <c r="SKV41" s="822"/>
      <c r="SKW41" s="822"/>
      <c r="SKX41" s="822"/>
      <c r="SKY41" s="822"/>
      <c r="SKZ41" s="822"/>
      <c r="SLA41" s="822"/>
      <c r="SLB41" s="822"/>
      <c r="SLC41" s="822"/>
      <c r="SLD41" s="822"/>
      <c r="SLE41" s="822"/>
      <c r="SLF41" s="822"/>
      <c r="SLG41" s="822"/>
      <c r="SLH41" s="822"/>
      <c r="SLI41" s="822"/>
      <c r="SLJ41" s="822"/>
      <c r="SLK41" s="822"/>
      <c r="SLL41" s="822"/>
      <c r="SLM41" s="822"/>
      <c r="SLN41" s="822"/>
      <c r="SLO41" s="822"/>
      <c r="SLP41" s="822"/>
      <c r="SLQ41" s="822"/>
      <c r="SLR41" s="822"/>
      <c r="SLS41" s="822"/>
      <c r="SLT41" s="822"/>
      <c r="SLU41" s="822"/>
      <c r="SLV41" s="822"/>
      <c r="SLW41" s="822"/>
      <c r="SLX41" s="822"/>
      <c r="SLY41" s="822"/>
      <c r="SLZ41" s="822"/>
      <c r="SMA41" s="822"/>
      <c r="SMB41" s="822"/>
      <c r="SMC41" s="822"/>
      <c r="SMD41" s="822"/>
      <c r="SME41" s="822"/>
      <c r="SMF41" s="822"/>
      <c r="SMG41" s="822"/>
      <c r="SMH41" s="822"/>
      <c r="SMI41" s="822"/>
      <c r="SMJ41" s="822"/>
      <c r="SMK41" s="822"/>
      <c r="SML41" s="822"/>
      <c r="SMM41" s="822"/>
      <c r="SMN41" s="822"/>
      <c r="SMO41" s="822"/>
      <c r="SMP41" s="822"/>
      <c r="SMQ41" s="822"/>
      <c r="SMR41" s="822"/>
      <c r="SMS41" s="822"/>
      <c r="SMT41" s="822"/>
      <c r="SMU41" s="822"/>
      <c r="SMV41" s="822"/>
      <c r="SMW41" s="822"/>
      <c r="SMX41" s="822"/>
      <c r="SMY41" s="822"/>
      <c r="SMZ41" s="822"/>
      <c r="SNA41" s="822"/>
      <c r="SNB41" s="822"/>
      <c r="SNC41" s="822"/>
      <c r="SND41" s="822"/>
      <c r="SNE41" s="822"/>
      <c r="SNF41" s="822"/>
      <c r="SNG41" s="822"/>
      <c r="SNH41" s="822"/>
      <c r="SNI41" s="822"/>
      <c r="SNJ41" s="822"/>
      <c r="SNK41" s="822"/>
      <c r="SNL41" s="822"/>
      <c r="SNM41" s="822"/>
      <c r="SNN41" s="822"/>
      <c r="SNO41" s="822"/>
      <c r="SNP41" s="822"/>
      <c r="SNQ41" s="822"/>
      <c r="SNR41" s="822"/>
      <c r="SNS41" s="822"/>
      <c r="SNT41" s="822"/>
      <c r="SNU41" s="822"/>
      <c r="SNV41" s="822"/>
      <c r="SNW41" s="822"/>
      <c r="SNX41" s="822"/>
      <c r="SNY41" s="822"/>
      <c r="SNZ41" s="822"/>
      <c r="SOA41" s="822"/>
      <c r="SOB41" s="822"/>
      <c r="SOC41" s="822"/>
      <c r="SOD41" s="822"/>
      <c r="SOE41" s="822"/>
      <c r="SOF41" s="822"/>
      <c r="SOG41" s="822"/>
      <c r="SOH41" s="822"/>
      <c r="SOI41" s="822"/>
      <c r="SOJ41" s="822"/>
      <c r="SOK41" s="822"/>
      <c r="SOL41" s="822"/>
      <c r="SOM41" s="822"/>
      <c r="SON41" s="822"/>
      <c r="SOO41" s="822"/>
      <c r="SOP41" s="822"/>
      <c r="SOQ41" s="822"/>
      <c r="SOR41" s="822"/>
      <c r="SOS41" s="822"/>
      <c r="SOT41" s="822"/>
      <c r="SOU41" s="822"/>
      <c r="SOV41" s="822"/>
      <c r="SOW41" s="822"/>
      <c r="SOX41" s="822"/>
      <c r="SOY41" s="822"/>
      <c r="SOZ41" s="822"/>
      <c r="SPA41" s="822"/>
      <c r="SPB41" s="822"/>
      <c r="SPC41" s="822"/>
      <c r="SPD41" s="822"/>
      <c r="SPE41" s="822"/>
      <c r="SPF41" s="822"/>
      <c r="SPG41" s="822"/>
      <c r="SPH41" s="822"/>
      <c r="SPI41" s="822"/>
      <c r="SPJ41" s="822"/>
      <c r="SPK41" s="822"/>
      <c r="SPL41" s="822"/>
      <c r="SPM41" s="822"/>
      <c r="SPN41" s="822"/>
      <c r="SPO41" s="822"/>
      <c r="SPP41" s="822"/>
      <c r="SPQ41" s="822"/>
      <c r="SPR41" s="822"/>
      <c r="SPS41" s="822"/>
      <c r="SPT41" s="822"/>
      <c r="SPU41" s="822"/>
      <c r="SPV41" s="822"/>
      <c r="SPW41" s="822"/>
      <c r="SPX41" s="822"/>
      <c r="SPY41" s="822"/>
      <c r="SPZ41" s="822"/>
      <c r="SQA41" s="822"/>
      <c r="SQB41" s="822"/>
      <c r="SQC41" s="822"/>
      <c r="SQD41" s="822"/>
      <c r="SQE41" s="822"/>
      <c r="SQF41" s="822"/>
      <c r="SQG41" s="822"/>
      <c r="SQH41" s="822"/>
      <c r="SQI41" s="822"/>
      <c r="SQJ41" s="822"/>
      <c r="SQK41" s="822"/>
      <c r="SQL41" s="822"/>
      <c r="SQM41" s="822"/>
      <c r="SQN41" s="822"/>
      <c r="SQO41" s="822"/>
      <c r="SQP41" s="822"/>
      <c r="SQQ41" s="822"/>
      <c r="SQR41" s="822"/>
      <c r="SQS41" s="822"/>
      <c r="SQT41" s="822"/>
      <c r="SQU41" s="822"/>
      <c r="SQV41" s="822"/>
      <c r="SQW41" s="822"/>
      <c r="SQX41" s="822"/>
      <c r="SQY41" s="822"/>
      <c r="SQZ41" s="822"/>
      <c r="SRA41" s="822"/>
      <c r="SRB41" s="822"/>
      <c r="SRC41" s="822"/>
      <c r="SRD41" s="822"/>
      <c r="SRE41" s="822"/>
      <c r="SRF41" s="822"/>
      <c r="SRG41" s="822"/>
      <c r="SRH41" s="822"/>
      <c r="SRI41" s="822"/>
      <c r="SRJ41" s="822"/>
      <c r="SRK41" s="822"/>
      <c r="SRL41" s="822"/>
      <c r="SRM41" s="822"/>
      <c r="SRN41" s="822"/>
      <c r="SRO41" s="822"/>
      <c r="SRP41" s="822"/>
      <c r="SRQ41" s="822"/>
      <c r="SRR41" s="822"/>
      <c r="SRS41" s="822"/>
      <c r="SRT41" s="822"/>
      <c r="SRU41" s="822"/>
      <c r="SRV41" s="822"/>
      <c r="SRW41" s="822"/>
      <c r="SRX41" s="822"/>
      <c r="SRY41" s="822"/>
      <c r="SRZ41" s="822"/>
      <c r="SSA41" s="822"/>
      <c r="SSB41" s="822"/>
      <c r="SSC41" s="822"/>
      <c r="SSD41" s="822"/>
      <c r="SSE41" s="822"/>
      <c r="SSF41" s="822"/>
      <c r="SSG41" s="822"/>
      <c r="SSH41" s="822"/>
      <c r="SSI41" s="822"/>
      <c r="SSJ41" s="822"/>
      <c r="SSK41" s="822"/>
      <c r="SSL41" s="822"/>
      <c r="SSM41" s="822"/>
      <c r="SSN41" s="822"/>
      <c r="SSO41" s="822"/>
      <c r="SSP41" s="822"/>
      <c r="SSQ41" s="822"/>
      <c r="SSR41" s="822"/>
      <c r="SSS41" s="822"/>
      <c r="SST41" s="822"/>
      <c r="SSU41" s="822"/>
      <c r="SSV41" s="822"/>
      <c r="SSW41" s="822"/>
      <c r="SSX41" s="822"/>
      <c r="SSY41" s="822"/>
      <c r="SSZ41" s="822"/>
      <c r="STA41" s="822"/>
      <c r="STB41" s="822"/>
      <c r="STC41" s="822"/>
      <c r="STD41" s="822"/>
      <c r="STE41" s="822"/>
      <c r="STF41" s="822"/>
      <c r="STG41" s="822"/>
      <c r="STH41" s="822"/>
      <c r="STI41" s="822"/>
      <c r="STJ41" s="822"/>
      <c r="STK41" s="822"/>
      <c r="STL41" s="822"/>
      <c r="STM41" s="822"/>
      <c r="STN41" s="822"/>
      <c r="STO41" s="822"/>
      <c r="STP41" s="822"/>
      <c r="STQ41" s="822"/>
      <c r="STR41" s="822"/>
      <c r="STS41" s="822"/>
      <c r="STT41" s="822"/>
      <c r="STU41" s="822"/>
      <c r="STV41" s="822"/>
      <c r="STW41" s="822"/>
      <c r="STX41" s="822"/>
      <c r="STY41" s="822"/>
      <c r="STZ41" s="822"/>
      <c r="SUA41" s="822"/>
      <c r="SUB41" s="822"/>
      <c r="SUC41" s="822"/>
      <c r="SUD41" s="822"/>
      <c r="SUE41" s="822"/>
      <c r="SUF41" s="822"/>
      <c r="SUG41" s="822"/>
      <c r="SUH41" s="822"/>
      <c r="SUI41" s="822"/>
      <c r="SUJ41" s="822"/>
      <c r="SUK41" s="822"/>
      <c r="SUL41" s="822"/>
      <c r="SUM41" s="822"/>
      <c r="SUN41" s="822"/>
      <c r="SUO41" s="822"/>
      <c r="SUP41" s="822"/>
      <c r="SUQ41" s="822"/>
      <c r="SUR41" s="822"/>
      <c r="SUS41" s="822"/>
      <c r="SUT41" s="822"/>
      <c r="SUU41" s="822"/>
      <c r="SUV41" s="822"/>
      <c r="SUW41" s="822"/>
      <c r="SUX41" s="822"/>
      <c r="SUY41" s="822"/>
      <c r="SUZ41" s="822"/>
      <c r="SVA41" s="822"/>
      <c r="SVB41" s="822"/>
      <c r="SVC41" s="822"/>
      <c r="SVD41" s="822"/>
      <c r="SVE41" s="822"/>
      <c r="SVF41" s="822"/>
      <c r="SVG41" s="822"/>
      <c r="SVH41" s="822"/>
      <c r="SVI41" s="822"/>
      <c r="SVJ41" s="822"/>
      <c r="SVK41" s="822"/>
      <c r="SVL41" s="822"/>
      <c r="SVM41" s="822"/>
      <c r="SVN41" s="822"/>
      <c r="SVO41" s="822"/>
      <c r="SVP41" s="822"/>
      <c r="SVQ41" s="822"/>
      <c r="SVR41" s="822"/>
      <c r="SVS41" s="822"/>
      <c r="SVT41" s="822"/>
      <c r="SVU41" s="822"/>
      <c r="SVV41" s="822"/>
      <c r="SVW41" s="822"/>
      <c r="SVX41" s="822"/>
      <c r="SVY41" s="822"/>
      <c r="SVZ41" s="822"/>
      <c r="SWA41" s="822"/>
      <c r="SWB41" s="822"/>
      <c r="SWC41" s="822"/>
      <c r="SWD41" s="822"/>
      <c r="SWE41" s="822"/>
      <c r="SWF41" s="822"/>
      <c r="SWG41" s="822"/>
      <c r="SWH41" s="822"/>
      <c r="SWI41" s="822"/>
      <c r="SWJ41" s="822"/>
      <c r="SWK41" s="822"/>
      <c r="SWL41" s="822"/>
      <c r="SWM41" s="822"/>
      <c r="SWN41" s="822"/>
      <c r="SWO41" s="822"/>
      <c r="SWP41" s="822"/>
      <c r="SWQ41" s="822"/>
      <c r="SWR41" s="822"/>
      <c r="SWS41" s="822"/>
      <c r="SWT41" s="822"/>
      <c r="SWU41" s="822"/>
      <c r="SWV41" s="822"/>
      <c r="SWW41" s="822"/>
      <c r="SWX41" s="822"/>
      <c r="SWY41" s="822"/>
      <c r="SWZ41" s="822"/>
      <c r="SXA41" s="822"/>
      <c r="SXB41" s="822"/>
      <c r="SXC41" s="822"/>
      <c r="SXD41" s="822"/>
      <c r="SXE41" s="822"/>
      <c r="SXF41" s="822"/>
      <c r="SXG41" s="822"/>
      <c r="SXH41" s="822"/>
      <c r="SXI41" s="822"/>
      <c r="SXJ41" s="822"/>
      <c r="SXK41" s="822"/>
      <c r="SXL41" s="822"/>
      <c r="SXM41" s="822"/>
      <c r="SXN41" s="822"/>
      <c r="SXO41" s="822"/>
      <c r="SXP41" s="822"/>
      <c r="SXQ41" s="822"/>
      <c r="SXR41" s="822"/>
      <c r="SXS41" s="822"/>
      <c r="SXT41" s="822"/>
      <c r="SXU41" s="822"/>
      <c r="SXV41" s="822"/>
      <c r="SXW41" s="822"/>
      <c r="SXX41" s="822"/>
      <c r="SXY41" s="822"/>
      <c r="SXZ41" s="822"/>
      <c r="SYA41" s="822"/>
      <c r="SYB41" s="822"/>
      <c r="SYC41" s="822"/>
      <c r="SYD41" s="822"/>
      <c r="SYE41" s="822"/>
      <c r="SYF41" s="822"/>
      <c r="SYG41" s="822"/>
      <c r="SYH41" s="822"/>
      <c r="SYI41" s="822"/>
      <c r="SYJ41" s="822"/>
      <c r="SYK41" s="822"/>
      <c r="SYL41" s="822"/>
      <c r="SYM41" s="822"/>
      <c r="SYN41" s="822"/>
      <c r="SYO41" s="822"/>
      <c r="SYP41" s="822"/>
      <c r="SYQ41" s="822"/>
      <c r="SYR41" s="822"/>
      <c r="SYS41" s="822"/>
      <c r="SYT41" s="822"/>
      <c r="SYU41" s="822"/>
      <c r="SYV41" s="822"/>
      <c r="SYW41" s="822"/>
      <c r="SYX41" s="822"/>
      <c r="SYY41" s="822"/>
      <c r="SYZ41" s="822"/>
      <c r="SZA41" s="822"/>
      <c r="SZB41" s="822"/>
      <c r="SZC41" s="822"/>
      <c r="SZD41" s="822"/>
      <c r="SZE41" s="822"/>
      <c r="SZF41" s="822"/>
      <c r="SZG41" s="822"/>
      <c r="SZH41" s="822"/>
      <c r="SZI41" s="822"/>
      <c r="SZJ41" s="822"/>
      <c r="SZK41" s="822"/>
      <c r="SZL41" s="822"/>
      <c r="SZM41" s="822"/>
      <c r="SZN41" s="822"/>
      <c r="SZO41" s="822"/>
      <c r="SZP41" s="822"/>
      <c r="SZQ41" s="822"/>
      <c r="SZR41" s="822"/>
      <c r="SZS41" s="822"/>
      <c r="SZT41" s="822"/>
      <c r="SZU41" s="822"/>
      <c r="SZV41" s="822"/>
      <c r="SZW41" s="822"/>
      <c r="SZX41" s="822"/>
      <c r="SZY41" s="822"/>
      <c r="SZZ41" s="822"/>
      <c r="TAA41" s="822"/>
      <c r="TAB41" s="822"/>
      <c r="TAC41" s="822"/>
      <c r="TAD41" s="822"/>
      <c r="TAE41" s="822"/>
      <c r="TAF41" s="822"/>
      <c r="TAG41" s="822"/>
      <c r="TAH41" s="822"/>
      <c r="TAI41" s="822"/>
      <c r="TAJ41" s="822"/>
      <c r="TAK41" s="822"/>
      <c r="TAL41" s="822"/>
      <c r="TAM41" s="822"/>
      <c r="TAN41" s="822"/>
      <c r="TAO41" s="822"/>
      <c r="TAP41" s="822"/>
      <c r="TAQ41" s="822"/>
      <c r="TAR41" s="822"/>
      <c r="TAS41" s="822"/>
      <c r="TAT41" s="822"/>
      <c r="TAU41" s="822"/>
      <c r="TAV41" s="822"/>
      <c r="TAW41" s="822"/>
      <c r="TAX41" s="822"/>
      <c r="TAY41" s="822"/>
      <c r="TAZ41" s="822"/>
      <c r="TBA41" s="822"/>
      <c r="TBB41" s="822"/>
      <c r="TBC41" s="822"/>
      <c r="TBD41" s="822"/>
      <c r="TBE41" s="822"/>
      <c r="TBF41" s="822"/>
      <c r="TBG41" s="822"/>
      <c r="TBH41" s="822"/>
      <c r="TBI41" s="822"/>
      <c r="TBJ41" s="822"/>
      <c r="TBK41" s="822"/>
      <c r="TBL41" s="822"/>
      <c r="TBM41" s="822"/>
      <c r="TBN41" s="822"/>
      <c r="TBO41" s="822"/>
      <c r="TBP41" s="822"/>
      <c r="TBQ41" s="822"/>
      <c r="TBR41" s="822"/>
      <c r="TBS41" s="822"/>
      <c r="TBT41" s="822"/>
      <c r="TBU41" s="822"/>
      <c r="TBV41" s="822"/>
      <c r="TBW41" s="822"/>
      <c r="TBX41" s="822"/>
      <c r="TBY41" s="822"/>
      <c r="TBZ41" s="822"/>
      <c r="TCA41" s="822"/>
      <c r="TCB41" s="822"/>
      <c r="TCC41" s="822"/>
      <c r="TCD41" s="822"/>
      <c r="TCE41" s="822"/>
      <c r="TCF41" s="822"/>
      <c r="TCG41" s="822"/>
      <c r="TCH41" s="822"/>
      <c r="TCI41" s="822"/>
      <c r="TCJ41" s="822"/>
      <c r="TCK41" s="822"/>
      <c r="TCL41" s="822"/>
      <c r="TCM41" s="822"/>
      <c r="TCN41" s="822"/>
      <c r="TCO41" s="822"/>
      <c r="TCP41" s="822"/>
      <c r="TCQ41" s="822"/>
      <c r="TCR41" s="822"/>
      <c r="TCS41" s="822"/>
      <c r="TCT41" s="822"/>
      <c r="TCU41" s="822"/>
      <c r="TCV41" s="822"/>
      <c r="TCW41" s="822"/>
      <c r="TCX41" s="822"/>
      <c r="TCY41" s="822"/>
      <c r="TCZ41" s="822"/>
      <c r="TDA41" s="822"/>
      <c r="TDB41" s="822"/>
      <c r="TDC41" s="822"/>
      <c r="TDD41" s="822"/>
      <c r="TDE41" s="822"/>
      <c r="TDF41" s="822"/>
      <c r="TDG41" s="822"/>
      <c r="TDH41" s="822"/>
      <c r="TDI41" s="822"/>
      <c r="TDJ41" s="822"/>
      <c r="TDK41" s="822"/>
      <c r="TDL41" s="822"/>
      <c r="TDM41" s="822"/>
      <c r="TDN41" s="822"/>
      <c r="TDO41" s="822"/>
      <c r="TDP41" s="822"/>
      <c r="TDQ41" s="822"/>
      <c r="TDR41" s="822"/>
      <c r="TDS41" s="822"/>
      <c r="TDT41" s="822"/>
      <c r="TDU41" s="822"/>
      <c r="TDV41" s="822"/>
      <c r="TDW41" s="822"/>
      <c r="TDX41" s="822"/>
      <c r="TDY41" s="822"/>
      <c r="TDZ41" s="822"/>
      <c r="TEA41" s="822"/>
      <c r="TEB41" s="822"/>
      <c r="TEC41" s="822"/>
      <c r="TED41" s="822"/>
      <c r="TEE41" s="822"/>
      <c r="TEF41" s="822"/>
      <c r="TEG41" s="822"/>
      <c r="TEH41" s="822"/>
      <c r="TEI41" s="822"/>
      <c r="TEJ41" s="822"/>
      <c r="TEK41" s="822"/>
      <c r="TEL41" s="822"/>
      <c r="TEM41" s="822"/>
      <c r="TEN41" s="822"/>
      <c r="TEO41" s="822"/>
      <c r="TEP41" s="822"/>
      <c r="TEQ41" s="822"/>
      <c r="TER41" s="822"/>
      <c r="TES41" s="822"/>
      <c r="TET41" s="822"/>
      <c r="TEU41" s="822"/>
      <c r="TEV41" s="822"/>
      <c r="TEW41" s="822"/>
      <c r="TEX41" s="822"/>
      <c r="TEY41" s="822"/>
      <c r="TEZ41" s="822"/>
      <c r="TFA41" s="822"/>
      <c r="TFB41" s="822"/>
      <c r="TFC41" s="822"/>
      <c r="TFD41" s="822"/>
      <c r="TFE41" s="822"/>
      <c r="TFF41" s="822"/>
      <c r="TFG41" s="822"/>
      <c r="TFH41" s="822"/>
      <c r="TFI41" s="822"/>
      <c r="TFJ41" s="822"/>
      <c r="TFK41" s="822"/>
      <c r="TFL41" s="822"/>
      <c r="TFM41" s="822"/>
      <c r="TFN41" s="822"/>
      <c r="TFO41" s="822"/>
      <c r="TFP41" s="822"/>
      <c r="TFQ41" s="822"/>
      <c r="TFR41" s="822"/>
      <c r="TFS41" s="822"/>
      <c r="TFT41" s="822"/>
      <c r="TFU41" s="822"/>
      <c r="TFV41" s="822"/>
      <c r="TFW41" s="822"/>
      <c r="TFX41" s="822"/>
      <c r="TFY41" s="822"/>
      <c r="TFZ41" s="822"/>
      <c r="TGA41" s="822"/>
      <c r="TGB41" s="822"/>
      <c r="TGC41" s="822"/>
      <c r="TGD41" s="822"/>
      <c r="TGE41" s="822"/>
      <c r="TGF41" s="822"/>
      <c r="TGG41" s="822"/>
      <c r="TGH41" s="822"/>
      <c r="TGI41" s="822"/>
      <c r="TGJ41" s="822"/>
      <c r="TGK41" s="822"/>
      <c r="TGL41" s="822"/>
      <c r="TGM41" s="822"/>
      <c r="TGN41" s="822"/>
      <c r="TGO41" s="822"/>
      <c r="TGP41" s="822"/>
      <c r="TGQ41" s="822"/>
      <c r="TGR41" s="822"/>
      <c r="TGS41" s="822"/>
      <c r="TGT41" s="822"/>
      <c r="TGU41" s="822"/>
      <c r="TGV41" s="822"/>
      <c r="TGW41" s="822"/>
      <c r="TGX41" s="822"/>
      <c r="TGY41" s="822"/>
      <c r="TGZ41" s="822"/>
      <c r="THA41" s="822"/>
      <c r="THB41" s="822"/>
      <c r="THC41" s="822"/>
      <c r="THD41" s="822"/>
      <c r="THE41" s="822"/>
      <c r="THF41" s="822"/>
      <c r="THG41" s="822"/>
      <c r="THH41" s="822"/>
      <c r="THI41" s="822"/>
      <c r="THJ41" s="822"/>
      <c r="THK41" s="822"/>
      <c r="THL41" s="822"/>
      <c r="THM41" s="822"/>
      <c r="THN41" s="822"/>
      <c r="THO41" s="822"/>
      <c r="THP41" s="822"/>
      <c r="THQ41" s="822"/>
      <c r="THR41" s="822"/>
      <c r="THS41" s="822"/>
      <c r="THT41" s="822"/>
      <c r="THU41" s="822"/>
      <c r="THV41" s="822"/>
      <c r="THW41" s="822"/>
      <c r="THX41" s="822"/>
      <c r="THY41" s="822"/>
      <c r="THZ41" s="822"/>
      <c r="TIA41" s="822"/>
      <c r="TIB41" s="822"/>
      <c r="TIC41" s="822"/>
      <c r="TID41" s="822"/>
      <c r="TIE41" s="822"/>
      <c r="TIF41" s="822"/>
      <c r="TIG41" s="822"/>
      <c r="TIH41" s="822"/>
      <c r="TII41" s="822"/>
      <c r="TIJ41" s="822"/>
      <c r="TIK41" s="822"/>
      <c r="TIL41" s="822"/>
      <c r="TIM41" s="822"/>
      <c r="TIN41" s="822"/>
      <c r="TIO41" s="822"/>
      <c r="TIP41" s="822"/>
      <c r="TIQ41" s="822"/>
      <c r="TIR41" s="822"/>
      <c r="TIS41" s="822"/>
      <c r="TIT41" s="822"/>
      <c r="TIU41" s="822"/>
      <c r="TIV41" s="822"/>
      <c r="TIW41" s="822"/>
      <c r="TIX41" s="822"/>
      <c r="TIY41" s="822"/>
      <c r="TIZ41" s="822"/>
      <c r="TJA41" s="822"/>
      <c r="TJB41" s="822"/>
      <c r="TJC41" s="822"/>
      <c r="TJD41" s="822"/>
      <c r="TJE41" s="822"/>
      <c r="TJF41" s="822"/>
      <c r="TJG41" s="822"/>
      <c r="TJH41" s="822"/>
      <c r="TJI41" s="822"/>
      <c r="TJJ41" s="822"/>
      <c r="TJK41" s="822"/>
      <c r="TJL41" s="822"/>
      <c r="TJM41" s="822"/>
      <c r="TJN41" s="822"/>
      <c r="TJO41" s="822"/>
      <c r="TJP41" s="822"/>
      <c r="TJQ41" s="822"/>
      <c r="TJR41" s="822"/>
      <c r="TJS41" s="822"/>
      <c r="TJT41" s="822"/>
      <c r="TJU41" s="822"/>
      <c r="TJV41" s="822"/>
      <c r="TJW41" s="822"/>
      <c r="TJX41" s="822"/>
      <c r="TJY41" s="822"/>
      <c r="TJZ41" s="822"/>
      <c r="TKA41" s="822"/>
      <c r="TKB41" s="822"/>
      <c r="TKC41" s="822"/>
      <c r="TKD41" s="822"/>
      <c r="TKE41" s="822"/>
      <c r="TKF41" s="822"/>
      <c r="TKG41" s="822"/>
      <c r="TKH41" s="822"/>
      <c r="TKI41" s="822"/>
      <c r="TKJ41" s="822"/>
      <c r="TKK41" s="822"/>
      <c r="TKL41" s="822"/>
      <c r="TKM41" s="822"/>
      <c r="TKN41" s="822"/>
      <c r="TKO41" s="822"/>
      <c r="TKP41" s="822"/>
      <c r="TKQ41" s="822"/>
      <c r="TKR41" s="822"/>
      <c r="TKS41" s="822"/>
      <c r="TKT41" s="822"/>
      <c r="TKU41" s="822"/>
      <c r="TKV41" s="822"/>
      <c r="TKW41" s="822"/>
      <c r="TKX41" s="822"/>
      <c r="TKY41" s="822"/>
      <c r="TKZ41" s="822"/>
      <c r="TLA41" s="822"/>
      <c r="TLB41" s="822"/>
      <c r="TLC41" s="822"/>
      <c r="TLD41" s="822"/>
      <c r="TLE41" s="822"/>
      <c r="TLF41" s="822"/>
      <c r="TLG41" s="822"/>
      <c r="TLH41" s="822"/>
      <c r="TLI41" s="822"/>
      <c r="TLJ41" s="822"/>
      <c r="TLK41" s="822"/>
      <c r="TLL41" s="822"/>
      <c r="TLM41" s="822"/>
      <c r="TLN41" s="822"/>
      <c r="TLO41" s="822"/>
      <c r="TLP41" s="822"/>
      <c r="TLQ41" s="822"/>
      <c r="TLR41" s="822"/>
      <c r="TLS41" s="822"/>
      <c r="TLT41" s="822"/>
      <c r="TLU41" s="822"/>
      <c r="TLV41" s="822"/>
      <c r="TLW41" s="822"/>
      <c r="TLX41" s="822"/>
      <c r="TLY41" s="822"/>
      <c r="TLZ41" s="822"/>
      <c r="TMA41" s="822"/>
      <c r="TMB41" s="822"/>
      <c r="TMC41" s="822"/>
      <c r="TMD41" s="822"/>
      <c r="TME41" s="822"/>
      <c r="TMF41" s="822"/>
      <c r="TMG41" s="822"/>
      <c r="TMH41" s="822"/>
      <c r="TMI41" s="822"/>
      <c r="TMJ41" s="822"/>
      <c r="TMK41" s="822"/>
      <c r="TML41" s="822"/>
      <c r="TMM41" s="822"/>
      <c r="TMN41" s="822"/>
      <c r="TMO41" s="822"/>
      <c r="TMP41" s="822"/>
      <c r="TMQ41" s="822"/>
      <c r="TMR41" s="822"/>
      <c r="TMS41" s="822"/>
      <c r="TMT41" s="822"/>
      <c r="TMU41" s="822"/>
      <c r="TMV41" s="822"/>
      <c r="TMW41" s="822"/>
      <c r="TMX41" s="822"/>
      <c r="TMY41" s="822"/>
      <c r="TMZ41" s="822"/>
      <c r="TNA41" s="822"/>
      <c r="TNB41" s="822"/>
      <c r="TNC41" s="822"/>
      <c r="TND41" s="822"/>
      <c r="TNE41" s="822"/>
      <c r="TNF41" s="822"/>
      <c r="TNG41" s="822"/>
      <c r="TNH41" s="822"/>
      <c r="TNI41" s="822"/>
      <c r="TNJ41" s="822"/>
      <c r="TNK41" s="822"/>
      <c r="TNL41" s="822"/>
      <c r="TNM41" s="822"/>
      <c r="TNN41" s="822"/>
      <c r="TNO41" s="822"/>
      <c r="TNP41" s="822"/>
      <c r="TNQ41" s="822"/>
      <c r="TNR41" s="822"/>
      <c r="TNS41" s="822"/>
      <c r="TNT41" s="822"/>
      <c r="TNU41" s="822"/>
      <c r="TNV41" s="822"/>
      <c r="TNW41" s="822"/>
      <c r="TNX41" s="822"/>
      <c r="TNY41" s="822"/>
      <c r="TNZ41" s="822"/>
      <c r="TOA41" s="822"/>
      <c r="TOB41" s="822"/>
      <c r="TOC41" s="822"/>
      <c r="TOD41" s="822"/>
      <c r="TOE41" s="822"/>
      <c r="TOF41" s="822"/>
      <c r="TOG41" s="822"/>
      <c r="TOH41" s="822"/>
      <c r="TOI41" s="822"/>
      <c r="TOJ41" s="822"/>
      <c r="TOK41" s="822"/>
      <c r="TOL41" s="822"/>
      <c r="TOM41" s="822"/>
      <c r="TON41" s="822"/>
      <c r="TOO41" s="822"/>
      <c r="TOP41" s="822"/>
      <c r="TOQ41" s="822"/>
      <c r="TOR41" s="822"/>
      <c r="TOS41" s="822"/>
      <c r="TOT41" s="822"/>
      <c r="TOU41" s="822"/>
      <c r="TOV41" s="822"/>
      <c r="TOW41" s="822"/>
      <c r="TOX41" s="822"/>
      <c r="TOY41" s="822"/>
      <c r="TOZ41" s="822"/>
      <c r="TPA41" s="822"/>
      <c r="TPB41" s="822"/>
      <c r="TPC41" s="822"/>
      <c r="TPD41" s="822"/>
      <c r="TPE41" s="822"/>
      <c r="TPF41" s="822"/>
      <c r="TPG41" s="822"/>
      <c r="TPH41" s="822"/>
      <c r="TPI41" s="822"/>
      <c r="TPJ41" s="822"/>
      <c r="TPK41" s="822"/>
      <c r="TPL41" s="822"/>
      <c r="TPM41" s="822"/>
      <c r="TPN41" s="822"/>
      <c r="TPO41" s="822"/>
      <c r="TPP41" s="822"/>
      <c r="TPQ41" s="822"/>
      <c r="TPR41" s="822"/>
      <c r="TPS41" s="822"/>
      <c r="TPT41" s="822"/>
      <c r="TPU41" s="822"/>
      <c r="TPV41" s="822"/>
      <c r="TPW41" s="822"/>
      <c r="TPX41" s="822"/>
      <c r="TPY41" s="822"/>
      <c r="TPZ41" s="822"/>
      <c r="TQA41" s="822"/>
      <c r="TQB41" s="822"/>
      <c r="TQC41" s="822"/>
      <c r="TQD41" s="822"/>
      <c r="TQE41" s="822"/>
      <c r="TQF41" s="822"/>
      <c r="TQG41" s="822"/>
      <c r="TQH41" s="822"/>
      <c r="TQI41" s="822"/>
      <c r="TQJ41" s="822"/>
      <c r="TQK41" s="822"/>
      <c r="TQL41" s="822"/>
      <c r="TQM41" s="822"/>
      <c r="TQN41" s="822"/>
      <c r="TQO41" s="822"/>
      <c r="TQP41" s="822"/>
      <c r="TQQ41" s="822"/>
      <c r="TQR41" s="822"/>
      <c r="TQS41" s="822"/>
      <c r="TQT41" s="822"/>
      <c r="TQU41" s="822"/>
      <c r="TQV41" s="822"/>
      <c r="TQW41" s="822"/>
      <c r="TQX41" s="822"/>
      <c r="TQY41" s="822"/>
      <c r="TQZ41" s="822"/>
      <c r="TRA41" s="822"/>
      <c r="TRB41" s="822"/>
      <c r="TRC41" s="822"/>
      <c r="TRD41" s="822"/>
      <c r="TRE41" s="822"/>
      <c r="TRF41" s="822"/>
      <c r="TRG41" s="822"/>
      <c r="TRH41" s="822"/>
      <c r="TRI41" s="822"/>
      <c r="TRJ41" s="822"/>
      <c r="TRK41" s="822"/>
      <c r="TRL41" s="822"/>
      <c r="TRM41" s="822"/>
      <c r="TRN41" s="822"/>
      <c r="TRO41" s="822"/>
      <c r="TRP41" s="822"/>
      <c r="TRQ41" s="822"/>
      <c r="TRR41" s="822"/>
      <c r="TRS41" s="822"/>
      <c r="TRT41" s="822"/>
      <c r="TRU41" s="822"/>
      <c r="TRV41" s="822"/>
      <c r="TRW41" s="822"/>
      <c r="TRX41" s="822"/>
      <c r="TRY41" s="822"/>
      <c r="TRZ41" s="822"/>
      <c r="TSA41" s="822"/>
      <c r="TSB41" s="822"/>
      <c r="TSC41" s="822"/>
      <c r="TSD41" s="822"/>
      <c r="TSE41" s="822"/>
      <c r="TSF41" s="822"/>
      <c r="TSG41" s="822"/>
      <c r="TSH41" s="822"/>
      <c r="TSI41" s="822"/>
      <c r="TSJ41" s="822"/>
      <c r="TSK41" s="822"/>
      <c r="TSL41" s="822"/>
      <c r="TSM41" s="822"/>
      <c r="TSN41" s="822"/>
      <c r="TSO41" s="822"/>
      <c r="TSP41" s="822"/>
      <c r="TSQ41" s="822"/>
      <c r="TSR41" s="822"/>
      <c r="TSS41" s="822"/>
      <c r="TST41" s="822"/>
      <c r="TSU41" s="822"/>
      <c r="TSV41" s="822"/>
      <c r="TSW41" s="822"/>
      <c r="TSX41" s="822"/>
      <c r="TSY41" s="822"/>
      <c r="TSZ41" s="822"/>
      <c r="TTA41" s="822"/>
      <c r="TTB41" s="822"/>
      <c r="TTC41" s="822"/>
      <c r="TTD41" s="822"/>
      <c r="TTE41" s="822"/>
      <c r="TTF41" s="822"/>
      <c r="TTG41" s="822"/>
      <c r="TTH41" s="822"/>
      <c r="TTI41" s="822"/>
      <c r="TTJ41" s="822"/>
      <c r="TTK41" s="822"/>
      <c r="TTL41" s="822"/>
      <c r="TTM41" s="822"/>
      <c r="TTN41" s="822"/>
      <c r="TTO41" s="822"/>
      <c r="TTP41" s="822"/>
      <c r="TTQ41" s="822"/>
      <c r="TTR41" s="822"/>
      <c r="TTS41" s="822"/>
      <c r="TTT41" s="822"/>
      <c r="TTU41" s="822"/>
      <c r="TTV41" s="822"/>
      <c r="TTW41" s="822"/>
      <c r="TTX41" s="822"/>
      <c r="TTY41" s="822"/>
      <c r="TTZ41" s="822"/>
      <c r="TUA41" s="822"/>
      <c r="TUB41" s="822"/>
      <c r="TUC41" s="822"/>
      <c r="TUD41" s="822"/>
      <c r="TUE41" s="822"/>
      <c r="TUF41" s="822"/>
      <c r="TUG41" s="822"/>
      <c r="TUH41" s="822"/>
      <c r="TUI41" s="822"/>
      <c r="TUJ41" s="822"/>
      <c r="TUK41" s="822"/>
      <c r="TUL41" s="822"/>
      <c r="TUM41" s="822"/>
      <c r="TUN41" s="822"/>
      <c r="TUO41" s="822"/>
      <c r="TUP41" s="822"/>
      <c r="TUQ41" s="822"/>
      <c r="TUR41" s="822"/>
      <c r="TUS41" s="822"/>
      <c r="TUT41" s="822"/>
      <c r="TUU41" s="822"/>
      <c r="TUV41" s="822"/>
      <c r="TUW41" s="822"/>
      <c r="TUX41" s="822"/>
      <c r="TUY41" s="822"/>
      <c r="TUZ41" s="822"/>
      <c r="TVA41" s="822"/>
      <c r="TVB41" s="822"/>
      <c r="TVC41" s="822"/>
      <c r="TVD41" s="822"/>
      <c r="TVE41" s="822"/>
      <c r="TVF41" s="822"/>
      <c r="TVG41" s="822"/>
      <c r="TVH41" s="822"/>
      <c r="TVI41" s="822"/>
      <c r="TVJ41" s="822"/>
      <c r="TVK41" s="822"/>
      <c r="TVL41" s="822"/>
      <c r="TVM41" s="822"/>
      <c r="TVN41" s="822"/>
      <c r="TVO41" s="822"/>
      <c r="TVP41" s="822"/>
      <c r="TVQ41" s="822"/>
      <c r="TVR41" s="822"/>
      <c r="TVS41" s="822"/>
      <c r="TVT41" s="822"/>
      <c r="TVU41" s="822"/>
      <c r="TVV41" s="822"/>
      <c r="TVW41" s="822"/>
      <c r="TVX41" s="822"/>
      <c r="TVY41" s="822"/>
      <c r="TVZ41" s="822"/>
      <c r="TWA41" s="822"/>
      <c r="TWB41" s="822"/>
      <c r="TWC41" s="822"/>
      <c r="TWD41" s="822"/>
      <c r="TWE41" s="822"/>
      <c r="TWF41" s="822"/>
      <c r="TWG41" s="822"/>
      <c r="TWH41" s="822"/>
      <c r="TWI41" s="822"/>
      <c r="TWJ41" s="822"/>
      <c r="TWK41" s="822"/>
      <c r="TWL41" s="822"/>
      <c r="TWM41" s="822"/>
      <c r="TWN41" s="822"/>
      <c r="TWO41" s="822"/>
      <c r="TWP41" s="822"/>
      <c r="TWQ41" s="822"/>
      <c r="TWR41" s="822"/>
      <c r="TWS41" s="822"/>
      <c r="TWT41" s="822"/>
      <c r="TWU41" s="822"/>
      <c r="TWV41" s="822"/>
      <c r="TWW41" s="822"/>
      <c r="TWX41" s="822"/>
      <c r="TWY41" s="822"/>
      <c r="TWZ41" s="822"/>
      <c r="TXA41" s="822"/>
      <c r="TXB41" s="822"/>
      <c r="TXC41" s="822"/>
      <c r="TXD41" s="822"/>
      <c r="TXE41" s="822"/>
      <c r="TXF41" s="822"/>
      <c r="TXG41" s="822"/>
      <c r="TXH41" s="822"/>
      <c r="TXI41" s="822"/>
      <c r="TXJ41" s="822"/>
      <c r="TXK41" s="822"/>
      <c r="TXL41" s="822"/>
      <c r="TXM41" s="822"/>
      <c r="TXN41" s="822"/>
      <c r="TXO41" s="822"/>
      <c r="TXP41" s="822"/>
      <c r="TXQ41" s="822"/>
      <c r="TXR41" s="822"/>
      <c r="TXS41" s="822"/>
      <c r="TXT41" s="822"/>
      <c r="TXU41" s="822"/>
      <c r="TXV41" s="822"/>
      <c r="TXW41" s="822"/>
      <c r="TXX41" s="822"/>
      <c r="TXY41" s="822"/>
      <c r="TXZ41" s="822"/>
      <c r="TYA41" s="822"/>
      <c r="TYB41" s="822"/>
      <c r="TYC41" s="822"/>
      <c r="TYD41" s="822"/>
      <c r="TYE41" s="822"/>
      <c r="TYF41" s="822"/>
      <c r="TYG41" s="822"/>
      <c r="TYH41" s="822"/>
      <c r="TYI41" s="822"/>
      <c r="TYJ41" s="822"/>
      <c r="TYK41" s="822"/>
      <c r="TYL41" s="822"/>
      <c r="TYM41" s="822"/>
      <c r="TYN41" s="822"/>
      <c r="TYO41" s="822"/>
      <c r="TYP41" s="822"/>
      <c r="TYQ41" s="822"/>
      <c r="TYR41" s="822"/>
      <c r="TYS41" s="822"/>
      <c r="TYT41" s="822"/>
      <c r="TYU41" s="822"/>
      <c r="TYV41" s="822"/>
      <c r="TYW41" s="822"/>
      <c r="TYX41" s="822"/>
      <c r="TYY41" s="822"/>
      <c r="TYZ41" s="822"/>
      <c r="TZA41" s="822"/>
      <c r="TZB41" s="822"/>
      <c r="TZC41" s="822"/>
      <c r="TZD41" s="822"/>
      <c r="TZE41" s="822"/>
      <c r="TZF41" s="822"/>
      <c r="TZG41" s="822"/>
      <c r="TZH41" s="822"/>
      <c r="TZI41" s="822"/>
      <c r="TZJ41" s="822"/>
      <c r="TZK41" s="822"/>
      <c r="TZL41" s="822"/>
      <c r="TZM41" s="822"/>
      <c r="TZN41" s="822"/>
      <c r="TZO41" s="822"/>
      <c r="TZP41" s="822"/>
      <c r="TZQ41" s="822"/>
      <c r="TZR41" s="822"/>
      <c r="TZS41" s="822"/>
      <c r="TZT41" s="822"/>
      <c r="TZU41" s="822"/>
      <c r="TZV41" s="822"/>
      <c r="TZW41" s="822"/>
      <c r="TZX41" s="822"/>
      <c r="TZY41" s="822"/>
      <c r="TZZ41" s="822"/>
      <c r="UAA41" s="822"/>
      <c r="UAB41" s="822"/>
      <c r="UAC41" s="822"/>
      <c r="UAD41" s="822"/>
      <c r="UAE41" s="822"/>
      <c r="UAF41" s="822"/>
      <c r="UAG41" s="822"/>
      <c r="UAH41" s="822"/>
      <c r="UAI41" s="822"/>
      <c r="UAJ41" s="822"/>
      <c r="UAK41" s="822"/>
      <c r="UAL41" s="822"/>
      <c r="UAM41" s="822"/>
      <c r="UAN41" s="822"/>
      <c r="UAO41" s="822"/>
      <c r="UAP41" s="822"/>
      <c r="UAQ41" s="822"/>
      <c r="UAR41" s="822"/>
      <c r="UAS41" s="822"/>
      <c r="UAT41" s="822"/>
      <c r="UAU41" s="822"/>
      <c r="UAV41" s="822"/>
      <c r="UAW41" s="822"/>
      <c r="UAX41" s="822"/>
      <c r="UAY41" s="822"/>
      <c r="UAZ41" s="822"/>
      <c r="UBA41" s="822"/>
      <c r="UBB41" s="822"/>
      <c r="UBC41" s="822"/>
      <c r="UBD41" s="822"/>
      <c r="UBE41" s="822"/>
      <c r="UBF41" s="822"/>
      <c r="UBG41" s="822"/>
      <c r="UBH41" s="822"/>
      <c r="UBI41" s="822"/>
      <c r="UBJ41" s="822"/>
      <c r="UBK41" s="822"/>
      <c r="UBL41" s="822"/>
      <c r="UBM41" s="822"/>
      <c r="UBN41" s="822"/>
      <c r="UBO41" s="822"/>
      <c r="UBP41" s="822"/>
      <c r="UBQ41" s="822"/>
      <c r="UBR41" s="822"/>
      <c r="UBS41" s="822"/>
      <c r="UBT41" s="822"/>
      <c r="UBU41" s="822"/>
      <c r="UBV41" s="822"/>
      <c r="UBW41" s="822"/>
      <c r="UBX41" s="822"/>
      <c r="UBY41" s="822"/>
      <c r="UBZ41" s="822"/>
      <c r="UCA41" s="822"/>
      <c r="UCB41" s="822"/>
      <c r="UCC41" s="822"/>
      <c r="UCD41" s="822"/>
      <c r="UCE41" s="822"/>
      <c r="UCF41" s="822"/>
      <c r="UCG41" s="822"/>
      <c r="UCH41" s="822"/>
      <c r="UCI41" s="822"/>
      <c r="UCJ41" s="822"/>
      <c r="UCK41" s="822"/>
      <c r="UCL41" s="822"/>
      <c r="UCM41" s="822"/>
      <c r="UCN41" s="822"/>
      <c r="UCO41" s="822"/>
      <c r="UCP41" s="822"/>
      <c r="UCQ41" s="822"/>
      <c r="UCR41" s="822"/>
      <c r="UCS41" s="822"/>
      <c r="UCT41" s="822"/>
      <c r="UCU41" s="822"/>
      <c r="UCV41" s="822"/>
      <c r="UCW41" s="822"/>
      <c r="UCX41" s="822"/>
      <c r="UCY41" s="822"/>
      <c r="UCZ41" s="822"/>
      <c r="UDA41" s="822"/>
      <c r="UDB41" s="822"/>
      <c r="UDC41" s="822"/>
      <c r="UDD41" s="822"/>
      <c r="UDE41" s="822"/>
      <c r="UDF41" s="822"/>
      <c r="UDG41" s="822"/>
      <c r="UDH41" s="822"/>
      <c r="UDI41" s="822"/>
      <c r="UDJ41" s="822"/>
      <c r="UDK41" s="822"/>
      <c r="UDL41" s="822"/>
      <c r="UDM41" s="822"/>
      <c r="UDN41" s="822"/>
      <c r="UDO41" s="822"/>
      <c r="UDP41" s="822"/>
      <c r="UDQ41" s="822"/>
      <c r="UDR41" s="822"/>
      <c r="UDS41" s="822"/>
      <c r="UDT41" s="822"/>
      <c r="UDU41" s="822"/>
      <c r="UDV41" s="822"/>
      <c r="UDW41" s="822"/>
      <c r="UDX41" s="822"/>
      <c r="UDY41" s="822"/>
      <c r="UDZ41" s="822"/>
      <c r="UEA41" s="822"/>
      <c r="UEB41" s="822"/>
      <c r="UEC41" s="822"/>
      <c r="UED41" s="822"/>
      <c r="UEE41" s="822"/>
      <c r="UEF41" s="822"/>
      <c r="UEG41" s="822"/>
      <c r="UEH41" s="822"/>
      <c r="UEI41" s="822"/>
      <c r="UEJ41" s="822"/>
      <c r="UEK41" s="822"/>
      <c r="UEL41" s="822"/>
      <c r="UEM41" s="822"/>
      <c r="UEN41" s="822"/>
      <c r="UEO41" s="822"/>
      <c r="UEP41" s="822"/>
      <c r="UEQ41" s="822"/>
      <c r="UER41" s="822"/>
      <c r="UES41" s="822"/>
      <c r="UET41" s="822"/>
      <c r="UEU41" s="822"/>
      <c r="UEV41" s="822"/>
      <c r="UEW41" s="822"/>
      <c r="UEX41" s="822"/>
      <c r="UEY41" s="822"/>
      <c r="UEZ41" s="822"/>
      <c r="UFA41" s="822"/>
      <c r="UFB41" s="822"/>
      <c r="UFC41" s="822"/>
      <c r="UFD41" s="822"/>
      <c r="UFE41" s="822"/>
      <c r="UFF41" s="822"/>
      <c r="UFG41" s="822"/>
      <c r="UFH41" s="822"/>
      <c r="UFI41" s="822"/>
      <c r="UFJ41" s="822"/>
      <c r="UFK41" s="822"/>
      <c r="UFL41" s="822"/>
      <c r="UFM41" s="822"/>
      <c r="UFN41" s="822"/>
      <c r="UFO41" s="822"/>
      <c r="UFP41" s="822"/>
      <c r="UFQ41" s="822"/>
      <c r="UFR41" s="822"/>
      <c r="UFS41" s="822"/>
      <c r="UFT41" s="822"/>
      <c r="UFU41" s="822"/>
      <c r="UFV41" s="822"/>
      <c r="UFW41" s="822"/>
      <c r="UFX41" s="822"/>
      <c r="UFY41" s="822"/>
      <c r="UFZ41" s="822"/>
      <c r="UGA41" s="822"/>
      <c r="UGB41" s="822"/>
      <c r="UGC41" s="822"/>
      <c r="UGD41" s="822"/>
      <c r="UGE41" s="822"/>
      <c r="UGF41" s="822"/>
      <c r="UGG41" s="822"/>
      <c r="UGH41" s="822"/>
      <c r="UGI41" s="822"/>
      <c r="UGJ41" s="822"/>
      <c r="UGK41" s="822"/>
      <c r="UGL41" s="822"/>
      <c r="UGM41" s="822"/>
      <c r="UGN41" s="822"/>
      <c r="UGO41" s="822"/>
      <c r="UGP41" s="822"/>
      <c r="UGQ41" s="822"/>
      <c r="UGR41" s="822"/>
      <c r="UGS41" s="822"/>
      <c r="UGT41" s="822"/>
      <c r="UGU41" s="822"/>
      <c r="UGV41" s="822"/>
      <c r="UGW41" s="822"/>
      <c r="UGX41" s="822"/>
      <c r="UGY41" s="822"/>
      <c r="UGZ41" s="822"/>
      <c r="UHA41" s="822"/>
      <c r="UHB41" s="822"/>
      <c r="UHC41" s="822"/>
      <c r="UHD41" s="822"/>
      <c r="UHE41" s="822"/>
      <c r="UHF41" s="822"/>
      <c r="UHG41" s="822"/>
      <c r="UHH41" s="822"/>
      <c r="UHI41" s="822"/>
      <c r="UHJ41" s="822"/>
      <c r="UHK41" s="822"/>
      <c r="UHL41" s="822"/>
      <c r="UHM41" s="822"/>
      <c r="UHN41" s="822"/>
      <c r="UHO41" s="822"/>
      <c r="UHP41" s="822"/>
      <c r="UHQ41" s="822"/>
      <c r="UHR41" s="822"/>
      <c r="UHS41" s="822"/>
      <c r="UHT41" s="822"/>
      <c r="UHU41" s="822"/>
      <c r="UHV41" s="822"/>
      <c r="UHW41" s="822"/>
      <c r="UHX41" s="822"/>
      <c r="UHY41" s="822"/>
      <c r="UHZ41" s="822"/>
      <c r="UIA41" s="822"/>
      <c r="UIB41" s="822"/>
      <c r="UIC41" s="822"/>
      <c r="UID41" s="822"/>
      <c r="UIE41" s="822"/>
      <c r="UIF41" s="822"/>
      <c r="UIG41" s="822"/>
      <c r="UIH41" s="822"/>
      <c r="UII41" s="822"/>
      <c r="UIJ41" s="822"/>
      <c r="UIK41" s="822"/>
      <c r="UIL41" s="822"/>
      <c r="UIM41" s="822"/>
      <c r="UIN41" s="822"/>
      <c r="UIO41" s="822"/>
      <c r="UIP41" s="822"/>
      <c r="UIQ41" s="822"/>
      <c r="UIR41" s="822"/>
      <c r="UIS41" s="822"/>
      <c r="UIT41" s="822"/>
      <c r="UIU41" s="822"/>
      <c r="UIV41" s="822"/>
      <c r="UIW41" s="822"/>
      <c r="UIX41" s="822"/>
      <c r="UIY41" s="822"/>
      <c r="UIZ41" s="822"/>
      <c r="UJA41" s="822"/>
      <c r="UJB41" s="822"/>
      <c r="UJC41" s="822"/>
      <c r="UJD41" s="822"/>
      <c r="UJE41" s="822"/>
      <c r="UJF41" s="822"/>
      <c r="UJG41" s="822"/>
      <c r="UJH41" s="822"/>
      <c r="UJI41" s="822"/>
      <c r="UJJ41" s="822"/>
      <c r="UJK41" s="822"/>
      <c r="UJL41" s="822"/>
      <c r="UJM41" s="822"/>
      <c r="UJN41" s="822"/>
      <c r="UJO41" s="822"/>
      <c r="UJP41" s="822"/>
      <c r="UJQ41" s="822"/>
      <c r="UJR41" s="822"/>
      <c r="UJS41" s="822"/>
      <c r="UJT41" s="822"/>
      <c r="UJU41" s="822"/>
      <c r="UJV41" s="822"/>
      <c r="UJW41" s="822"/>
      <c r="UJX41" s="822"/>
      <c r="UJY41" s="822"/>
      <c r="UJZ41" s="822"/>
      <c r="UKA41" s="822"/>
      <c r="UKB41" s="822"/>
      <c r="UKC41" s="822"/>
      <c r="UKD41" s="822"/>
      <c r="UKE41" s="822"/>
      <c r="UKF41" s="822"/>
      <c r="UKG41" s="822"/>
      <c r="UKH41" s="822"/>
      <c r="UKI41" s="822"/>
      <c r="UKJ41" s="822"/>
      <c r="UKK41" s="822"/>
      <c r="UKL41" s="822"/>
      <c r="UKM41" s="822"/>
      <c r="UKN41" s="822"/>
      <c r="UKO41" s="822"/>
      <c r="UKP41" s="822"/>
      <c r="UKQ41" s="822"/>
      <c r="UKR41" s="822"/>
      <c r="UKS41" s="822"/>
      <c r="UKT41" s="822"/>
      <c r="UKU41" s="822"/>
      <c r="UKV41" s="822"/>
      <c r="UKW41" s="822"/>
      <c r="UKX41" s="822"/>
      <c r="UKY41" s="822"/>
      <c r="UKZ41" s="822"/>
      <c r="ULA41" s="822"/>
      <c r="ULB41" s="822"/>
      <c r="ULC41" s="822"/>
      <c r="ULD41" s="822"/>
      <c r="ULE41" s="822"/>
      <c r="ULF41" s="822"/>
      <c r="ULG41" s="822"/>
      <c r="ULH41" s="822"/>
      <c r="ULI41" s="822"/>
      <c r="ULJ41" s="822"/>
      <c r="ULK41" s="822"/>
      <c r="ULL41" s="822"/>
      <c r="ULM41" s="822"/>
      <c r="ULN41" s="822"/>
      <c r="ULO41" s="822"/>
      <c r="ULP41" s="822"/>
      <c r="ULQ41" s="822"/>
      <c r="ULR41" s="822"/>
      <c r="ULS41" s="822"/>
      <c r="ULT41" s="822"/>
      <c r="ULU41" s="822"/>
      <c r="ULV41" s="822"/>
      <c r="ULW41" s="822"/>
      <c r="ULX41" s="822"/>
      <c r="ULY41" s="822"/>
      <c r="ULZ41" s="822"/>
      <c r="UMA41" s="822"/>
      <c r="UMB41" s="822"/>
      <c r="UMC41" s="822"/>
      <c r="UMD41" s="822"/>
      <c r="UME41" s="822"/>
      <c r="UMF41" s="822"/>
      <c r="UMG41" s="822"/>
      <c r="UMH41" s="822"/>
      <c r="UMI41" s="822"/>
      <c r="UMJ41" s="822"/>
      <c r="UMK41" s="822"/>
      <c r="UML41" s="822"/>
      <c r="UMM41" s="822"/>
      <c r="UMN41" s="822"/>
      <c r="UMO41" s="822"/>
      <c r="UMP41" s="822"/>
      <c r="UMQ41" s="822"/>
      <c r="UMR41" s="822"/>
      <c r="UMS41" s="822"/>
      <c r="UMT41" s="822"/>
      <c r="UMU41" s="822"/>
      <c r="UMV41" s="822"/>
      <c r="UMW41" s="822"/>
      <c r="UMX41" s="822"/>
      <c r="UMY41" s="822"/>
      <c r="UMZ41" s="822"/>
      <c r="UNA41" s="822"/>
      <c r="UNB41" s="822"/>
      <c r="UNC41" s="822"/>
      <c r="UND41" s="822"/>
      <c r="UNE41" s="822"/>
      <c r="UNF41" s="822"/>
      <c r="UNG41" s="822"/>
      <c r="UNH41" s="822"/>
      <c r="UNI41" s="822"/>
      <c r="UNJ41" s="822"/>
      <c r="UNK41" s="822"/>
      <c r="UNL41" s="822"/>
      <c r="UNM41" s="822"/>
      <c r="UNN41" s="822"/>
      <c r="UNO41" s="822"/>
      <c r="UNP41" s="822"/>
      <c r="UNQ41" s="822"/>
      <c r="UNR41" s="822"/>
      <c r="UNS41" s="822"/>
      <c r="UNT41" s="822"/>
      <c r="UNU41" s="822"/>
      <c r="UNV41" s="822"/>
      <c r="UNW41" s="822"/>
      <c r="UNX41" s="822"/>
      <c r="UNY41" s="822"/>
      <c r="UNZ41" s="822"/>
      <c r="UOA41" s="822"/>
      <c r="UOB41" s="822"/>
      <c r="UOC41" s="822"/>
      <c r="UOD41" s="822"/>
      <c r="UOE41" s="822"/>
      <c r="UOF41" s="822"/>
      <c r="UOG41" s="822"/>
      <c r="UOH41" s="822"/>
      <c r="UOI41" s="822"/>
      <c r="UOJ41" s="822"/>
      <c r="UOK41" s="822"/>
      <c r="UOL41" s="822"/>
      <c r="UOM41" s="822"/>
      <c r="UON41" s="822"/>
      <c r="UOO41" s="822"/>
      <c r="UOP41" s="822"/>
      <c r="UOQ41" s="822"/>
      <c r="UOR41" s="822"/>
      <c r="UOS41" s="822"/>
      <c r="UOT41" s="822"/>
      <c r="UOU41" s="822"/>
      <c r="UOV41" s="822"/>
      <c r="UOW41" s="822"/>
      <c r="UOX41" s="822"/>
      <c r="UOY41" s="822"/>
      <c r="UOZ41" s="822"/>
      <c r="UPA41" s="822"/>
      <c r="UPB41" s="822"/>
      <c r="UPC41" s="822"/>
      <c r="UPD41" s="822"/>
      <c r="UPE41" s="822"/>
      <c r="UPF41" s="822"/>
      <c r="UPG41" s="822"/>
      <c r="UPH41" s="822"/>
      <c r="UPI41" s="822"/>
      <c r="UPJ41" s="822"/>
      <c r="UPK41" s="822"/>
      <c r="UPL41" s="822"/>
      <c r="UPM41" s="822"/>
      <c r="UPN41" s="822"/>
      <c r="UPO41" s="822"/>
      <c r="UPP41" s="822"/>
      <c r="UPQ41" s="822"/>
      <c r="UPR41" s="822"/>
      <c r="UPS41" s="822"/>
      <c r="UPT41" s="822"/>
      <c r="UPU41" s="822"/>
      <c r="UPV41" s="822"/>
      <c r="UPW41" s="822"/>
      <c r="UPX41" s="822"/>
      <c r="UPY41" s="822"/>
      <c r="UPZ41" s="822"/>
      <c r="UQA41" s="822"/>
      <c r="UQB41" s="822"/>
      <c r="UQC41" s="822"/>
      <c r="UQD41" s="822"/>
      <c r="UQE41" s="822"/>
      <c r="UQF41" s="822"/>
      <c r="UQG41" s="822"/>
      <c r="UQH41" s="822"/>
      <c r="UQI41" s="822"/>
      <c r="UQJ41" s="822"/>
      <c r="UQK41" s="822"/>
      <c r="UQL41" s="822"/>
      <c r="UQM41" s="822"/>
      <c r="UQN41" s="822"/>
      <c r="UQO41" s="822"/>
      <c r="UQP41" s="822"/>
      <c r="UQQ41" s="822"/>
      <c r="UQR41" s="822"/>
      <c r="UQS41" s="822"/>
      <c r="UQT41" s="822"/>
      <c r="UQU41" s="822"/>
      <c r="UQV41" s="822"/>
      <c r="UQW41" s="822"/>
      <c r="UQX41" s="822"/>
      <c r="UQY41" s="822"/>
      <c r="UQZ41" s="822"/>
      <c r="URA41" s="822"/>
      <c r="URB41" s="822"/>
      <c r="URC41" s="822"/>
      <c r="URD41" s="822"/>
      <c r="URE41" s="822"/>
      <c r="URF41" s="822"/>
      <c r="URG41" s="822"/>
      <c r="URH41" s="822"/>
      <c r="URI41" s="822"/>
      <c r="URJ41" s="822"/>
      <c r="URK41" s="822"/>
      <c r="URL41" s="822"/>
      <c r="URM41" s="822"/>
      <c r="URN41" s="822"/>
      <c r="URO41" s="822"/>
      <c r="URP41" s="822"/>
      <c r="URQ41" s="822"/>
      <c r="URR41" s="822"/>
      <c r="URS41" s="822"/>
      <c r="URT41" s="822"/>
      <c r="URU41" s="822"/>
      <c r="URV41" s="822"/>
      <c r="URW41" s="822"/>
      <c r="URX41" s="822"/>
      <c r="URY41" s="822"/>
      <c r="URZ41" s="822"/>
      <c r="USA41" s="822"/>
      <c r="USB41" s="822"/>
      <c r="USC41" s="822"/>
      <c r="USD41" s="822"/>
      <c r="USE41" s="822"/>
      <c r="USF41" s="822"/>
      <c r="USG41" s="822"/>
      <c r="USH41" s="822"/>
      <c r="USI41" s="822"/>
      <c r="USJ41" s="822"/>
      <c r="USK41" s="822"/>
      <c r="USL41" s="822"/>
      <c r="USM41" s="822"/>
      <c r="USN41" s="822"/>
      <c r="USO41" s="822"/>
      <c r="USP41" s="822"/>
      <c r="USQ41" s="822"/>
      <c r="USR41" s="822"/>
      <c r="USS41" s="822"/>
      <c r="UST41" s="822"/>
      <c r="USU41" s="822"/>
      <c r="USV41" s="822"/>
      <c r="USW41" s="822"/>
      <c r="USX41" s="822"/>
      <c r="USY41" s="822"/>
      <c r="USZ41" s="822"/>
      <c r="UTA41" s="822"/>
      <c r="UTB41" s="822"/>
      <c r="UTC41" s="822"/>
      <c r="UTD41" s="822"/>
      <c r="UTE41" s="822"/>
      <c r="UTF41" s="822"/>
      <c r="UTG41" s="822"/>
      <c r="UTH41" s="822"/>
      <c r="UTI41" s="822"/>
      <c r="UTJ41" s="822"/>
      <c r="UTK41" s="822"/>
      <c r="UTL41" s="822"/>
      <c r="UTM41" s="822"/>
      <c r="UTN41" s="822"/>
      <c r="UTO41" s="822"/>
      <c r="UTP41" s="822"/>
      <c r="UTQ41" s="822"/>
      <c r="UTR41" s="822"/>
      <c r="UTS41" s="822"/>
      <c r="UTT41" s="822"/>
      <c r="UTU41" s="822"/>
      <c r="UTV41" s="822"/>
      <c r="UTW41" s="822"/>
      <c r="UTX41" s="822"/>
      <c r="UTY41" s="822"/>
      <c r="UTZ41" s="822"/>
      <c r="UUA41" s="822"/>
      <c r="UUB41" s="822"/>
      <c r="UUC41" s="822"/>
      <c r="UUD41" s="822"/>
      <c r="UUE41" s="822"/>
      <c r="UUF41" s="822"/>
      <c r="UUG41" s="822"/>
      <c r="UUH41" s="822"/>
      <c r="UUI41" s="822"/>
      <c r="UUJ41" s="822"/>
      <c r="UUK41" s="822"/>
      <c r="UUL41" s="822"/>
      <c r="UUM41" s="822"/>
      <c r="UUN41" s="822"/>
      <c r="UUO41" s="822"/>
      <c r="UUP41" s="822"/>
      <c r="UUQ41" s="822"/>
      <c r="UUR41" s="822"/>
      <c r="UUS41" s="822"/>
      <c r="UUT41" s="822"/>
      <c r="UUU41" s="822"/>
      <c r="UUV41" s="822"/>
      <c r="UUW41" s="822"/>
      <c r="UUX41" s="822"/>
      <c r="UUY41" s="822"/>
      <c r="UUZ41" s="822"/>
      <c r="UVA41" s="822"/>
      <c r="UVB41" s="822"/>
      <c r="UVC41" s="822"/>
      <c r="UVD41" s="822"/>
      <c r="UVE41" s="822"/>
      <c r="UVF41" s="822"/>
      <c r="UVG41" s="822"/>
      <c r="UVH41" s="822"/>
      <c r="UVI41" s="822"/>
      <c r="UVJ41" s="822"/>
      <c r="UVK41" s="822"/>
      <c r="UVL41" s="822"/>
      <c r="UVM41" s="822"/>
      <c r="UVN41" s="822"/>
      <c r="UVO41" s="822"/>
      <c r="UVP41" s="822"/>
      <c r="UVQ41" s="822"/>
      <c r="UVR41" s="822"/>
      <c r="UVS41" s="822"/>
      <c r="UVT41" s="822"/>
      <c r="UVU41" s="822"/>
      <c r="UVV41" s="822"/>
      <c r="UVW41" s="822"/>
      <c r="UVX41" s="822"/>
      <c r="UVY41" s="822"/>
      <c r="UVZ41" s="822"/>
      <c r="UWA41" s="822"/>
      <c r="UWB41" s="822"/>
      <c r="UWC41" s="822"/>
      <c r="UWD41" s="822"/>
      <c r="UWE41" s="822"/>
      <c r="UWF41" s="822"/>
      <c r="UWG41" s="822"/>
      <c r="UWH41" s="822"/>
      <c r="UWI41" s="822"/>
      <c r="UWJ41" s="822"/>
      <c r="UWK41" s="822"/>
      <c r="UWL41" s="822"/>
      <c r="UWM41" s="822"/>
      <c r="UWN41" s="822"/>
      <c r="UWO41" s="822"/>
      <c r="UWP41" s="822"/>
      <c r="UWQ41" s="822"/>
      <c r="UWR41" s="822"/>
      <c r="UWS41" s="822"/>
      <c r="UWT41" s="822"/>
      <c r="UWU41" s="822"/>
      <c r="UWV41" s="822"/>
      <c r="UWW41" s="822"/>
      <c r="UWX41" s="822"/>
      <c r="UWY41" s="822"/>
      <c r="UWZ41" s="822"/>
      <c r="UXA41" s="822"/>
      <c r="UXB41" s="822"/>
      <c r="UXC41" s="822"/>
      <c r="UXD41" s="822"/>
      <c r="UXE41" s="822"/>
      <c r="UXF41" s="822"/>
      <c r="UXG41" s="822"/>
      <c r="UXH41" s="822"/>
      <c r="UXI41" s="822"/>
      <c r="UXJ41" s="822"/>
      <c r="UXK41" s="822"/>
      <c r="UXL41" s="822"/>
      <c r="UXM41" s="822"/>
      <c r="UXN41" s="822"/>
      <c r="UXO41" s="822"/>
      <c r="UXP41" s="822"/>
      <c r="UXQ41" s="822"/>
      <c r="UXR41" s="822"/>
      <c r="UXS41" s="822"/>
      <c r="UXT41" s="822"/>
      <c r="UXU41" s="822"/>
      <c r="UXV41" s="822"/>
      <c r="UXW41" s="822"/>
      <c r="UXX41" s="822"/>
      <c r="UXY41" s="822"/>
      <c r="UXZ41" s="822"/>
      <c r="UYA41" s="822"/>
      <c r="UYB41" s="822"/>
      <c r="UYC41" s="822"/>
      <c r="UYD41" s="822"/>
      <c r="UYE41" s="822"/>
      <c r="UYF41" s="822"/>
      <c r="UYG41" s="822"/>
      <c r="UYH41" s="822"/>
      <c r="UYI41" s="822"/>
      <c r="UYJ41" s="822"/>
      <c r="UYK41" s="822"/>
      <c r="UYL41" s="822"/>
      <c r="UYM41" s="822"/>
      <c r="UYN41" s="822"/>
      <c r="UYO41" s="822"/>
      <c r="UYP41" s="822"/>
      <c r="UYQ41" s="822"/>
      <c r="UYR41" s="822"/>
      <c r="UYS41" s="822"/>
      <c r="UYT41" s="822"/>
      <c r="UYU41" s="822"/>
      <c r="UYV41" s="822"/>
      <c r="UYW41" s="822"/>
      <c r="UYX41" s="822"/>
      <c r="UYY41" s="822"/>
      <c r="UYZ41" s="822"/>
      <c r="UZA41" s="822"/>
      <c r="UZB41" s="822"/>
      <c r="UZC41" s="822"/>
      <c r="UZD41" s="822"/>
      <c r="UZE41" s="822"/>
      <c r="UZF41" s="822"/>
      <c r="UZG41" s="822"/>
      <c r="UZH41" s="822"/>
      <c r="UZI41" s="822"/>
      <c r="UZJ41" s="822"/>
      <c r="UZK41" s="822"/>
      <c r="UZL41" s="822"/>
      <c r="UZM41" s="822"/>
      <c r="UZN41" s="822"/>
      <c r="UZO41" s="822"/>
      <c r="UZP41" s="822"/>
      <c r="UZQ41" s="822"/>
      <c r="UZR41" s="822"/>
      <c r="UZS41" s="822"/>
      <c r="UZT41" s="822"/>
      <c r="UZU41" s="822"/>
      <c r="UZV41" s="822"/>
      <c r="UZW41" s="822"/>
      <c r="UZX41" s="822"/>
      <c r="UZY41" s="822"/>
      <c r="UZZ41" s="822"/>
      <c r="VAA41" s="822"/>
      <c r="VAB41" s="822"/>
      <c r="VAC41" s="822"/>
      <c r="VAD41" s="822"/>
      <c r="VAE41" s="822"/>
      <c r="VAF41" s="822"/>
      <c r="VAG41" s="822"/>
      <c r="VAH41" s="822"/>
      <c r="VAI41" s="822"/>
      <c r="VAJ41" s="822"/>
      <c r="VAK41" s="822"/>
      <c r="VAL41" s="822"/>
      <c r="VAM41" s="822"/>
      <c r="VAN41" s="822"/>
      <c r="VAO41" s="822"/>
      <c r="VAP41" s="822"/>
      <c r="VAQ41" s="822"/>
      <c r="VAR41" s="822"/>
      <c r="VAS41" s="822"/>
      <c r="VAT41" s="822"/>
      <c r="VAU41" s="822"/>
      <c r="VAV41" s="822"/>
      <c r="VAW41" s="822"/>
      <c r="VAX41" s="822"/>
      <c r="VAY41" s="822"/>
      <c r="VAZ41" s="822"/>
      <c r="VBA41" s="822"/>
      <c r="VBB41" s="822"/>
      <c r="VBC41" s="822"/>
      <c r="VBD41" s="822"/>
      <c r="VBE41" s="822"/>
      <c r="VBF41" s="822"/>
      <c r="VBG41" s="822"/>
      <c r="VBH41" s="822"/>
      <c r="VBI41" s="822"/>
      <c r="VBJ41" s="822"/>
      <c r="VBK41" s="822"/>
      <c r="VBL41" s="822"/>
      <c r="VBM41" s="822"/>
      <c r="VBN41" s="822"/>
      <c r="VBO41" s="822"/>
      <c r="VBP41" s="822"/>
      <c r="VBQ41" s="822"/>
      <c r="VBR41" s="822"/>
      <c r="VBS41" s="822"/>
      <c r="VBT41" s="822"/>
      <c r="VBU41" s="822"/>
      <c r="VBV41" s="822"/>
      <c r="VBW41" s="822"/>
      <c r="VBX41" s="822"/>
      <c r="VBY41" s="822"/>
      <c r="VBZ41" s="822"/>
      <c r="VCA41" s="822"/>
      <c r="VCB41" s="822"/>
      <c r="VCC41" s="822"/>
      <c r="VCD41" s="822"/>
      <c r="VCE41" s="822"/>
      <c r="VCF41" s="822"/>
      <c r="VCG41" s="822"/>
      <c r="VCH41" s="822"/>
      <c r="VCI41" s="822"/>
      <c r="VCJ41" s="822"/>
      <c r="VCK41" s="822"/>
      <c r="VCL41" s="822"/>
      <c r="VCM41" s="822"/>
      <c r="VCN41" s="822"/>
      <c r="VCO41" s="822"/>
      <c r="VCP41" s="822"/>
      <c r="VCQ41" s="822"/>
      <c r="VCR41" s="822"/>
      <c r="VCS41" s="822"/>
      <c r="VCT41" s="822"/>
      <c r="VCU41" s="822"/>
      <c r="VCV41" s="822"/>
      <c r="VCW41" s="822"/>
      <c r="VCX41" s="822"/>
      <c r="VCY41" s="822"/>
      <c r="VCZ41" s="822"/>
      <c r="VDA41" s="822"/>
      <c r="VDB41" s="822"/>
      <c r="VDC41" s="822"/>
      <c r="VDD41" s="822"/>
      <c r="VDE41" s="822"/>
      <c r="VDF41" s="822"/>
      <c r="VDG41" s="822"/>
      <c r="VDH41" s="822"/>
      <c r="VDI41" s="822"/>
      <c r="VDJ41" s="822"/>
      <c r="VDK41" s="822"/>
      <c r="VDL41" s="822"/>
      <c r="VDM41" s="822"/>
      <c r="VDN41" s="822"/>
      <c r="VDO41" s="822"/>
      <c r="VDP41" s="822"/>
      <c r="VDQ41" s="822"/>
      <c r="VDR41" s="822"/>
      <c r="VDS41" s="822"/>
      <c r="VDT41" s="822"/>
      <c r="VDU41" s="822"/>
      <c r="VDV41" s="822"/>
      <c r="VDW41" s="822"/>
      <c r="VDX41" s="822"/>
      <c r="VDY41" s="822"/>
      <c r="VDZ41" s="822"/>
      <c r="VEA41" s="822"/>
      <c r="VEB41" s="822"/>
      <c r="VEC41" s="822"/>
      <c r="VED41" s="822"/>
      <c r="VEE41" s="822"/>
      <c r="VEF41" s="822"/>
      <c r="VEG41" s="822"/>
      <c r="VEH41" s="822"/>
      <c r="VEI41" s="822"/>
      <c r="VEJ41" s="822"/>
      <c r="VEK41" s="822"/>
      <c r="VEL41" s="822"/>
      <c r="VEM41" s="822"/>
      <c r="VEN41" s="822"/>
      <c r="VEO41" s="822"/>
      <c r="VEP41" s="822"/>
      <c r="VEQ41" s="822"/>
      <c r="VER41" s="822"/>
      <c r="VES41" s="822"/>
      <c r="VET41" s="822"/>
      <c r="VEU41" s="822"/>
      <c r="VEV41" s="822"/>
      <c r="VEW41" s="822"/>
      <c r="VEX41" s="822"/>
      <c r="VEY41" s="822"/>
      <c r="VEZ41" s="822"/>
      <c r="VFA41" s="822"/>
      <c r="VFB41" s="822"/>
      <c r="VFC41" s="822"/>
      <c r="VFD41" s="822"/>
      <c r="VFE41" s="822"/>
      <c r="VFF41" s="822"/>
      <c r="VFG41" s="822"/>
      <c r="VFH41" s="822"/>
      <c r="VFI41" s="822"/>
      <c r="VFJ41" s="822"/>
      <c r="VFK41" s="822"/>
      <c r="VFL41" s="822"/>
      <c r="VFM41" s="822"/>
      <c r="VFN41" s="822"/>
      <c r="VFO41" s="822"/>
      <c r="VFP41" s="822"/>
      <c r="VFQ41" s="822"/>
      <c r="VFR41" s="822"/>
      <c r="VFS41" s="822"/>
      <c r="VFT41" s="822"/>
      <c r="VFU41" s="822"/>
      <c r="VFV41" s="822"/>
      <c r="VFW41" s="822"/>
      <c r="VFX41" s="822"/>
      <c r="VFY41" s="822"/>
      <c r="VFZ41" s="822"/>
      <c r="VGA41" s="822"/>
      <c r="VGB41" s="822"/>
      <c r="VGC41" s="822"/>
      <c r="VGD41" s="822"/>
      <c r="VGE41" s="822"/>
      <c r="VGF41" s="822"/>
      <c r="VGG41" s="822"/>
      <c r="VGH41" s="822"/>
      <c r="VGI41" s="822"/>
      <c r="VGJ41" s="822"/>
      <c r="VGK41" s="822"/>
      <c r="VGL41" s="822"/>
      <c r="VGM41" s="822"/>
      <c r="VGN41" s="822"/>
      <c r="VGO41" s="822"/>
      <c r="VGP41" s="822"/>
      <c r="VGQ41" s="822"/>
      <c r="VGR41" s="822"/>
      <c r="VGS41" s="822"/>
      <c r="VGT41" s="822"/>
      <c r="VGU41" s="822"/>
      <c r="VGV41" s="822"/>
      <c r="VGW41" s="822"/>
      <c r="VGX41" s="822"/>
      <c r="VGY41" s="822"/>
      <c r="VGZ41" s="822"/>
      <c r="VHA41" s="822"/>
      <c r="VHB41" s="822"/>
      <c r="VHC41" s="822"/>
      <c r="VHD41" s="822"/>
      <c r="VHE41" s="822"/>
      <c r="VHF41" s="822"/>
      <c r="VHG41" s="822"/>
      <c r="VHH41" s="822"/>
      <c r="VHI41" s="822"/>
      <c r="VHJ41" s="822"/>
      <c r="VHK41" s="822"/>
      <c r="VHL41" s="822"/>
      <c r="VHM41" s="822"/>
      <c r="VHN41" s="822"/>
      <c r="VHO41" s="822"/>
      <c r="VHP41" s="822"/>
      <c r="VHQ41" s="822"/>
      <c r="VHR41" s="822"/>
      <c r="VHS41" s="822"/>
      <c r="VHT41" s="822"/>
      <c r="VHU41" s="822"/>
      <c r="VHV41" s="822"/>
      <c r="VHW41" s="822"/>
      <c r="VHX41" s="822"/>
      <c r="VHY41" s="822"/>
      <c r="VHZ41" s="822"/>
      <c r="VIA41" s="822"/>
      <c r="VIB41" s="822"/>
      <c r="VIC41" s="822"/>
      <c r="VID41" s="822"/>
      <c r="VIE41" s="822"/>
      <c r="VIF41" s="822"/>
      <c r="VIG41" s="822"/>
      <c r="VIH41" s="822"/>
      <c r="VII41" s="822"/>
      <c r="VIJ41" s="822"/>
      <c r="VIK41" s="822"/>
      <c r="VIL41" s="822"/>
      <c r="VIM41" s="822"/>
      <c r="VIN41" s="822"/>
      <c r="VIO41" s="822"/>
      <c r="VIP41" s="822"/>
      <c r="VIQ41" s="822"/>
      <c r="VIR41" s="822"/>
      <c r="VIS41" s="822"/>
      <c r="VIT41" s="822"/>
      <c r="VIU41" s="822"/>
      <c r="VIV41" s="822"/>
      <c r="VIW41" s="822"/>
      <c r="VIX41" s="822"/>
      <c r="VIY41" s="822"/>
      <c r="VIZ41" s="822"/>
      <c r="VJA41" s="822"/>
      <c r="VJB41" s="822"/>
      <c r="VJC41" s="822"/>
      <c r="VJD41" s="822"/>
      <c r="VJE41" s="822"/>
      <c r="VJF41" s="822"/>
      <c r="VJG41" s="822"/>
      <c r="VJH41" s="822"/>
      <c r="VJI41" s="822"/>
      <c r="VJJ41" s="822"/>
      <c r="VJK41" s="822"/>
      <c r="VJL41" s="822"/>
      <c r="VJM41" s="822"/>
      <c r="VJN41" s="822"/>
      <c r="VJO41" s="822"/>
      <c r="VJP41" s="822"/>
      <c r="VJQ41" s="822"/>
      <c r="VJR41" s="822"/>
      <c r="VJS41" s="822"/>
      <c r="VJT41" s="822"/>
      <c r="VJU41" s="822"/>
      <c r="VJV41" s="822"/>
      <c r="VJW41" s="822"/>
      <c r="VJX41" s="822"/>
      <c r="VJY41" s="822"/>
      <c r="VJZ41" s="822"/>
      <c r="VKA41" s="822"/>
      <c r="VKB41" s="822"/>
      <c r="VKC41" s="822"/>
      <c r="VKD41" s="822"/>
      <c r="VKE41" s="822"/>
      <c r="VKF41" s="822"/>
      <c r="VKG41" s="822"/>
      <c r="VKH41" s="822"/>
      <c r="VKI41" s="822"/>
      <c r="VKJ41" s="822"/>
      <c r="VKK41" s="822"/>
      <c r="VKL41" s="822"/>
      <c r="VKM41" s="822"/>
      <c r="VKN41" s="822"/>
      <c r="VKO41" s="822"/>
      <c r="VKP41" s="822"/>
      <c r="VKQ41" s="822"/>
      <c r="VKR41" s="822"/>
      <c r="VKS41" s="822"/>
      <c r="VKT41" s="822"/>
      <c r="VKU41" s="822"/>
      <c r="VKV41" s="822"/>
      <c r="VKW41" s="822"/>
      <c r="VKX41" s="822"/>
      <c r="VKY41" s="822"/>
      <c r="VKZ41" s="822"/>
      <c r="VLA41" s="822"/>
      <c r="VLB41" s="822"/>
      <c r="VLC41" s="822"/>
      <c r="VLD41" s="822"/>
      <c r="VLE41" s="822"/>
      <c r="VLF41" s="822"/>
      <c r="VLG41" s="822"/>
      <c r="VLH41" s="822"/>
      <c r="VLI41" s="822"/>
      <c r="VLJ41" s="822"/>
      <c r="VLK41" s="822"/>
      <c r="VLL41" s="822"/>
      <c r="VLM41" s="822"/>
      <c r="VLN41" s="822"/>
      <c r="VLO41" s="822"/>
      <c r="VLP41" s="822"/>
      <c r="VLQ41" s="822"/>
      <c r="VLR41" s="822"/>
      <c r="VLS41" s="822"/>
      <c r="VLT41" s="822"/>
      <c r="VLU41" s="822"/>
      <c r="VLV41" s="822"/>
      <c r="VLW41" s="822"/>
      <c r="VLX41" s="822"/>
      <c r="VLY41" s="822"/>
      <c r="VLZ41" s="822"/>
      <c r="VMA41" s="822"/>
      <c r="VMB41" s="822"/>
      <c r="VMC41" s="822"/>
      <c r="VMD41" s="822"/>
      <c r="VME41" s="822"/>
      <c r="VMF41" s="822"/>
      <c r="VMG41" s="822"/>
      <c r="VMH41" s="822"/>
      <c r="VMI41" s="822"/>
      <c r="VMJ41" s="822"/>
      <c r="VMK41" s="822"/>
      <c r="VML41" s="822"/>
      <c r="VMM41" s="822"/>
      <c r="VMN41" s="822"/>
      <c r="VMO41" s="822"/>
      <c r="VMP41" s="822"/>
      <c r="VMQ41" s="822"/>
      <c r="VMR41" s="822"/>
      <c r="VMS41" s="822"/>
      <c r="VMT41" s="822"/>
      <c r="VMU41" s="822"/>
      <c r="VMV41" s="822"/>
      <c r="VMW41" s="822"/>
      <c r="VMX41" s="822"/>
      <c r="VMY41" s="822"/>
      <c r="VMZ41" s="822"/>
      <c r="VNA41" s="822"/>
      <c r="VNB41" s="822"/>
      <c r="VNC41" s="822"/>
      <c r="VND41" s="822"/>
      <c r="VNE41" s="822"/>
      <c r="VNF41" s="822"/>
      <c r="VNG41" s="822"/>
      <c r="VNH41" s="822"/>
      <c r="VNI41" s="822"/>
      <c r="VNJ41" s="822"/>
      <c r="VNK41" s="822"/>
      <c r="VNL41" s="822"/>
      <c r="VNM41" s="822"/>
      <c r="VNN41" s="822"/>
      <c r="VNO41" s="822"/>
      <c r="VNP41" s="822"/>
      <c r="VNQ41" s="822"/>
      <c r="VNR41" s="822"/>
      <c r="VNS41" s="822"/>
      <c r="VNT41" s="822"/>
      <c r="VNU41" s="822"/>
      <c r="VNV41" s="822"/>
      <c r="VNW41" s="822"/>
      <c r="VNX41" s="822"/>
      <c r="VNY41" s="822"/>
      <c r="VNZ41" s="822"/>
      <c r="VOA41" s="822"/>
      <c r="VOB41" s="822"/>
      <c r="VOC41" s="822"/>
      <c r="VOD41" s="822"/>
      <c r="VOE41" s="822"/>
      <c r="VOF41" s="822"/>
      <c r="VOG41" s="822"/>
      <c r="VOH41" s="822"/>
      <c r="VOI41" s="822"/>
      <c r="VOJ41" s="822"/>
      <c r="VOK41" s="822"/>
      <c r="VOL41" s="822"/>
      <c r="VOM41" s="822"/>
      <c r="VON41" s="822"/>
      <c r="VOO41" s="822"/>
      <c r="VOP41" s="822"/>
      <c r="VOQ41" s="822"/>
      <c r="VOR41" s="822"/>
      <c r="VOS41" s="822"/>
      <c r="VOT41" s="822"/>
      <c r="VOU41" s="822"/>
      <c r="VOV41" s="822"/>
      <c r="VOW41" s="822"/>
      <c r="VOX41" s="822"/>
      <c r="VOY41" s="822"/>
      <c r="VOZ41" s="822"/>
      <c r="VPA41" s="822"/>
      <c r="VPB41" s="822"/>
      <c r="VPC41" s="822"/>
      <c r="VPD41" s="822"/>
      <c r="VPE41" s="822"/>
      <c r="VPF41" s="822"/>
      <c r="VPG41" s="822"/>
      <c r="VPH41" s="822"/>
      <c r="VPI41" s="822"/>
      <c r="VPJ41" s="822"/>
      <c r="VPK41" s="822"/>
      <c r="VPL41" s="822"/>
      <c r="VPM41" s="822"/>
      <c r="VPN41" s="822"/>
      <c r="VPO41" s="822"/>
      <c r="VPP41" s="822"/>
      <c r="VPQ41" s="822"/>
      <c r="VPR41" s="822"/>
      <c r="VPS41" s="822"/>
      <c r="VPT41" s="822"/>
      <c r="VPU41" s="822"/>
      <c r="VPV41" s="822"/>
      <c r="VPW41" s="822"/>
      <c r="VPX41" s="822"/>
      <c r="VPY41" s="822"/>
      <c r="VPZ41" s="822"/>
      <c r="VQA41" s="822"/>
      <c r="VQB41" s="822"/>
      <c r="VQC41" s="822"/>
      <c r="VQD41" s="822"/>
      <c r="VQE41" s="822"/>
      <c r="VQF41" s="822"/>
      <c r="VQG41" s="822"/>
      <c r="VQH41" s="822"/>
      <c r="VQI41" s="822"/>
      <c r="VQJ41" s="822"/>
      <c r="VQK41" s="822"/>
      <c r="VQL41" s="822"/>
      <c r="VQM41" s="822"/>
      <c r="VQN41" s="822"/>
      <c r="VQO41" s="822"/>
      <c r="VQP41" s="822"/>
      <c r="VQQ41" s="822"/>
      <c r="VQR41" s="822"/>
      <c r="VQS41" s="822"/>
      <c r="VQT41" s="822"/>
      <c r="VQU41" s="822"/>
      <c r="VQV41" s="822"/>
      <c r="VQW41" s="822"/>
      <c r="VQX41" s="822"/>
      <c r="VQY41" s="822"/>
      <c r="VQZ41" s="822"/>
      <c r="VRA41" s="822"/>
      <c r="VRB41" s="822"/>
      <c r="VRC41" s="822"/>
      <c r="VRD41" s="822"/>
      <c r="VRE41" s="822"/>
      <c r="VRF41" s="822"/>
      <c r="VRG41" s="822"/>
      <c r="VRH41" s="822"/>
      <c r="VRI41" s="822"/>
      <c r="VRJ41" s="822"/>
      <c r="VRK41" s="822"/>
      <c r="VRL41" s="822"/>
      <c r="VRM41" s="822"/>
      <c r="VRN41" s="822"/>
      <c r="VRO41" s="822"/>
      <c r="VRP41" s="822"/>
      <c r="VRQ41" s="822"/>
      <c r="VRR41" s="822"/>
      <c r="VRS41" s="822"/>
      <c r="VRT41" s="822"/>
      <c r="VRU41" s="822"/>
      <c r="VRV41" s="822"/>
      <c r="VRW41" s="822"/>
      <c r="VRX41" s="822"/>
      <c r="VRY41" s="822"/>
      <c r="VRZ41" s="822"/>
      <c r="VSA41" s="822"/>
      <c r="VSB41" s="822"/>
      <c r="VSC41" s="822"/>
      <c r="VSD41" s="822"/>
      <c r="VSE41" s="822"/>
      <c r="VSF41" s="822"/>
      <c r="VSG41" s="822"/>
      <c r="VSH41" s="822"/>
      <c r="VSI41" s="822"/>
      <c r="VSJ41" s="822"/>
      <c r="VSK41" s="822"/>
      <c r="VSL41" s="822"/>
      <c r="VSM41" s="822"/>
      <c r="VSN41" s="822"/>
      <c r="VSO41" s="822"/>
      <c r="VSP41" s="822"/>
      <c r="VSQ41" s="822"/>
      <c r="VSR41" s="822"/>
      <c r="VSS41" s="822"/>
      <c r="VST41" s="822"/>
      <c r="VSU41" s="822"/>
      <c r="VSV41" s="822"/>
      <c r="VSW41" s="822"/>
      <c r="VSX41" s="822"/>
      <c r="VSY41" s="822"/>
      <c r="VSZ41" s="822"/>
      <c r="VTA41" s="822"/>
      <c r="VTB41" s="822"/>
      <c r="VTC41" s="822"/>
      <c r="VTD41" s="822"/>
      <c r="VTE41" s="822"/>
      <c r="VTF41" s="822"/>
      <c r="VTG41" s="822"/>
      <c r="VTH41" s="822"/>
      <c r="VTI41" s="822"/>
      <c r="VTJ41" s="822"/>
      <c r="VTK41" s="822"/>
      <c r="VTL41" s="822"/>
      <c r="VTM41" s="822"/>
      <c r="VTN41" s="822"/>
      <c r="VTO41" s="822"/>
      <c r="VTP41" s="822"/>
      <c r="VTQ41" s="822"/>
      <c r="VTR41" s="822"/>
      <c r="VTS41" s="822"/>
      <c r="VTT41" s="822"/>
      <c r="VTU41" s="822"/>
      <c r="VTV41" s="822"/>
      <c r="VTW41" s="822"/>
      <c r="VTX41" s="822"/>
      <c r="VTY41" s="822"/>
      <c r="VTZ41" s="822"/>
      <c r="VUA41" s="822"/>
      <c r="VUB41" s="822"/>
      <c r="VUC41" s="822"/>
      <c r="VUD41" s="822"/>
      <c r="VUE41" s="822"/>
      <c r="VUF41" s="822"/>
      <c r="VUG41" s="822"/>
      <c r="VUH41" s="822"/>
      <c r="VUI41" s="822"/>
      <c r="VUJ41" s="822"/>
      <c r="VUK41" s="822"/>
      <c r="VUL41" s="822"/>
      <c r="VUM41" s="822"/>
      <c r="VUN41" s="822"/>
      <c r="VUO41" s="822"/>
      <c r="VUP41" s="822"/>
      <c r="VUQ41" s="822"/>
      <c r="VUR41" s="822"/>
      <c r="VUS41" s="822"/>
      <c r="VUT41" s="822"/>
      <c r="VUU41" s="822"/>
      <c r="VUV41" s="822"/>
      <c r="VUW41" s="822"/>
      <c r="VUX41" s="822"/>
      <c r="VUY41" s="822"/>
      <c r="VUZ41" s="822"/>
      <c r="VVA41" s="822"/>
      <c r="VVB41" s="822"/>
      <c r="VVC41" s="822"/>
      <c r="VVD41" s="822"/>
      <c r="VVE41" s="822"/>
      <c r="VVF41" s="822"/>
      <c r="VVG41" s="822"/>
      <c r="VVH41" s="822"/>
      <c r="VVI41" s="822"/>
      <c r="VVJ41" s="822"/>
      <c r="VVK41" s="822"/>
      <c r="VVL41" s="822"/>
      <c r="VVM41" s="822"/>
      <c r="VVN41" s="822"/>
      <c r="VVO41" s="822"/>
      <c r="VVP41" s="822"/>
      <c r="VVQ41" s="822"/>
      <c r="VVR41" s="822"/>
      <c r="VVS41" s="822"/>
      <c r="VVT41" s="822"/>
      <c r="VVU41" s="822"/>
      <c r="VVV41" s="822"/>
      <c r="VVW41" s="822"/>
      <c r="VVX41" s="822"/>
      <c r="VVY41" s="822"/>
      <c r="VVZ41" s="822"/>
      <c r="VWA41" s="822"/>
      <c r="VWB41" s="822"/>
      <c r="VWC41" s="822"/>
      <c r="VWD41" s="822"/>
      <c r="VWE41" s="822"/>
      <c r="VWF41" s="822"/>
      <c r="VWG41" s="822"/>
      <c r="VWH41" s="822"/>
      <c r="VWI41" s="822"/>
      <c r="VWJ41" s="822"/>
      <c r="VWK41" s="822"/>
      <c r="VWL41" s="822"/>
      <c r="VWM41" s="822"/>
      <c r="VWN41" s="822"/>
      <c r="VWO41" s="822"/>
      <c r="VWP41" s="822"/>
      <c r="VWQ41" s="822"/>
      <c r="VWR41" s="822"/>
      <c r="VWS41" s="822"/>
      <c r="VWT41" s="822"/>
      <c r="VWU41" s="822"/>
      <c r="VWV41" s="822"/>
      <c r="VWW41" s="822"/>
      <c r="VWX41" s="822"/>
      <c r="VWY41" s="822"/>
      <c r="VWZ41" s="822"/>
      <c r="VXA41" s="822"/>
      <c r="VXB41" s="822"/>
      <c r="VXC41" s="822"/>
      <c r="VXD41" s="822"/>
      <c r="VXE41" s="822"/>
      <c r="VXF41" s="822"/>
      <c r="VXG41" s="822"/>
      <c r="VXH41" s="822"/>
      <c r="VXI41" s="822"/>
      <c r="VXJ41" s="822"/>
      <c r="VXK41" s="822"/>
      <c r="VXL41" s="822"/>
      <c r="VXM41" s="822"/>
      <c r="VXN41" s="822"/>
      <c r="VXO41" s="822"/>
      <c r="VXP41" s="822"/>
      <c r="VXQ41" s="822"/>
      <c r="VXR41" s="822"/>
      <c r="VXS41" s="822"/>
      <c r="VXT41" s="822"/>
      <c r="VXU41" s="822"/>
      <c r="VXV41" s="822"/>
      <c r="VXW41" s="822"/>
      <c r="VXX41" s="822"/>
      <c r="VXY41" s="822"/>
      <c r="VXZ41" s="822"/>
      <c r="VYA41" s="822"/>
      <c r="VYB41" s="822"/>
      <c r="VYC41" s="822"/>
      <c r="VYD41" s="822"/>
      <c r="VYE41" s="822"/>
      <c r="VYF41" s="822"/>
      <c r="VYG41" s="822"/>
      <c r="VYH41" s="822"/>
      <c r="VYI41" s="822"/>
      <c r="VYJ41" s="822"/>
      <c r="VYK41" s="822"/>
      <c r="VYL41" s="822"/>
      <c r="VYM41" s="822"/>
      <c r="VYN41" s="822"/>
      <c r="VYO41" s="822"/>
      <c r="VYP41" s="822"/>
      <c r="VYQ41" s="822"/>
      <c r="VYR41" s="822"/>
      <c r="VYS41" s="822"/>
      <c r="VYT41" s="822"/>
      <c r="VYU41" s="822"/>
      <c r="VYV41" s="822"/>
      <c r="VYW41" s="822"/>
      <c r="VYX41" s="822"/>
      <c r="VYY41" s="822"/>
      <c r="VYZ41" s="822"/>
      <c r="VZA41" s="822"/>
      <c r="VZB41" s="822"/>
      <c r="VZC41" s="822"/>
      <c r="VZD41" s="822"/>
      <c r="VZE41" s="822"/>
      <c r="VZF41" s="822"/>
      <c r="VZG41" s="822"/>
      <c r="VZH41" s="822"/>
      <c r="VZI41" s="822"/>
      <c r="VZJ41" s="822"/>
      <c r="VZK41" s="822"/>
      <c r="VZL41" s="822"/>
      <c r="VZM41" s="822"/>
      <c r="VZN41" s="822"/>
      <c r="VZO41" s="822"/>
      <c r="VZP41" s="822"/>
      <c r="VZQ41" s="822"/>
      <c r="VZR41" s="822"/>
      <c r="VZS41" s="822"/>
      <c r="VZT41" s="822"/>
      <c r="VZU41" s="822"/>
      <c r="VZV41" s="822"/>
      <c r="VZW41" s="822"/>
      <c r="VZX41" s="822"/>
      <c r="VZY41" s="822"/>
      <c r="VZZ41" s="822"/>
      <c r="WAA41" s="822"/>
      <c r="WAB41" s="822"/>
      <c r="WAC41" s="822"/>
      <c r="WAD41" s="822"/>
      <c r="WAE41" s="822"/>
      <c r="WAF41" s="822"/>
      <c r="WAG41" s="822"/>
      <c r="WAH41" s="822"/>
      <c r="WAI41" s="822"/>
      <c r="WAJ41" s="822"/>
      <c r="WAK41" s="822"/>
      <c r="WAL41" s="822"/>
      <c r="WAM41" s="822"/>
      <c r="WAN41" s="822"/>
      <c r="WAO41" s="822"/>
      <c r="WAP41" s="822"/>
      <c r="WAQ41" s="822"/>
      <c r="WAR41" s="822"/>
      <c r="WAS41" s="822"/>
      <c r="WAT41" s="822"/>
      <c r="WAU41" s="822"/>
      <c r="WAV41" s="822"/>
      <c r="WAW41" s="822"/>
      <c r="WAX41" s="822"/>
      <c r="WAY41" s="822"/>
      <c r="WAZ41" s="822"/>
      <c r="WBA41" s="822"/>
      <c r="WBB41" s="822"/>
      <c r="WBC41" s="822"/>
      <c r="WBD41" s="822"/>
      <c r="WBE41" s="822"/>
      <c r="WBF41" s="822"/>
      <c r="WBG41" s="822"/>
      <c r="WBH41" s="822"/>
      <c r="WBI41" s="822"/>
      <c r="WBJ41" s="822"/>
      <c r="WBK41" s="822"/>
      <c r="WBL41" s="822"/>
      <c r="WBM41" s="822"/>
      <c r="WBN41" s="822"/>
      <c r="WBO41" s="822"/>
      <c r="WBP41" s="822"/>
      <c r="WBQ41" s="822"/>
      <c r="WBR41" s="822"/>
      <c r="WBS41" s="822"/>
      <c r="WBT41" s="822"/>
      <c r="WBU41" s="822"/>
      <c r="WBV41" s="822"/>
      <c r="WBW41" s="822"/>
      <c r="WBX41" s="822"/>
      <c r="WBY41" s="822"/>
      <c r="WBZ41" s="822"/>
      <c r="WCA41" s="822"/>
      <c r="WCB41" s="822"/>
      <c r="WCC41" s="822"/>
      <c r="WCD41" s="822"/>
      <c r="WCE41" s="822"/>
      <c r="WCF41" s="822"/>
      <c r="WCG41" s="822"/>
      <c r="WCH41" s="822"/>
      <c r="WCI41" s="822"/>
      <c r="WCJ41" s="822"/>
      <c r="WCK41" s="822"/>
      <c r="WCL41" s="822"/>
      <c r="WCM41" s="822"/>
      <c r="WCN41" s="822"/>
      <c r="WCO41" s="822"/>
      <c r="WCP41" s="822"/>
      <c r="WCQ41" s="822"/>
      <c r="WCR41" s="822"/>
      <c r="WCS41" s="822"/>
      <c r="WCT41" s="822"/>
      <c r="WCU41" s="822"/>
      <c r="WCV41" s="822"/>
      <c r="WCW41" s="822"/>
      <c r="WCX41" s="822"/>
      <c r="WCY41" s="822"/>
      <c r="WCZ41" s="822"/>
      <c r="WDA41" s="822"/>
      <c r="WDB41" s="822"/>
      <c r="WDC41" s="822"/>
      <c r="WDD41" s="822"/>
      <c r="WDE41" s="822"/>
      <c r="WDF41" s="822"/>
      <c r="WDG41" s="822"/>
      <c r="WDH41" s="822"/>
      <c r="WDI41" s="822"/>
      <c r="WDJ41" s="822"/>
      <c r="WDK41" s="822"/>
      <c r="WDL41" s="822"/>
      <c r="WDM41" s="822"/>
      <c r="WDN41" s="822"/>
      <c r="WDO41" s="822"/>
      <c r="WDP41" s="822"/>
      <c r="WDQ41" s="822"/>
      <c r="WDR41" s="822"/>
      <c r="WDS41" s="822"/>
      <c r="WDT41" s="822"/>
      <c r="WDU41" s="822"/>
      <c r="WDV41" s="822"/>
      <c r="WDW41" s="822"/>
      <c r="WDX41" s="822"/>
      <c r="WDY41" s="822"/>
      <c r="WDZ41" s="822"/>
      <c r="WEA41" s="822"/>
      <c r="WEB41" s="822"/>
      <c r="WEC41" s="822"/>
      <c r="WED41" s="822"/>
      <c r="WEE41" s="822"/>
      <c r="WEF41" s="822"/>
      <c r="WEG41" s="822"/>
      <c r="WEH41" s="822"/>
      <c r="WEI41" s="822"/>
      <c r="WEJ41" s="822"/>
      <c r="WEK41" s="822"/>
      <c r="WEL41" s="822"/>
      <c r="WEM41" s="822"/>
      <c r="WEN41" s="822"/>
      <c r="WEO41" s="822"/>
      <c r="WEP41" s="822"/>
      <c r="WEQ41" s="822"/>
      <c r="WER41" s="822"/>
      <c r="WES41" s="822"/>
      <c r="WET41" s="822"/>
      <c r="WEU41" s="822"/>
      <c r="WEV41" s="822"/>
      <c r="WEW41" s="822"/>
      <c r="WEX41" s="822"/>
      <c r="WEY41" s="822"/>
      <c r="WEZ41" s="822"/>
      <c r="WFA41" s="822"/>
      <c r="WFB41" s="822"/>
      <c r="WFC41" s="822"/>
      <c r="WFD41" s="822"/>
      <c r="WFE41" s="822"/>
      <c r="WFF41" s="822"/>
      <c r="WFG41" s="822"/>
      <c r="WFH41" s="822"/>
      <c r="WFI41" s="822"/>
      <c r="WFJ41" s="822"/>
      <c r="WFK41" s="822"/>
      <c r="WFL41" s="822"/>
      <c r="WFM41" s="822"/>
      <c r="WFN41" s="822"/>
      <c r="WFO41" s="822"/>
      <c r="WFP41" s="822"/>
      <c r="WFQ41" s="822"/>
      <c r="WFR41" s="822"/>
      <c r="WFS41" s="822"/>
      <c r="WFT41" s="822"/>
      <c r="WFU41" s="822"/>
      <c r="WFV41" s="822"/>
      <c r="WFW41" s="822"/>
      <c r="WFX41" s="822"/>
      <c r="WFY41" s="822"/>
      <c r="WFZ41" s="822"/>
      <c r="WGA41" s="822"/>
      <c r="WGB41" s="822"/>
      <c r="WGC41" s="822"/>
      <c r="WGD41" s="822"/>
      <c r="WGE41" s="822"/>
      <c r="WGF41" s="822"/>
      <c r="WGG41" s="822"/>
      <c r="WGH41" s="822"/>
      <c r="WGI41" s="822"/>
      <c r="WGJ41" s="822"/>
      <c r="WGK41" s="822"/>
      <c r="WGL41" s="822"/>
      <c r="WGM41" s="822"/>
      <c r="WGN41" s="822"/>
      <c r="WGO41" s="822"/>
      <c r="WGP41" s="822"/>
      <c r="WGQ41" s="822"/>
      <c r="WGR41" s="822"/>
      <c r="WGS41" s="822"/>
      <c r="WGT41" s="822"/>
      <c r="WGU41" s="822"/>
      <c r="WGV41" s="822"/>
      <c r="WGW41" s="822"/>
      <c r="WGX41" s="822"/>
      <c r="WGY41" s="822"/>
      <c r="WGZ41" s="822"/>
      <c r="WHA41" s="822"/>
      <c r="WHB41" s="822"/>
      <c r="WHC41" s="822"/>
      <c r="WHD41" s="822"/>
      <c r="WHE41" s="822"/>
      <c r="WHF41" s="822"/>
      <c r="WHG41" s="822"/>
      <c r="WHH41" s="822"/>
      <c r="WHI41" s="822"/>
      <c r="WHJ41" s="822"/>
      <c r="WHK41" s="822"/>
      <c r="WHL41" s="822"/>
      <c r="WHM41" s="822"/>
      <c r="WHN41" s="822"/>
      <c r="WHO41" s="822"/>
      <c r="WHP41" s="822"/>
      <c r="WHQ41" s="822"/>
      <c r="WHR41" s="822"/>
      <c r="WHS41" s="822"/>
      <c r="WHT41" s="822"/>
      <c r="WHU41" s="822"/>
      <c r="WHV41" s="822"/>
      <c r="WHW41" s="822"/>
      <c r="WHX41" s="822"/>
      <c r="WHY41" s="822"/>
      <c r="WHZ41" s="822"/>
      <c r="WIA41" s="822"/>
      <c r="WIB41" s="822"/>
      <c r="WIC41" s="822"/>
      <c r="WID41" s="822"/>
      <c r="WIE41" s="822"/>
      <c r="WIF41" s="822"/>
      <c r="WIG41" s="822"/>
      <c r="WIH41" s="822"/>
      <c r="WII41" s="822"/>
      <c r="WIJ41" s="822"/>
      <c r="WIK41" s="822"/>
      <c r="WIL41" s="822"/>
      <c r="WIM41" s="822"/>
      <c r="WIN41" s="822"/>
      <c r="WIO41" s="822"/>
      <c r="WIP41" s="822"/>
      <c r="WIQ41" s="822"/>
      <c r="WIR41" s="822"/>
      <c r="WIS41" s="822"/>
      <c r="WIT41" s="822"/>
      <c r="WIU41" s="822"/>
      <c r="WIV41" s="822"/>
      <c r="WIW41" s="822"/>
      <c r="WIX41" s="822"/>
      <c r="WIY41" s="822"/>
      <c r="WIZ41" s="822"/>
      <c r="WJA41" s="822"/>
      <c r="WJB41" s="822"/>
      <c r="WJC41" s="822"/>
      <c r="WJD41" s="822"/>
      <c r="WJE41" s="822"/>
      <c r="WJF41" s="822"/>
      <c r="WJG41" s="822"/>
      <c r="WJH41" s="822"/>
      <c r="WJI41" s="822"/>
      <c r="WJJ41" s="822"/>
      <c r="WJK41" s="822"/>
      <c r="WJL41" s="822"/>
      <c r="WJM41" s="822"/>
      <c r="WJN41" s="822"/>
      <c r="WJO41" s="822"/>
      <c r="WJP41" s="822"/>
      <c r="WJQ41" s="822"/>
      <c r="WJR41" s="822"/>
      <c r="WJS41" s="822"/>
      <c r="WJT41" s="822"/>
      <c r="WJU41" s="822"/>
      <c r="WJV41" s="822"/>
      <c r="WJW41" s="822"/>
      <c r="WJX41" s="822"/>
      <c r="WJY41" s="822"/>
      <c r="WJZ41" s="822"/>
      <c r="WKA41" s="822"/>
      <c r="WKB41" s="822"/>
      <c r="WKC41" s="822"/>
      <c r="WKD41" s="822"/>
      <c r="WKE41" s="822"/>
      <c r="WKF41" s="822"/>
      <c r="WKG41" s="822"/>
      <c r="WKH41" s="822"/>
      <c r="WKI41" s="822"/>
      <c r="WKJ41" s="822"/>
      <c r="WKK41" s="822"/>
      <c r="WKL41" s="822"/>
      <c r="WKM41" s="822"/>
      <c r="WKN41" s="822"/>
      <c r="WKO41" s="822"/>
      <c r="WKP41" s="822"/>
      <c r="WKQ41" s="822"/>
      <c r="WKR41" s="822"/>
      <c r="WKS41" s="822"/>
      <c r="WKT41" s="822"/>
      <c r="WKU41" s="822"/>
      <c r="WKV41" s="822"/>
      <c r="WKW41" s="822"/>
      <c r="WKX41" s="822"/>
      <c r="WKY41" s="822"/>
      <c r="WKZ41" s="822"/>
      <c r="WLA41" s="822"/>
      <c r="WLB41" s="822"/>
      <c r="WLC41" s="822"/>
      <c r="WLD41" s="822"/>
      <c r="WLE41" s="822"/>
      <c r="WLF41" s="822"/>
      <c r="WLG41" s="822"/>
      <c r="WLH41" s="822"/>
      <c r="WLI41" s="822"/>
      <c r="WLJ41" s="822"/>
      <c r="WLK41" s="822"/>
      <c r="WLL41" s="822"/>
      <c r="WLM41" s="822"/>
      <c r="WLN41" s="822"/>
      <c r="WLO41" s="822"/>
      <c r="WLP41" s="822"/>
      <c r="WLQ41" s="822"/>
      <c r="WLR41" s="822"/>
      <c r="WLS41" s="822"/>
      <c r="WLT41" s="822"/>
      <c r="WLU41" s="822"/>
      <c r="WLV41" s="822"/>
      <c r="WLW41" s="822"/>
      <c r="WLX41" s="822"/>
      <c r="WLY41" s="822"/>
      <c r="WLZ41" s="822"/>
      <c r="WMA41" s="822"/>
      <c r="WMB41" s="822"/>
      <c r="WMC41" s="822"/>
      <c r="WMD41" s="822"/>
      <c r="WME41" s="822"/>
      <c r="WMF41" s="822"/>
      <c r="WMG41" s="822"/>
      <c r="WMH41" s="822"/>
      <c r="WMI41" s="822"/>
      <c r="WMJ41" s="822"/>
      <c r="WMK41" s="822"/>
      <c r="WML41" s="822"/>
      <c r="WMM41" s="822"/>
      <c r="WMN41" s="822"/>
      <c r="WMO41" s="822"/>
      <c r="WMP41" s="822"/>
      <c r="WMQ41" s="822"/>
      <c r="WMR41" s="822"/>
      <c r="WMS41" s="822"/>
      <c r="WMT41" s="822"/>
      <c r="WMU41" s="822"/>
      <c r="WMV41" s="822"/>
      <c r="WMW41" s="822"/>
      <c r="WMX41" s="822"/>
      <c r="WMY41" s="822"/>
      <c r="WMZ41" s="822"/>
      <c r="WNA41" s="822"/>
      <c r="WNB41" s="822"/>
      <c r="WNC41" s="822"/>
      <c r="WND41" s="822"/>
      <c r="WNE41" s="822"/>
      <c r="WNF41" s="822"/>
      <c r="WNG41" s="822"/>
      <c r="WNH41" s="822"/>
      <c r="WNI41" s="822"/>
      <c r="WNJ41" s="822"/>
      <c r="WNK41" s="822"/>
      <c r="WNL41" s="822"/>
      <c r="WNM41" s="822"/>
      <c r="WNN41" s="822"/>
      <c r="WNO41" s="822"/>
      <c r="WNP41" s="822"/>
      <c r="WNQ41" s="822"/>
      <c r="WNR41" s="822"/>
      <c r="WNS41" s="822"/>
      <c r="WNT41" s="822"/>
      <c r="WNU41" s="822"/>
      <c r="WNV41" s="822"/>
      <c r="WNW41" s="822"/>
      <c r="WNX41" s="822"/>
      <c r="WNY41" s="822"/>
      <c r="WNZ41" s="822"/>
      <c r="WOA41" s="822"/>
      <c r="WOB41" s="822"/>
      <c r="WOC41" s="822"/>
      <c r="WOD41" s="822"/>
      <c r="WOE41" s="822"/>
      <c r="WOF41" s="822"/>
      <c r="WOG41" s="822"/>
      <c r="WOH41" s="822"/>
      <c r="WOI41" s="822"/>
      <c r="WOJ41" s="822"/>
      <c r="WOK41" s="822"/>
      <c r="WOL41" s="822"/>
      <c r="WOM41" s="822"/>
      <c r="WON41" s="822"/>
      <c r="WOO41" s="822"/>
      <c r="WOP41" s="822"/>
      <c r="WOQ41" s="822"/>
      <c r="WOR41" s="822"/>
      <c r="WOS41" s="822"/>
      <c r="WOT41" s="822"/>
      <c r="WOU41" s="822"/>
      <c r="WOV41" s="822"/>
      <c r="WOW41" s="822"/>
      <c r="WOX41" s="822"/>
      <c r="WOY41" s="822"/>
      <c r="WOZ41" s="822"/>
      <c r="WPA41" s="822"/>
      <c r="WPB41" s="822"/>
      <c r="WPC41" s="822"/>
      <c r="WPD41" s="822"/>
      <c r="WPE41" s="822"/>
      <c r="WPF41" s="822"/>
      <c r="WPG41" s="822"/>
      <c r="WPH41" s="822"/>
      <c r="WPI41" s="822"/>
      <c r="WPJ41" s="822"/>
      <c r="WPK41" s="822"/>
      <c r="WPL41" s="822"/>
      <c r="WPM41" s="822"/>
      <c r="WPN41" s="822"/>
      <c r="WPO41" s="822"/>
      <c r="WPP41" s="822"/>
      <c r="WPQ41" s="822"/>
      <c r="WPR41" s="822"/>
      <c r="WPS41" s="822"/>
      <c r="WPT41" s="822"/>
      <c r="WPU41" s="822"/>
      <c r="WPV41" s="822"/>
      <c r="WPW41" s="822"/>
      <c r="WPX41" s="822"/>
      <c r="WPY41" s="822"/>
      <c r="WPZ41" s="822"/>
      <c r="WQA41" s="822"/>
      <c r="WQB41" s="822"/>
      <c r="WQC41" s="822"/>
      <c r="WQD41" s="822"/>
      <c r="WQE41" s="822"/>
      <c r="WQF41" s="822"/>
      <c r="WQG41" s="822"/>
      <c r="WQH41" s="822"/>
      <c r="WQI41" s="822"/>
      <c r="WQJ41" s="822"/>
      <c r="WQK41" s="822"/>
      <c r="WQL41" s="822"/>
      <c r="WQM41" s="822"/>
      <c r="WQN41" s="822"/>
      <c r="WQO41" s="822"/>
      <c r="WQP41" s="822"/>
      <c r="WQQ41" s="822"/>
      <c r="WQR41" s="822"/>
      <c r="WQS41" s="822"/>
      <c r="WQT41" s="822"/>
      <c r="WQU41" s="822"/>
      <c r="WQV41" s="822"/>
      <c r="WQW41" s="822"/>
      <c r="WQX41" s="822"/>
      <c r="WQY41" s="822"/>
      <c r="WQZ41" s="822"/>
      <c r="WRA41" s="822"/>
      <c r="WRB41" s="822"/>
      <c r="WRC41" s="822"/>
      <c r="WRD41" s="822"/>
      <c r="WRE41" s="822"/>
      <c r="WRF41" s="822"/>
      <c r="WRG41" s="822"/>
      <c r="WRH41" s="822"/>
      <c r="WRI41" s="822"/>
      <c r="WRJ41" s="822"/>
      <c r="WRK41" s="822"/>
      <c r="WRL41" s="822"/>
      <c r="WRM41" s="822"/>
      <c r="WRN41" s="822"/>
      <c r="WRO41" s="822"/>
      <c r="WRP41" s="822"/>
      <c r="WRQ41" s="822"/>
      <c r="WRR41" s="822"/>
      <c r="WRS41" s="822"/>
      <c r="WRT41" s="822"/>
      <c r="WRU41" s="822"/>
      <c r="WRV41" s="822"/>
      <c r="WRW41" s="822"/>
      <c r="WRX41" s="822"/>
      <c r="WRY41" s="822"/>
      <c r="WRZ41" s="822"/>
      <c r="WSA41" s="822"/>
      <c r="WSB41" s="822"/>
      <c r="WSC41" s="822"/>
      <c r="WSD41" s="822"/>
      <c r="WSE41" s="822"/>
      <c r="WSF41" s="822"/>
      <c r="WSG41" s="822"/>
      <c r="WSH41" s="822"/>
      <c r="WSI41" s="822"/>
      <c r="WSJ41" s="822"/>
      <c r="WSK41" s="822"/>
      <c r="WSL41" s="822"/>
      <c r="WSM41" s="822"/>
      <c r="WSN41" s="822"/>
      <c r="WSO41" s="822"/>
      <c r="WSP41" s="822"/>
      <c r="WSQ41" s="822"/>
      <c r="WSR41" s="822"/>
      <c r="WSS41" s="822"/>
      <c r="WST41" s="822"/>
      <c r="WSU41" s="822"/>
      <c r="WSV41" s="822"/>
      <c r="WSW41" s="822"/>
      <c r="WSX41" s="822"/>
      <c r="WSY41" s="822"/>
      <c r="WSZ41" s="822"/>
      <c r="WTA41" s="822"/>
      <c r="WTB41" s="822"/>
      <c r="WTC41" s="822"/>
      <c r="WTD41" s="822"/>
      <c r="WTE41" s="822"/>
      <c r="WTF41" s="822"/>
      <c r="WTG41" s="822"/>
      <c r="WTH41" s="822"/>
      <c r="WTI41" s="822"/>
      <c r="WTJ41" s="822"/>
      <c r="WTK41" s="822"/>
      <c r="WTL41" s="822"/>
      <c r="WTM41" s="822"/>
      <c r="WTN41" s="822"/>
      <c r="WTO41" s="822"/>
      <c r="WTP41" s="822"/>
      <c r="WTQ41" s="822"/>
      <c r="WTR41" s="822"/>
      <c r="WTS41" s="822"/>
      <c r="WTT41" s="822"/>
      <c r="WTU41" s="822"/>
      <c r="WTV41" s="822"/>
      <c r="WTW41" s="822"/>
      <c r="WTX41" s="822"/>
      <c r="WTY41" s="822"/>
      <c r="WTZ41" s="822"/>
      <c r="WUA41" s="822"/>
      <c r="WUB41" s="822"/>
      <c r="WUC41" s="822"/>
      <c r="WUD41" s="822"/>
      <c r="WUE41" s="822"/>
      <c r="WUF41" s="822"/>
      <c r="WUG41" s="822"/>
      <c r="WUH41" s="822"/>
      <c r="WUI41" s="822"/>
      <c r="WUJ41" s="822"/>
      <c r="WUK41" s="822"/>
      <c r="WUL41" s="822"/>
      <c r="WUM41" s="822"/>
      <c r="WUN41" s="822"/>
      <c r="WUO41" s="822"/>
      <c r="WUP41" s="822"/>
      <c r="WUQ41" s="822"/>
      <c r="WUR41" s="822"/>
      <c r="WUS41" s="822"/>
      <c r="WUT41" s="822"/>
      <c r="WUU41" s="822"/>
      <c r="WUV41" s="822"/>
      <c r="WUW41" s="822"/>
      <c r="WUX41" s="822"/>
      <c r="WUY41" s="822"/>
      <c r="WUZ41" s="822"/>
      <c r="WVA41" s="822"/>
      <c r="WVB41" s="822"/>
      <c r="WVC41" s="822"/>
      <c r="WVD41" s="822"/>
      <c r="WVE41" s="822"/>
      <c r="WVF41" s="822"/>
      <c r="WVG41" s="822"/>
      <c r="WVH41" s="822"/>
      <c r="WVI41" s="822"/>
      <c r="WVJ41" s="822"/>
      <c r="WVK41" s="822"/>
      <c r="WVL41" s="822"/>
      <c r="WVM41" s="822"/>
      <c r="WVN41" s="822"/>
      <c r="WVO41" s="822"/>
      <c r="WVP41" s="822"/>
      <c r="WVQ41" s="822"/>
      <c r="WVR41" s="822"/>
      <c r="WVS41" s="822"/>
      <c r="WVT41" s="822"/>
      <c r="WVU41" s="822"/>
      <c r="WVV41" s="822"/>
      <c r="WVW41" s="822"/>
      <c r="WVX41" s="822"/>
      <c r="WVY41" s="822"/>
      <c r="WVZ41" s="822"/>
      <c r="WWA41" s="822"/>
      <c r="WWB41" s="822"/>
      <c r="WWC41" s="822"/>
      <c r="WWD41" s="822"/>
      <c r="WWE41" s="822"/>
      <c r="WWF41" s="822"/>
      <c r="WWG41" s="822"/>
      <c r="WWH41" s="822"/>
      <c r="WWI41" s="822"/>
      <c r="WWJ41" s="822"/>
      <c r="WWK41" s="822"/>
      <c r="WWL41" s="822"/>
      <c r="WWM41" s="822"/>
      <c r="WWN41" s="822"/>
      <c r="WWO41" s="822"/>
      <c r="WWP41" s="822"/>
      <c r="WWQ41" s="822"/>
      <c r="WWR41" s="822"/>
      <c r="WWS41" s="822"/>
      <c r="WWT41" s="822"/>
      <c r="WWU41" s="822"/>
      <c r="WWV41" s="822"/>
      <c r="WWW41" s="822"/>
      <c r="WWX41" s="822"/>
      <c r="WWY41" s="822"/>
      <c r="WWZ41" s="822"/>
      <c r="WXA41" s="822"/>
      <c r="WXB41" s="822"/>
      <c r="WXC41" s="822"/>
      <c r="WXD41" s="822"/>
      <c r="WXE41" s="822"/>
      <c r="WXF41" s="822"/>
      <c r="WXG41" s="822"/>
      <c r="WXH41" s="822"/>
      <c r="WXI41" s="822"/>
      <c r="WXJ41" s="822"/>
      <c r="WXK41" s="822"/>
      <c r="WXL41" s="822"/>
      <c r="WXM41" s="822"/>
      <c r="WXN41" s="822"/>
      <c r="WXO41" s="822"/>
      <c r="WXP41" s="822"/>
      <c r="WXQ41" s="822"/>
      <c r="WXR41" s="822"/>
      <c r="WXS41" s="822"/>
      <c r="WXT41" s="822"/>
      <c r="WXU41" s="822"/>
      <c r="WXV41" s="822"/>
      <c r="WXW41" s="822"/>
      <c r="WXX41" s="822"/>
      <c r="WXY41" s="822"/>
      <c r="WXZ41" s="822"/>
      <c r="WYA41" s="822"/>
      <c r="WYB41" s="822"/>
      <c r="WYC41" s="822"/>
      <c r="WYD41" s="822"/>
      <c r="WYE41" s="822"/>
      <c r="WYF41" s="822"/>
      <c r="WYG41" s="822"/>
      <c r="WYH41" s="822"/>
      <c r="WYI41" s="822"/>
      <c r="WYJ41" s="822"/>
      <c r="WYK41" s="822"/>
      <c r="WYL41" s="822"/>
      <c r="WYM41" s="822"/>
      <c r="WYN41" s="822"/>
      <c r="WYO41" s="822"/>
      <c r="WYP41" s="822"/>
      <c r="WYQ41" s="822"/>
      <c r="WYR41" s="822"/>
      <c r="WYS41" s="822"/>
      <c r="WYT41" s="822"/>
      <c r="WYU41" s="822"/>
      <c r="WYV41" s="822"/>
      <c r="WYW41" s="822"/>
      <c r="WYX41" s="822"/>
      <c r="WYY41" s="822"/>
      <c r="WYZ41" s="822"/>
      <c r="WZA41" s="822"/>
      <c r="WZB41" s="822"/>
      <c r="WZC41" s="822"/>
      <c r="WZD41" s="822"/>
      <c r="WZE41" s="822"/>
      <c r="WZF41" s="822"/>
      <c r="WZG41" s="822"/>
      <c r="WZH41" s="822"/>
      <c r="WZI41" s="822"/>
      <c r="WZJ41" s="822"/>
      <c r="WZK41" s="822"/>
      <c r="WZL41" s="822"/>
      <c r="WZM41" s="822"/>
      <c r="WZN41" s="822"/>
      <c r="WZO41" s="822"/>
      <c r="WZP41" s="822"/>
      <c r="WZQ41" s="822"/>
      <c r="WZR41" s="822"/>
      <c r="WZS41" s="822"/>
      <c r="WZT41" s="822"/>
      <c r="WZU41" s="822"/>
      <c r="WZV41" s="822"/>
      <c r="WZW41" s="822"/>
      <c r="WZX41" s="822"/>
      <c r="WZY41" s="822"/>
      <c r="WZZ41" s="822"/>
      <c r="XAA41" s="822"/>
      <c r="XAB41" s="822"/>
      <c r="XAC41" s="822"/>
      <c r="XAD41" s="822"/>
      <c r="XAE41" s="822"/>
      <c r="XAF41" s="822"/>
      <c r="XAG41" s="822"/>
      <c r="XAH41" s="822"/>
      <c r="XAI41" s="822"/>
      <c r="XAJ41" s="822"/>
      <c r="XAK41" s="822"/>
      <c r="XAL41" s="822"/>
      <c r="XAM41" s="822"/>
      <c r="XAN41" s="822"/>
      <c r="XAO41" s="822"/>
      <c r="XAP41" s="822"/>
      <c r="XAQ41" s="822"/>
      <c r="XAR41" s="822"/>
      <c r="XAS41" s="822"/>
      <c r="XAT41" s="822"/>
      <c r="XAU41" s="822"/>
      <c r="XAV41" s="822"/>
      <c r="XAW41" s="822"/>
      <c r="XAX41" s="822"/>
      <c r="XAY41" s="822"/>
      <c r="XAZ41" s="822"/>
      <c r="XBA41" s="822"/>
      <c r="XBB41" s="822"/>
      <c r="XBC41" s="822"/>
      <c r="XBD41" s="822"/>
      <c r="XBE41" s="822"/>
      <c r="XBF41" s="822"/>
      <c r="XBG41" s="822"/>
      <c r="XBH41" s="822"/>
      <c r="XBI41" s="822"/>
      <c r="XBJ41" s="822"/>
      <c r="XBK41" s="822"/>
      <c r="XBL41" s="822"/>
      <c r="XBM41" s="822"/>
      <c r="XBN41" s="822"/>
      <c r="XBO41" s="822"/>
      <c r="XBP41" s="822"/>
      <c r="XBQ41" s="822"/>
      <c r="XBR41" s="822"/>
      <c r="XBS41" s="822"/>
      <c r="XBT41" s="822"/>
      <c r="XBU41" s="822"/>
      <c r="XBV41" s="822"/>
      <c r="XBW41" s="822"/>
      <c r="XBX41" s="822"/>
      <c r="XBY41" s="822"/>
      <c r="XBZ41" s="822"/>
      <c r="XCA41" s="822"/>
      <c r="XCB41" s="822"/>
      <c r="XCC41" s="822"/>
      <c r="XCD41" s="822"/>
      <c r="XCE41" s="822"/>
      <c r="XCF41" s="822"/>
      <c r="XCG41" s="822"/>
      <c r="XCH41" s="822"/>
      <c r="XCI41" s="822"/>
      <c r="XCJ41" s="822"/>
      <c r="XCK41" s="822"/>
      <c r="XCL41" s="822"/>
      <c r="XCM41" s="822"/>
      <c r="XCN41" s="822"/>
      <c r="XCO41" s="822"/>
      <c r="XCP41" s="822"/>
      <c r="XCQ41" s="822"/>
      <c r="XCR41" s="822"/>
      <c r="XCS41" s="822"/>
      <c r="XCT41" s="822"/>
      <c r="XCU41" s="822"/>
      <c r="XCV41" s="822"/>
      <c r="XCW41" s="822"/>
      <c r="XCX41" s="822"/>
      <c r="XCY41" s="822"/>
      <c r="XCZ41" s="822"/>
      <c r="XDA41" s="822"/>
      <c r="XDB41" s="822"/>
      <c r="XDC41" s="822"/>
      <c r="XDD41" s="822"/>
      <c r="XDE41" s="822"/>
      <c r="XDF41" s="822"/>
      <c r="XDG41" s="822"/>
      <c r="XDH41" s="822"/>
      <c r="XDI41" s="822"/>
      <c r="XDJ41" s="822"/>
      <c r="XDK41" s="822"/>
      <c r="XDL41" s="822"/>
      <c r="XDM41" s="822"/>
      <c r="XDN41" s="822"/>
      <c r="XDO41" s="822"/>
      <c r="XDP41" s="822"/>
      <c r="XDQ41" s="822"/>
      <c r="XDR41" s="822"/>
      <c r="XDS41" s="822"/>
      <c r="XDT41" s="822"/>
      <c r="XDU41" s="822"/>
      <c r="XDV41" s="822"/>
      <c r="XDW41" s="822"/>
      <c r="XDX41" s="822"/>
      <c r="XDY41" s="822"/>
      <c r="XDZ41" s="822"/>
      <c r="XEA41" s="822"/>
      <c r="XEB41" s="822"/>
      <c r="XEC41" s="822"/>
      <c r="XED41" s="822"/>
      <c r="XEE41" s="822"/>
      <c r="XEF41" s="822"/>
      <c r="XEG41" s="822"/>
      <c r="XEH41" s="822"/>
      <c r="XEI41" s="822"/>
      <c r="XEJ41" s="822"/>
      <c r="XEK41" s="822"/>
    </row>
    <row r="42" spans="1:16365" ht="30" customHeight="1">
      <c r="A42" s="120" t="s">
        <v>99</v>
      </c>
      <c r="B42" s="124" t="s">
        <v>100</v>
      </c>
      <c r="C42" s="123"/>
      <c r="D42" s="123"/>
      <c r="E42" s="123"/>
      <c r="F42" s="123"/>
      <c r="G42" s="123"/>
      <c r="H42" s="123"/>
      <c r="I42" s="123"/>
      <c r="J42" s="123"/>
      <c r="K42" s="123"/>
      <c r="L42" s="123"/>
      <c r="M42" s="123"/>
      <c r="N42" s="123"/>
      <c r="O42" s="5"/>
      <c r="P42" s="5"/>
      <c r="Q42" s="5"/>
      <c r="R42" s="5"/>
      <c r="S42" s="5"/>
      <c r="T42" s="5"/>
      <c r="U42" s="7"/>
      <c r="V42" s="7"/>
      <c r="W42" s="7"/>
      <c r="X42" s="7"/>
      <c r="Y42" s="35"/>
      <c r="Z42" s="7"/>
      <c r="AA42" s="7"/>
      <c r="AB42" s="7"/>
      <c r="AC42" s="7"/>
      <c r="AD42" s="35"/>
      <c r="AE42" s="7"/>
      <c r="AF42" s="7"/>
      <c r="AG42" s="7"/>
      <c r="AH42" s="7"/>
      <c r="AI42" s="35"/>
      <c r="AJ42" s="7"/>
      <c r="AK42" s="101"/>
      <c r="AL42" s="5"/>
      <c r="AM42" s="194"/>
      <c r="AN42" s="194"/>
      <c r="AO42" s="194"/>
      <c r="AP42" s="194"/>
      <c r="AQ42" s="194"/>
      <c r="AR42" s="194"/>
      <c r="AS42" s="194"/>
      <c r="AT42" s="194"/>
      <c r="AU42" s="194"/>
      <c r="AV42" s="194"/>
      <c r="AW42" s="194"/>
      <c r="AX42" s="194"/>
      <c r="AY42" s="194"/>
      <c r="AZ42" s="194"/>
      <c r="BA42" s="194"/>
      <c r="BB42" s="194"/>
      <c r="BC42" s="194"/>
      <c r="BD42" s="194"/>
      <c r="BE42" s="194"/>
      <c r="BF42" s="732"/>
      <c r="BG42" s="194"/>
      <c r="BH42" s="194"/>
      <c r="BI42" s="194"/>
      <c r="BJ42" s="194"/>
      <c r="BK42" s="727"/>
      <c r="BL42" s="194"/>
      <c r="BM42" s="194"/>
      <c r="BN42" s="194"/>
      <c r="BO42" s="194"/>
      <c r="BP42" s="727"/>
    </row>
    <row r="43" spans="1:16365" ht="45.75" customHeight="1">
      <c r="A43" s="138" t="s">
        <v>101</v>
      </c>
      <c r="B43" s="138" t="s">
        <v>102</v>
      </c>
      <c r="U43" s="6"/>
      <c r="V43" s="6"/>
      <c r="W43" s="6"/>
      <c r="X43" s="6"/>
      <c r="Y43" s="38"/>
      <c r="Z43" s="6"/>
      <c r="AA43" s="6"/>
      <c r="AB43" s="6"/>
      <c r="AC43" s="6"/>
      <c r="AD43" s="38"/>
      <c r="AE43" s="6"/>
      <c r="AF43" s="6"/>
      <c r="AG43" s="6"/>
      <c r="AH43" s="6"/>
      <c r="AI43" s="38"/>
      <c r="AJ43" s="6"/>
      <c r="AK43" s="100"/>
      <c r="AL43" s="5"/>
      <c r="AM43" s="6"/>
      <c r="AN43" s="6"/>
      <c r="AO43" s="38"/>
      <c r="AP43" s="6"/>
      <c r="AQ43" s="6"/>
      <c r="AR43" s="6"/>
      <c r="AS43" s="6"/>
      <c r="AT43" s="38"/>
      <c r="AU43" s="6"/>
      <c r="AV43" s="6"/>
      <c r="AW43" s="6"/>
      <c r="AX43" s="6"/>
      <c r="AY43" s="38"/>
      <c r="AZ43" s="6"/>
      <c r="BA43" s="6"/>
      <c r="BB43" s="6"/>
      <c r="BC43" s="6"/>
      <c r="BD43" s="38"/>
      <c r="BE43" s="6"/>
      <c r="BF43" s="733"/>
      <c r="BG43" s="6"/>
      <c r="BH43" s="6"/>
      <c r="BI43" s="38"/>
      <c r="BJ43" s="6"/>
      <c r="BK43" s="728"/>
      <c r="BL43" s="6"/>
      <c r="BM43" s="6"/>
      <c r="BN43" s="38"/>
      <c r="BO43" s="6"/>
      <c r="BP43" s="728"/>
    </row>
    <row r="44" spans="1:16365" ht="12.75">
      <c r="A44" s="826"/>
      <c r="B44" s="826"/>
      <c r="C44" s="826"/>
      <c r="D44" s="826"/>
      <c r="E44" s="826"/>
      <c r="F44" s="826"/>
      <c r="G44" s="826"/>
      <c r="H44" s="826"/>
      <c r="I44" s="826"/>
      <c r="J44" s="826"/>
      <c r="K44" s="826"/>
      <c r="L44" s="826"/>
      <c r="M44" s="826"/>
      <c r="N44" s="826"/>
      <c r="O44" s="5"/>
      <c r="P44" s="5"/>
      <c r="Q44" s="5"/>
      <c r="R44" s="5"/>
      <c r="S44" s="5"/>
      <c r="T44" s="5"/>
      <c r="U44" s="7"/>
      <c r="V44" s="7"/>
      <c r="W44" s="7"/>
      <c r="X44" s="7"/>
      <c r="Y44" s="35"/>
      <c r="Z44" s="7"/>
      <c r="AA44" s="7"/>
      <c r="AB44" s="7"/>
      <c r="AC44" s="7"/>
      <c r="AD44" s="35"/>
      <c r="AE44" s="7"/>
      <c r="AF44" s="7"/>
      <c r="AG44" s="7"/>
      <c r="AH44" s="7"/>
      <c r="AI44" s="35"/>
      <c r="AJ44" s="7"/>
      <c r="AK44" s="101"/>
      <c r="AL44" s="5"/>
      <c r="AM44" s="7"/>
      <c r="AN44" s="7"/>
      <c r="AO44" s="35"/>
      <c r="AP44" s="7"/>
      <c r="AQ44" s="7"/>
      <c r="AR44" s="7"/>
      <c r="AS44" s="7"/>
      <c r="AT44" s="35"/>
      <c r="AU44" s="7"/>
      <c r="AV44" s="7"/>
      <c r="AW44" s="7"/>
      <c r="AX44" s="7"/>
      <c r="AY44" s="35"/>
      <c r="AZ44" s="7"/>
      <c r="BA44" s="7"/>
      <c r="BB44" s="7"/>
      <c r="BC44" s="7"/>
      <c r="BD44" s="35"/>
      <c r="BE44" s="7"/>
      <c r="BF44" s="734"/>
      <c r="BG44" s="7"/>
      <c r="BH44" s="7"/>
      <c r="BI44" s="35"/>
      <c r="BJ44" s="7"/>
      <c r="BK44" s="8"/>
      <c r="BL44" s="7"/>
      <c r="BM44" s="7"/>
      <c r="BN44" s="35"/>
      <c r="BO44" s="7"/>
      <c r="BP44" s="8"/>
    </row>
    <row r="45" spans="1:16365" ht="15" customHeight="1">
      <c r="U45" s="6"/>
      <c r="V45" s="6"/>
      <c r="W45" s="6"/>
      <c r="X45" s="6"/>
      <c r="Y45" s="38"/>
      <c r="Z45" s="6"/>
      <c r="AA45" s="6"/>
      <c r="AB45" s="6"/>
      <c r="AC45" s="6"/>
      <c r="AD45" s="38"/>
      <c r="AE45" s="6"/>
      <c r="AF45" s="6"/>
      <c r="AG45" s="6"/>
      <c r="AH45" s="6"/>
      <c r="AI45" s="38"/>
      <c r="AJ45" s="6"/>
      <c r="AK45" s="100"/>
      <c r="AL45" s="5"/>
      <c r="AM45" s="6"/>
      <c r="AN45" s="6"/>
      <c r="AO45" s="38"/>
      <c r="AP45" s="6"/>
      <c r="AQ45" s="6"/>
      <c r="AR45" s="6"/>
      <c r="AS45" s="6"/>
      <c r="AT45" s="38"/>
      <c r="AU45" s="6"/>
      <c r="AV45" s="6"/>
      <c r="AW45" s="6"/>
      <c r="AX45" s="6"/>
      <c r="AY45" s="38"/>
      <c r="AZ45" s="6"/>
      <c r="BA45" s="6"/>
      <c r="BB45" s="6"/>
      <c r="BC45" s="6"/>
      <c r="BD45" s="38"/>
      <c r="BE45" s="6"/>
      <c r="BF45" s="733"/>
      <c r="BG45" s="6"/>
      <c r="BH45" s="6"/>
      <c r="BI45" s="38"/>
      <c r="BJ45" s="6"/>
      <c r="BK45" s="728"/>
      <c r="BL45" s="6"/>
      <c r="BM45" s="6"/>
      <c r="BN45" s="38"/>
      <c r="BO45" s="6"/>
      <c r="BP45" s="728"/>
    </row>
    <row r="46" spans="1:16365" ht="28.5" customHeight="1">
      <c r="U46" s="6"/>
      <c r="V46" s="6"/>
      <c r="W46" s="6"/>
      <c r="X46" s="6"/>
      <c r="Y46" s="38"/>
      <c r="Z46" s="6"/>
      <c r="AA46" s="6"/>
      <c r="AB46" s="6"/>
      <c r="AC46" s="6"/>
      <c r="AD46" s="38"/>
      <c r="AE46" s="6"/>
      <c r="AF46" s="6"/>
      <c r="AG46" s="6"/>
      <c r="AH46" s="6"/>
      <c r="AI46" s="38"/>
      <c r="AJ46" s="6"/>
      <c r="AK46" s="100"/>
      <c r="AL46" s="5"/>
      <c r="AM46" s="6"/>
      <c r="AN46" s="6"/>
      <c r="AO46" s="38"/>
      <c r="AP46" s="6"/>
      <c r="AQ46" s="6"/>
      <c r="AR46" s="6"/>
      <c r="AS46" s="6"/>
      <c r="AT46" s="38"/>
      <c r="AU46" s="6"/>
      <c r="AV46" s="6"/>
      <c r="AW46" s="6"/>
      <c r="AX46" s="6"/>
      <c r="AY46" s="38"/>
      <c r="AZ46" s="6"/>
      <c r="BA46" s="6"/>
      <c r="BB46" s="6"/>
      <c r="BC46" s="6"/>
      <c r="BD46" s="38"/>
      <c r="BE46" s="6"/>
      <c r="BF46" s="733"/>
      <c r="BG46" s="6"/>
      <c r="BH46" s="6"/>
      <c r="BI46" s="38"/>
      <c r="BJ46" s="6"/>
      <c r="BK46" s="728"/>
      <c r="BL46" s="6"/>
      <c r="BM46" s="6"/>
      <c r="BN46" s="38"/>
      <c r="BO46" s="6"/>
      <c r="BP46" s="728"/>
    </row>
    <row r="47" spans="1:16365" ht="28.5" customHeight="1">
      <c r="U47" s="6"/>
      <c r="V47" s="6"/>
      <c r="W47" s="6"/>
      <c r="X47" s="6"/>
      <c r="Y47" s="38"/>
      <c r="Z47" s="6"/>
      <c r="AA47" s="6"/>
      <c r="AB47" s="6"/>
      <c r="AC47" s="6"/>
      <c r="AD47" s="38"/>
      <c r="AE47" s="6"/>
      <c r="AF47" s="6"/>
      <c r="AG47" s="6"/>
      <c r="AH47" s="6"/>
      <c r="AI47" s="38"/>
      <c r="AJ47" s="6"/>
      <c r="AK47" s="100"/>
      <c r="AL47" s="5"/>
      <c r="AM47" s="6"/>
      <c r="AN47" s="6"/>
      <c r="AO47" s="38"/>
      <c r="AP47" s="6"/>
      <c r="AQ47" s="6"/>
      <c r="AR47" s="6"/>
      <c r="AS47" s="6"/>
      <c r="AT47" s="38"/>
      <c r="AU47" s="6"/>
      <c r="AV47" s="6"/>
      <c r="AW47" s="6"/>
      <c r="AX47" s="6"/>
      <c r="AY47" s="38"/>
      <c r="AZ47" s="6"/>
      <c r="BA47" s="6"/>
      <c r="BB47" s="6"/>
      <c r="BC47" s="6"/>
      <c r="BD47" s="38"/>
      <c r="BE47" s="6"/>
      <c r="BF47" s="733"/>
      <c r="BG47" s="6"/>
      <c r="BH47" s="6"/>
      <c r="BI47" s="38"/>
      <c r="BJ47" s="6"/>
      <c r="BK47" s="728"/>
      <c r="BL47" s="6"/>
      <c r="BM47" s="6"/>
      <c r="BN47" s="38"/>
      <c r="BO47" s="6"/>
      <c r="BP47" s="728"/>
    </row>
    <row r="48" spans="1:16365" ht="28.5" customHeight="1">
      <c r="U48" s="6"/>
      <c r="V48" s="6"/>
      <c r="W48" s="6"/>
      <c r="X48" s="6"/>
      <c r="Y48" s="38"/>
      <c r="Z48" s="6"/>
      <c r="AA48" s="6"/>
      <c r="AB48" s="6"/>
      <c r="AC48" s="6"/>
      <c r="AD48" s="38"/>
      <c r="AE48" s="6"/>
      <c r="AF48" s="6"/>
      <c r="AG48" s="6"/>
      <c r="AH48" s="6"/>
      <c r="AI48" s="38"/>
      <c r="AJ48" s="6"/>
      <c r="AK48" s="100"/>
      <c r="AL48" s="5"/>
      <c r="AM48" s="6"/>
      <c r="AN48" s="6"/>
      <c r="AO48" s="38"/>
      <c r="AP48" s="6"/>
      <c r="AQ48" s="6"/>
      <c r="AR48" s="6"/>
      <c r="AS48" s="6"/>
      <c r="AT48" s="38"/>
      <c r="AU48" s="6"/>
      <c r="AV48" s="6"/>
      <c r="AW48" s="6"/>
      <c r="AX48" s="6"/>
      <c r="AY48" s="38"/>
      <c r="AZ48" s="6"/>
      <c r="BA48" s="6"/>
      <c r="BB48" s="6"/>
      <c r="BC48" s="6"/>
      <c r="BD48" s="38"/>
      <c r="BE48" s="6"/>
      <c r="BF48" s="733"/>
      <c r="BG48" s="6"/>
      <c r="BH48" s="6"/>
      <c r="BI48" s="38"/>
      <c r="BJ48" s="6"/>
      <c r="BK48" s="728"/>
      <c r="BL48" s="6"/>
      <c r="BM48" s="6"/>
      <c r="BN48" s="38"/>
      <c r="BO48" s="6"/>
      <c r="BP48" s="728"/>
    </row>
    <row r="49" spans="21:68" ht="28.5" customHeight="1">
      <c r="U49" s="6"/>
      <c r="V49" s="6"/>
      <c r="W49" s="6"/>
      <c r="X49" s="6"/>
      <c r="Y49" s="38"/>
      <c r="Z49" s="6"/>
      <c r="AA49" s="6"/>
      <c r="AB49" s="6"/>
      <c r="AC49" s="6"/>
      <c r="AD49" s="38"/>
      <c r="AE49" s="6"/>
      <c r="AF49" s="6"/>
      <c r="AG49" s="6"/>
      <c r="AH49" s="6"/>
      <c r="AI49" s="38"/>
      <c r="AJ49" s="6"/>
      <c r="AK49" s="100"/>
      <c r="AL49" s="5"/>
      <c r="AM49" s="6"/>
      <c r="AN49" s="6"/>
      <c r="AO49" s="38"/>
      <c r="AP49" s="6"/>
      <c r="AQ49" s="6"/>
      <c r="AR49" s="6"/>
      <c r="AS49" s="6"/>
      <c r="AT49" s="38"/>
      <c r="AU49" s="6"/>
      <c r="AV49" s="6"/>
      <c r="AW49" s="6"/>
      <c r="AX49" s="6"/>
      <c r="AY49" s="38"/>
      <c r="AZ49" s="6"/>
      <c r="BA49" s="6"/>
      <c r="BB49" s="6"/>
      <c r="BC49" s="6"/>
      <c r="BD49" s="38"/>
      <c r="BE49" s="6"/>
      <c r="BF49" s="733"/>
      <c r="BG49" s="6"/>
      <c r="BH49" s="6"/>
      <c r="BI49" s="38"/>
      <c r="BJ49" s="6"/>
      <c r="BK49" s="728"/>
      <c r="BL49" s="6"/>
      <c r="BM49" s="6"/>
      <c r="BN49" s="38"/>
      <c r="BO49" s="6"/>
      <c r="BP49" s="728"/>
    </row>
    <row r="50" spans="21:68" ht="28.5" customHeight="1">
      <c r="U50" s="6"/>
      <c r="V50" s="6"/>
      <c r="W50" s="6"/>
      <c r="X50" s="6"/>
      <c r="Y50" s="38"/>
      <c r="Z50" s="6"/>
      <c r="AA50" s="6"/>
      <c r="AB50" s="6"/>
      <c r="AC50" s="6"/>
      <c r="AD50" s="38"/>
      <c r="AE50" s="6"/>
      <c r="AF50" s="6"/>
      <c r="AG50" s="6"/>
      <c r="AH50" s="6"/>
      <c r="AI50" s="38"/>
      <c r="AJ50" s="6"/>
      <c r="AK50" s="100"/>
      <c r="AL50" s="5"/>
      <c r="AM50" s="6"/>
      <c r="AN50" s="6"/>
      <c r="AO50" s="38"/>
      <c r="AP50" s="6"/>
      <c r="AQ50" s="6"/>
      <c r="AR50" s="6"/>
      <c r="AS50" s="6"/>
      <c r="AT50" s="38"/>
      <c r="AU50" s="6"/>
      <c r="AV50" s="6"/>
      <c r="AW50" s="6"/>
      <c r="AX50" s="6"/>
      <c r="AY50" s="38"/>
      <c r="AZ50" s="6"/>
      <c r="BA50" s="6"/>
      <c r="BB50" s="6"/>
      <c r="BC50" s="6"/>
      <c r="BD50" s="38"/>
      <c r="BE50" s="6"/>
      <c r="BF50" s="733"/>
      <c r="BG50" s="6"/>
      <c r="BH50" s="6"/>
      <c r="BI50" s="38"/>
      <c r="BJ50" s="6"/>
      <c r="BK50" s="728"/>
      <c r="BL50" s="6"/>
      <c r="BM50" s="6"/>
      <c r="BN50" s="38"/>
      <c r="BO50" s="6"/>
      <c r="BP50" s="728"/>
    </row>
    <row r="51" spans="21:68" ht="28.5" customHeight="1">
      <c r="U51" s="6"/>
      <c r="V51" s="6"/>
      <c r="W51" s="6"/>
      <c r="X51" s="6"/>
      <c r="Y51" s="38"/>
      <c r="Z51" s="6"/>
      <c r="AA51" s="6"/>
      <c r="AB51" s="6"/>
      <c r="AC51" s="6"/>
      <c r="AD51" s="38"/>
      <c r="AE51" s="6"/>
      <c r="AF51" s="6"/>
      <c r="AG51" s="6"/>
      <c r="AH51" s="6"/>
      <c r="AI51" s="38"/>
      <c r="AJ51" s="6"/>
      <c r="AK51" s="100"/>
      <c r="AL51" s="5"/>
      <c r="AM51" s="6"/>
      <c r="AN51" s="6"/>
      <c r="AO51" s="38"/>
      <c r="AP51" s="6"/>
      <c r="AQ51" s="6"/>
      <c r="AR51" s="6"/>
      <c r="AS51" s="6"/>
      <c r="AT51" s="38"/>
      <c r="AU51" s="6"/>
      <c r="AV51" s="6"/>
      <c r="AW51" s="6"/>
      <c r="AX51" s="6"/>
      <c r="AY51" s="38"/>
      <c r="AZ51" s="6"/>
      <c r="BA51" s="6"/>
      <c r="BB51" s="6"/>
      <c r="BC51" s="6"/>
      <c r="BD51" s="38"/>
      <c r="BE51" s="6"/>
      <c r="BF51" s="733"/>
      <c r="BG51" s="6"/>
      <c r="BH51" s="6"/>
      <c r="BI51" s="38"/>
      <c r="BJ51" s="6"/>
      <c r="BK51" s="728"/>
      <c r="BL51" s="6"/>
      <c r="BM51" s="6"/>
      <c r="BN51" s="38"/>
      <c r="BO51" s="6"/>
      <c r="BP51" s="728"/>
    </row>
    <row r="52" spans="21:68" ht="28.5" customHeight="1">
      <c r="U52" s="6"/>
      <c r="V52" s="6"/>
      <c r="W52" s="6"/>
      <c r="X52" s="6"/>
      <c r="Y52" s="38"/>
      <c r="Z52" s="6"/>
      <c r="AA52" s="6"/>
      <c r="AB52" s="6"/>
      <c r="AC52" s="6"/>
      <c r="AD52" s="38"/>
      <c r="AE52" s="6"/>
      <c r="AF52" s="6"/>
      <c r="AG52" s="6"/>
      <c r="AH52" s="6"/>
      <c r="AI52" s="38"/>
      <c r="AJ52" s="6"/>
      <c r="AK52" s="100"/>
      <c r="AL52" s="5"/>
      <c r="AM52" s="6"/>
      <c r="AN52" s="6"/>
      <c r="AO52" s="38"/>
      <c r="AP52" s="6"/>
      <c r="AQ52" s="6"/>
      <c r="AR52" s="6"/>
      <c r="AS52" s="6"/>
      <c r="AT52" s="38"/>
      <c r="AU52" s="6"/>
      <c r="AV52" s="6"/>
      <c r="AW52" s="6"/>
      <c r="AX52" s="6"/>
      <c r="AY52" s="38"/>
      <c r="AZ52" s="6"/>
      <c r="BA52" s="6"/>
      <c r="BB52" s="6"/>
      <c r="BC52" s="6"/>
      <c r="BD52" s="38"/>
      <c r="BE52" s="6"/>
      <c r="BF52" s="733"/>
      <c r="BG52" s="6"/>
      <c r="BH52" s="6"/>
      <c r="BI52" s="38"/>
      <c r="BJ52" s="6"/>
      <c r="BK52" s="728"/>
      <c r="BL52" s="6"/>
      <c r="BM52" s="6"/>
      <c r="BN52" s="38"/>
      <c r="BO52" s="6"/>
      <c r="BP52" s="728"/>
    </row>
    <row r="53" spans="21:68" ht="28.5" customHeight="1">
      <c r="U53" s="6"/>
      <c r="V53" s="6"/>
      <c r="W53" s="6"/>
      <c r="X53" s="6"/>
      <c r="Y53" s="38"/>
      <c r="Z53" s="6"/>
      <c r="AA53" s="6"/>
      <c r="AB53" s="6"/>
      <c r="AC53" s="6"/>
      <c r="AD53" s="38"/>
      <c r="AE53" s="6"/>
      <c r="AF53" s="6"/>
      <c r="AG53" s="6"/>
      <c r="AH53" s="6"/>
      <c r="AI53" s="38"/>
      <c r="AJ53" s="6"/>
      <c r="AK53" s="100"/>
      <c r="AL53" s="5"/>
      <c r="AM53" s="6"/>
      <c r="AN53" s="6"/>
      <c r="AO53" s="38"/>
      <c r="AP53" s="6"/>
      <c r="AQ53" s="6"/>
      <c r="AR53" s="6"/>
      <c r="AS53" s="6"/>
      <c r="AT53" s="38"/>
      <c r="AU53" s="6"/>
      <c r="AV53" s="6"/>
      <c r="AW53" s="6"/>
      <c r="AX53" s="6"/>
      <c r="AY53" s="38"/>
      <c r="AZ53" s="6"/>
      <c r="BA53" s="6"/>
      <c r="BB53" s="6"/>
      <c r="BC53" s="6"/>
      <c r="BD53" s="38"/>
      <c r="BE53" s="6"/>
      <c r="BF53" s="733"/>
      <c r="BG53" s="6"/>
      <c r="BH53" s="6"/>
      <c r="BI53" s="38"/>
      <c r="BJ53" s="6"/>
      <c r="BK53" s="728"/>
      <c r="BL53" s="6"/>
      <c r="BM53" s="6"/>
      <c r="BN53" s="38"/>
      <c r="BO53" s="6"/>
      <c r="BP53" s="728"/>
    </row>
    <row r="54" spans="21:68" ht="28.5" customHeight="1">
      <c r="U54" s="6"/>
      <c r="V54" s="6"/>
      <c r="W54" s="6"/>
      <c r="X54" s="6"/>
      <c r="Y54" s="38"/>
      <c r="Z54" s="6"/>
      <c r="AA54" s="6"/>
      <c r="AB54" s="6"/>
      <c r="AC54" s="6"/>
      <c r="AD54" s="38"/>
      <c r="AE54" s="6"/>
      <c r="AF54" s="6"/>
      <c r="AG54" s="6"/>
      <c r="AH54" s="6"/>
      <c r="AI54" s="38"/>
      <c r="AJ54" s="6"/>
      <c r="AK54" s="100"/>
      <c r="AL54" s="5"/>
      <c r="AM54" s="6"/>
      <c r="AN54" s="6"/>
      <c r="AO54" s="38"/>
      <c r="AP54" s="6"/>
      <c r="AQ54" s="6"/>
      <c r="AR54" s="6"/>
      <c r="AS54" s="6"/>
      <c r="AT54" s="38"/>
      <c r="AU54" s="6"/>
      <c r="AV54" s="6"/>
      <c r="AW54" s="6"/>
      <c r="AX54" s="6"/>
      <c r="AY54" s="38"/>
      <c r="AZ54" s="6"/>
      <c r="BA54" s="6"/>
      <c r="BB54" s="6"/>
      <c r="BC54" s="6"/>
      <c r="BD54" s="38"/>
      <c r="BE54" s="6"/>
      <c r="BF54" s="733"/>
      <c r="BG54" s="6"/>
      <c r="BH54" s="6"/>
      <c r="BI54" s="38"/>
      <c r="BJ54" s="6"/>
      <c r="BK54" s="728"/>
      <c r="BL54" s="6"/>
      <c r="BM54" s="6"/>
      <c r="BN54" s="38"/>
      <c r="BO54" s="6"/>
      <c r="BP54" s="728"/>
    </row>
    <row r="55" spans="21:68" ht="28.5" customHeight="1">
      <c r="AL55" s="5"/>
    </row>
    <row r="56" spans="21:68" ht="28.5" customHeight="1">
      <c r="AL56" s="5"/>
    </row>
    <row r="57" spans="21:68" ht="28.5" customHeight="1">
      <c r="AL57" s="5"/>
    </row>
    <row r="58" spans="21:68" ht="28.5" customHeight="1">
      <c r="AL58" s="5"/>
    </row>
  </sheetData>
  <customSheetViews>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1"/>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2"/>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115" showPageBreaks="1" showGridLines="0" fitToPage="1" printArea="1" topLeftCell="A22">
      <selection activeCell="J37" sqref="J37"/>
      <pageMargins left="0" right="0" top="0" bottom="0" header="0" footer="0"/>
      <pageSetup paperSize="9" scale="47" orientation="landscape" r:id="rId4"/>
    </customSheetView>
  </customSheetViews>
  <mergeCells count="2907">
    <mergeCell ref="BN39:BP39"/>
    <mergeCell ref="BQ39:CE39"/>
    <mergeCell ref="CF39:CV39"/>
    <mergeCell ref="CW39:DM39"/>
    <mergeCell ref="DN39:ED39"/>
    <mergeCell ref="S39:AG39"/>
    <mergeCell ref="AX39:BM39"/>
    <mergeCell ref="AM2:AQ2"/>
    <mergeCell ref="AG2:AK2"/>
    <mergeCell ref="A44:N44"/>
    <mergeCell ref="C2:G2"/>
    <mergeCell ref="H2:L2"/>
    <mergeCell ref="M2:Q2"/>
    <mergeCell ref="AB2:AF2"/>
    <mergeCell ref="R2:V2"/>
    <mergeCell ref="W2:AA2"/>
    <mergeCell ref="S40:AG40"/>
    <mergeCell ref="AR2:AV2"/>
    <mergeCell ref="AW2:BA2"/>
    <mergeCell ref="BB2:BF2"/>
    <mergeCell ref="AG3:AK3"/>
    <mergeCell ref="AM3:AQ3"/>
    <mergeCell ref="AR3:AV3"/>
    <mergeCell ref="AW3:BA3"/>
    <mergeCell ref="BB3:BF3"/>
    <mergeCell ref="BG2:BK2"/>
    <mergeCell ref="BG3:BK3"/>
    <mergeCell ref="BL2:BP2"/>
    <mergeCell ref="BL3:BP3"/>
    <mergeCell ref="NZ39:OP39"/>
    <mergeCell ref="OQ39:PG39"/>
    <mergeCell ref="PH39:PX39"/>
    <mergeCell ref="PY39:QO39"/>
    <mergeCell ref="QP39:RF39"/>
    <mergeCell ref="KS39:LI39"/>
    <mergeCell ref="LJ39:LZ39"/>
    <mergeCell ref="MA39:MQ39"/>
    <mergeCell ref="MR39:NH39"/>
    <mergeCell ref="NI39:NY39"/>
    <mergeCell ref="HL39:IB39"/>
    <mergeCell ref="IC39:IS39"/>
    <mergeCell ref="IT39:JJ39"/>
    <mergeCell ref="JK39:KA39"/>
    <mergeCell ref="KB39:KR39"/>
    <mergeCell ref="EE39:EU39"/>
    <mergeCell ref="EV39:FL39"/>
    <mergeCell ref="FM39:GC39"/>
    <mergeCell ref="GD39:GT39"/>
    <mergeCell ref="GU39:HK39"/>
    <mergeCell ref="ABB39:ABR39"/>
    <mergeCell ref="ABS39:ACI39"/>
    <mergeCell ref="ACJ39:ACZ39"/>
    <mergeCell ref="ADA39:ADQ39"/>
    <mergeCell ref="ADR39:AEH39"/>
    <mergeCell ref="XU39:YK39"/>
    <mergeCell ref="YL39:ZB39"/>
    <mergeCell ref="ZC39:ZS39"/>
    <mergeCell ref="ZT39:AAJ39"/>
    <mergeCell ref="AAK39:ABA39"/>
    <mergeCell ref="UN39:VD39"/>
    <mergeCell ref="VE39:VU39"/>
    <mergeCell ref="VV39:WL39"/>
    <mergeCell ref="WM39:XC39"/>
    <mergeCell ref="XD39:XT39"/>
    <mergeCell ref="RG39:RW39"/>
    <mergeCell ref="RX39:SN39"/>
    <mergeCell ref="SO39:TE39"/>
    <mergeCell ref="TF39:TV39"/>
    <mergeCell ref="TW39:UM39"/>
    <mergeCell ref="AOD39:AOT39"/>
    <mergeCell ref="AOU39:APK39"/>
    <mergeCell ref="APL39:AQB39"/>
    <mergeCell ref="AQC39:AQS39"/>
    <mergeCell ref="AQT39:ARJ39"/>
    <mergeCell ref="AKW39:ALM39"/>
    <mergeCell ref="ALN39:AMD39"/>
    <mergeCell ref="AME39:AMU39"/>
    <mergeCell ref="AMV39:ANL39"/>
    <mergeCell ref="ANM39:AOC39"/>
    <mergeCell ref="AHP39:AIF39"/>
    <mergeCell ref="AIG39:AIW39"/>
    <mergeCell ref="AIX39:AJN39"/>
    <mergeCell ref="AJO39:AKE39"/>
    <mergeCell ref="AKF39:AKV39"/>
    <mergeCell ref="AEI39:AEY39"/>
    <mergeCell ref="AEZ39:AFP39"/>
    <mergeCell ref="AFQ39:AGG39"/>
    <mergeCell ref="AGH39:AGX39"/>
    <mergeCell ref="AGY39:AHO39"/>
    <mergeCell ref="BBF39:BBV39"/>
    <mergeCell ref="BBW39:BCM39"/>
    <mergeCell ref="BCN39:BDD39"/>
    <mergeCell ref="BDE39:BDU39"/>
    <mergeCell ref="BDV39:BEL39"/>
    <mergeCell ref="AXY39:AYO39"/>
    <mergeCell ref="AYP39:AZF39"/>
    <mergeCell ref="AZG39:AZW39"/>
    <mergeCell ref="AZX39:BAN39"/>
    <mergeCell ref="BAO39:BBE39"/>
    <mergeCell ref="AUR39:AVH39"/>
    <mergeCell ref="AVI39:AVY39"/>
    <mergeCell ref="AVZ39:AWP39"/>
    <mergeCell ref="AWQ39:AXG39"/>
    <mergeCell ref="AXH39:AXX39"/>
    <mergeCell ref="ARK39:ASA39"/>
    <mergeCell ref="ASB39:ASR39"/>
    <mergeCell ref="ASS39:ATI39"/>
    <mergeCell ref="ATJ39:ATZ39"/>
    <mergeCell ref="AUA39:AUQ39"/>
    <mergeCell ref="BOH39:BOX39"/>
    <mergeCell ref="BOY39:BPO39"/>
    <mergeCell ref="BPP39:BQF39"/>
    <mergeCell ref="BQG39:BQW39"/>
    <mergeCell ref="BQX39:BRN39"/>
    <mergeCell ref="BLA39:BLQ39"/>
    <mergeCell ref="BLR39:BMH39"/>
    <mergeCell ref="BMI39:BMY39"/>
    <mergeCell ref="BMZ39:BNP39"/>
    <mergeCell ref="BNQ39:BOG39"/>
    <mergeCell ref="BHT39:BIJ39"/>
    <mergeCell ref="BIK39:BJA39"/>
    <mergeCell ref="BJB39:BJR39"/>
    <mergeCell ref="BJS39:BKI39"/>
    <mergeCell ref="BKJ39:BKZ39"/>
    <mergeCell ref="BEM39:BFC39"/>
    <mergeCell ref="BFD39:BFT39"/>
    <mergeCell ref="BFU39:BGK39"/>
    <mergeCell ref="BGL39:BHB39"/>
    <mergeCell ref="BHC39:BHS39"/>
    <mergeCell ref="CBJ39:CBZ39"/>
    <mergeCell ref="CCA39:CCQ39"/>
    <mergeCell ref="CCR39:CDH39"/>
    <mergeCell ref="CDI39:CDY39"/>
    <mergeCell ref="CDZ39:CEP39"/>
    <mergeCell ref="BYC39:BYS39"/>
    <mergeCell ref="BYT39:BZJ39"/>
    <mergeCell ref="BZK39:CAA39"/>
    <mergeCell ref="CAB39:CAR39"/>
    <mergeCell ref="CAS39:CBI39"/>
    <mergeCell ref="BUV39:BVL39"/>
    <mergeCell ref="BVM39:BWC39"/>
    <mergeCell ref="BWD39:BWT39"/>
    <mergeCell ref="BWU39:BXK39"/>
    <mergeCell ref="BXL39:BYB39"/>
    <mergeCell ref="BRO39:BSE39"/>
    <mergeCell ref="BSF39:BSV39"/>
    <mergeCell ref="BSW39:BTM39"/>
    <mergeCell ref="BTN39:BUD39"/>
    <mergeCell ref="BUE39:BUU39"/>
    <mergeCell ref="COL39:CPB39"/>
    <mergeCell ref="CPC39:CPS39"/>
    <mergeCell ref="CPT39:CQJ39"/>
    <mergeCell ref="CQK39:CRA39"/>
    <mergeCell ref="CRB39:CRR39"/>
    <mergeCell ref="CLE39:CLU39"/>
    <mergeCell ref="CLV39:CML39"/>
    <mergeCell ref="CMM39:CNC39"/>
    <mergeCell ref="CND39:CNT39"/>
    <mergeCell ref="CNU39:COK39"/>
    <mergeCell ref="CHX39:CIN39"/>
    <mergeCell ref="CIO39:CJE39"/>
    <mergeCell ref="CJF39:CJV39"/>
    <mergeCell ref="CJW39:CKM39"/>
    <mergeCell ref="CKN39:CLD39"/>
    <mergeCell ref="CEQ39:CFG39"/>
    <mergeCell ref="CFH39:CFX39"/>
    <mergeCell ref="CFY39:CGO39"/>
    <mergeCell ref="CGP39:CHF39"/>
    <mergeCell ref="CHG39:CHW39"/>
    <mergeCell ref="DBN39:DCD39"/>
    <mergeCell ref="DCE39:DCU39"/>
    <mergeCell ref="DCV39:DDL39"/>
    <mergeCell ref="DDM39:DEC39"/>
    <mergeCell ref="DED39:DET39"/>
    <mergeCell ref="CYG39:CYW39"/>
    <mergeCell ref="CYX39:CZN39"/>
    <mergeCell ref="CZO39:DAE39"/>
    <mergeCell ref="DAF39:DAV39"/>
    <mergeCell ref="DAW39:DBM39"/>
    <mergeCell ref="CUZ39:CVP39"/>
    <mergeCell ref="CVQ39:CWG39"/>
    <mergeCell ref="CWH39:CWX39"/>
    <mergeCell ref="CWY39:CXO39"/>
    <mergeCell ref="CXP39:CYF39"/>
    <mergeCell ref="CRS39:CSI39"/>
    <mergeCell ref="CSJ39:CSZ39"/>
    <mergeCell ref="CTA39:CTQ39"/>
    <mergeCell ref="CTR39:CUH39"/>
    <mergeCell ref="CUI39:CUY39"/>
    <mergeCell ref="DOP39:DPF39"/>
    <mergeCell ref="DPG39:DPW39"/>
    <mergeCell ref="DPX39:DQN39"/>
    <mergeCell ref="DQO39:DRE39"/>
    <mergeCell ref="DRF39:DRV39"/>
    <mergeCell ref="DLI39:DLY39"/>
    <mergeCell ref="DLZ39:DMP39"/>
    <mergeCell ref="DMQ39:DNG39"/>
    <mergeCell ref="DNH39:DNX39"/>
    <mergeCell ref="DNY39:DOO39"/>
    <mergeCell ref="DIB39:DIR39"/>
    <mergeCell ref="DIS39:DJI39"/>
    <mergeCell ref="DJJ39:DJZ39"/>
    <mergeCell ref="DKA39:DKQ39"/>
    <mergeCell ref="DKR39:DLH39"/>
    <mergeCell ref="DEU39:DFK39"/>
    <mergeCell ref="DFL39:DGB39"/>
    <mergeCell ref="DGC39:DGS39"/>
    <mergeCell ref="DGT39:DHJ39"/>
    <mergeCell ref="DHK39:DIA39"/>
    <mergeCell ref="EBR39:ECH39"/>
    <mergeCell ref="ECI39:ECY39"/>
    <mergeCell ref="ECZ39:EDP39"/>
    <mergeCell ref="EDQ39:EEG39"/>
    <mergeCell ref="EEH39:EEX39"/>
    <mergeCell ref="DYK39:DZA39"/>
    <mergeCell ref="DZB39:DZR39"/>
    <mergeCell ref="DZS39:EAI39"/>
    <mergeCell ref="EAJ39:EAZ39"/>
    <mergeCell ref="EBA39:EBQ39"/>
    <mergeCell ref="DVD39:DVT39"/>
    <mergeCell ref="DVU39:DWK39"/>
    <mergeCell ref="DWL39:DXB39"/>
    <mergeCell ref="DXC39:DXS39"/>
    <mergeCell ref="DXT39:DYJ39"/>
    <mergeCell ref="DRW39:DSM39"/>
    <mergeCell ref="DSN39:DTD39"/>
    <mergeCell ref="DTE39:DTU39"/>
    <mergeCell ref="DTV39:DUL39"/>
    <mergeCell ref="DUM39:DVC39"/>
    <mergeCell ref="EOT39:EPJ39"/>
    <mergeCell ref="EPK39:EQA39"/>
    <mergeCell ref="EQB39:EQR39"/>
    <mergeCell ref="EQS39:ERI39"/>
    <mergeCell ref="ERJ39:ERZ39"/>
    <mergeCell ref="ELM39:EMC39"/>
    <mergeCell ref="EMD39:EMT39"/>
    <mergeCell ref="EMU39:ENK39"/>
    <mergeCell ref="ENL39:EOB39"/>
    <mergeCell ref="EOC39:EOS39"/>
    <mergeCell ref="EIF39:EIV39"/>
    <mergeCell ref="EIW39:EJM39"/>
    <mergeCell ref="EJN39:EKD39"/>
    <mergeCell ref="EKE39:EKU39"/>
    <mergeCell ref="EKV39:ELL39"/>
    <mergeCell ref="EEY39:EFO39"/>
    <mergeCell ref="EFP39:EGF39"/>
    <mergeCell ref="EGG39:EGW39"/>
    <mergeCell ref="EGX39:EHN39"/>
    <mergeCell ref="EHO39:EIE39"/>
    <mergeCell ref="FBV39:FCL39"/>
    <mergeCell ref="FCM39:FDC39"/>
    <mergeCell ref="FDD39:FDT39"/>
    <mergeCell ref="FDU39:FEK39"/>
    <mergeCell ref="FEL39:FFB39"/>
    <mergeCell ref="EYO39:EZE39"/>
    <mergeCell ref="EZF39:EZV39"/>
    <mergeCell ref="EZW39:FAM39"/>
    <mergeCell ref="FAN39:FBD39"/>
    <mergeCell ref="FBE39:FBU39"/>
    <mergeCell ref="EVH39:EVX39"/>
    <mergeCell ref="EVY39:EWO39"/>
    <mergeCell ref="EWP39:EXF39"/>
    <mergeCell ref="EXG39:EXW39"/>
    <mergeCell ref="EXX39:EYN39"/>
    <mergeCell ref="ESA39:ESQ39"/>
    <mergeCell ref="ESR39:ETH39"/>
    <mergeCell ref="ETI39:ETY39"/>
    <mergeCell ref="ETZ39:EUP39"/>
    <mergeCell ref="EUQ39:EVG39"/>
    <mergeCell ref="FOX39:FPN39"/>
    <mergeCell ref="FPO39:FQE39"/>
    <mergeCell ref="FQF39:FQV39"/>
    <mergeCell ref="FQW39:FRM39"/>
    <mergeCell ref="FRN39:FSD39"/>
    <mergeCell ref="FLQ39:FMG39"/>
    <mergeCell ref="FMH39:FMX39"/>
    <mergeCell ref="FMY39:FNO39"/>
    <mergeCell ref="FNP39:FOF39"/>
    <mergeCell ref="FOG39:FOW39"/>
    <mergeCell ref="FIJ39:FIZ39"/>
    <mergeCell ref="FJA39:FJQ39"/>
    <mergeCell ref="FJR39:FKH39"/>
    <mergeCell ref="FKI39:FKY39"/>
    <mergeCell ref="FKZ39:FLP39"/>
    <mergeCell ref="FFC39:FFS39"/>
    <mergeCell ref="FFT39:FGJ39"/>
    <mergeCell ref="FGK39:FHA39"/>
    <mergeCell ref="FHB39:FHR39"/>
    <mergeCell ref="FHS39:FII39"/>
    <mergeCell ref="GBZ39:GCP39"/>
    <mergeCell ref="GCQ39:GDG39"/>
    <mergeCell ref="GDH39:GDX39"/>
    <mergeCell ref="GDY39:GEO39"/>
    <mergeCell ref="GEP39:GFF39"/>
    <mergeCell ref="FYS39:FZI39"/>
    <mergeCell ref="FZJ39:FZZ39"/>
    <mergeCell ref="GAA39:GAQ39"/>
    <mergeCell ref="GAR39:GBH39"/>
    <mergeCell ref="GBI39:GBY39"/>
    <mergeCell ref="FVL39:FWB39"/>
    <mergeCell ref="FWC39:FWS39"/>
    <mergeCell ref="FWT39:FXJ39"/>
    <mergeCell ref="FXK39:FYA39"/>
    <mergeCell ref="FYB39:FYR39"/>
    <mergeCell ref="FSE39:FSU39"/>
    <mergeCell ref="FSV39:FTL39"/>
    <mergeCell ref="FTM39:FUC39"/>
    <mergeCell ref="FUD39:FUT39"/>
    <mergeCell ref="FUU39:FVK39"/>
    <mergeCell ref="GPB39:GPR39"/>
    <mergeCell ref="GPS39:GQI39"/>
    <mergeCell ref="GQJ39:GQZ39"/>
    <mergeCell ref="GRA39:GRQ39"/>
    <mergeCell ref="GRR39:GSH39"/>
    <mergeCell ref="GLU39:GMK39"/>
    <mergeCell ref="GML39:GNB39"/>
    <mergeCell ref="GNC39:GNS39"/>
    <mergeCell ref="GNT39:GOJ39"/>
    <mergeCell ref="GOK39:GPA39"/>
    <mergeCell ref="GIN39:GJD39"/>
    <mergeCell ref="GJE39:GJU39"/>
    <mergeCell ref="GJV39:GKL39"/>
    <mergeCell ref="GKM39:GLC39"/>
    <mergeCell ref="GLD39:GLT39"/>
    <mergeCell ref="GFG39:GFW39"/>
    <mergeCell ref="GFX39:GGN39"/>
    <mergeCell ref="GGO39:GHE39"/>
    <mergeCell ref="GHF39:GHV39"/>
    <mergeCell ref="GHW39:GIM39"/>
    <mergeCell ref="HCD39:HCT39"/>
    <mergeCell ref="HCU39:HDK39"/>
    <mergeCell ref="HDL39:HEB39"/>
    <mergeCell ref="HEC39:HES39"/>
    <mergeCell ref="HET39:HFJ39"/>
    <mergeCell ref="GYW39:GZM39"/>
    <mergeCell ref="GZN39:HAD39"/>
    <mergeCell ref="HAE39:HAU39"/>
    <mergeCell ref="HAV39:HBL39"/>
    <mergeCell ref="HBM39:HCC39"/>
    <mergeCell ref="GVP39:GWF39"/>
    <mergeCell ref="GWG39:GWW39"/>
    <mergeCell ref="GWX39:GXN39"/>
    <mergeCell ref="GXO39:GYE39"/>
    <mergeCell ref="GYF39:GYV39"/>
    <mergeCell ref="GSI39:GSY39"/>
    <mergeCell ref="GSZ39:GTP39"/>
    <mergeCell ref="GTQ39:GUG39"/>
    <mergeCell ref="GUH39:GUX39"/>
    <mergeCell ref="GUY39:GVO39"/>
    <mergeCell ref="HPF39:HPV39"/>
    <mergeCell ref="HPW39:HQM39"/>
    <mergeCell ref="HQN39:HRD39"/>
    <mergeCell ref="HRE39:HRU39"/>
    <mergeCell ref="HRV39:HSL39"/>
    <mergeCell ref="HLY39:HMO39"/>
    <mergeCell ref="HMP39:HNF39"/>
    <mergeCell ref="HNG39:HNW39"/>
    <mergeCell ref="HNX39:HON39"/>
    <mergeCell ref="HOO39:HPE39"/>
    <mergeCell ref="HIR39:HJH39"/>
    <mergeCell ref="HJI39:HJY39"/>
    <mergeCell ref="HJZ39:HKP39"/>
    <mergeCell ref="HKQ39:HLG39"/>
    <mergeCell ref="HLH39:HLX39"/>
    <mergeCell ref="HFK39:HGA39"/>
    <mergeCell ref="HGB39:HGR39"/>
    <mergeCell ref="HGS39:HHI39"/>
    <mergeCell ref="HHJ39:HHZ39"/>
    <mergeCell ref="HIA39:HIQ39"/>
    <mergeCell ref="ICH39:ICX39"/>
    <mergeCell ref="ICY39:IDO39"/>
    <mergeCell ref="IDP39:IEF39"/>
    <mergeCell ref="IEG39:IEW39"/>
    <mergeCell ref="IEX39:IFN39"/>
    <mergeCell ref="HZA39:HZQ39"/>
    <mergeCell ref="HZR39:IAH39"/>
    <mergeCell ref="IAI39:IAY39"/>
    <mergeCell ref="IAZ39:IBP39"/>
    <mergeCell ref="IBQ39:ICG39"/>
    <mergeCell ref="HVT39:HWJ39"/>
    <mergeCell ref="HWK39:HXA39"/>
    <mergeCell ref="HXB39:HXR39"/>
    <mergeCell ref="HXS39:HYI39"/>
    <mergeCell ref="HYJ39:HYZ39"/>
    <mergeCell ref="HSM39:HTC39"/>
    <mergeCell ref="HTD39:HTT39"/>
    <mergeCell ref="HTU39:HUK39"/>
    <mergeCell ref="HUL39:HVB39"/>
    <mergeCell ref="HVC39:HVS39"/>
    <mergeCell ref="IPJ39:IPZ39"/>
    <mergeCell ref="IQA39:IQQ39"/>
    <mergeCell ref="IQR39:IRH39"/>
    <mergeCell ref="IRI39:IRY39"/>
    <mergeCell ref="IRZ39:ISP39"/>
    <mergeCell ref="IMC39:IMS39"/>
    <mergeCell ref="IMT39:INJ39"/>
    <mergeCell ref="INK39:IOA39"/>
    <mergeCell ref="IOB39:IOR39"/>
    <mergeCell ref="IOS39:IPI39"/>
    <mergeCell ref="IIV39:IJL39"/>
    <mergeCell ref="IJM39:IKC39"/>
    <mergeCell ref="IKD39:IKT39"/>
    <mergeCell ref="IKU39:ILK39"/>
    <mergeCell ref="ILL39:IMB39"/>
    <mergeCell ref="IFO39:IGE39"/>
    <mergeCell ref="IGF39:IGV39"/>
    <mergeCell ref="IGW39:IHM39"/>
    <mergeCell ref="IHN39:IID39"/>
    <mergeCell ref="IIE39:IIU39"/>
    <mergeCell ref="JCL39:JDB39"/>
    <mergeCell ref="JDC39:JDS39"/>
    <mergeCell ref="JDT39:JEJ39"/>
    <mergeCell ref="JEK39:JFA39"/>
    <mergeCell ref="JFB39:JFR39"/>
    <mergeCell ref="IZE39:IZU39"/>
    <mergeCell ref="IZV39:JAL39"/>
    <mergeCell ref="JAM39:JBC39"/>
    <mergeCell ref="JBD39:JBT39"/>
    <mergeCell ref="JBU39:JCK39"/>
    <mergeCell ref="IVX39:IWN39"/>
    <mergeCell ref="IWO39:IXE39"/>
    <mergeCell ref="IXF39:IXV39"/>
    <mergeCell ref="IXW39:IYM39"/>
    <mergeCell ref="IYN39:IZD39"/>
    <mergeCell ref="ISQ39:ITG39"/>
    <mergeCell ref="ITH39:ITX39"/>
    <mergeCell ref="ITY39:IUO39"/>
    <mergeCell ref="IUP39:IVF39"/>
    <mergeCell ref="IVG39:IVW39"/>
    <mergeCell ref="JPN39:JQD39"/>
    <mergeCell ref="JQE39:JQU39"/>
    <mergeCell ref="JQV39:JRL39"/>
    <mergeCell ref="JRM39:JSC39"/>
    <mergeCell ref="JSD39:JST39"/>
    <mergeCell ref="JMG39:JMW39"/>
    <mergeCell ref="JMX39:JNN39"/>
    <mergeCell ref="JNO39:JOE39"/>
    <mergeCell ref="JOF39:JOV39"/>
    <mergeCell ref="JOW39:JPM39"/>
    <mergeCell ref="JIZ39:JJP39"/>
    <mergeCell ref="JJQ39:JKG39"/>
    <mergeCell ref="JKH39:JKX39"/>
    <mergeCell ref="JKY39:JLO39"/>
    <mergeCell ref="JLP39:JMF39"/>
    <mergeCell ref="JFS39:JGI39"/>
    <mergeCell ref="JGJ39:JGZ39"/>
    <mergeCell ref="JHA39:JHQ39"/>
    <mergeCell ref="JHR39:JIH39"/>
    <mergeCell ref="JII39:JIY39"/>
    <mergeCell ref="KCP39:KDF39"/>
    <mergeCell ref="KDG39:KDW39"/>
    <mergeCell ref="KDX39:KEN39"/>
    <mergeCell ref="KEO39:KFE39"/>
    <mergeCell ref="KFF39:KFV39"/>
    <mergeCell ref="JZI39:JZY39"/>
    <mergeCell ref="JZZ39:KAP39"/>
    <mergeCell ref="KAQ39:KBG39"/>
    <mergeCell ref="KBH39:KBX39"/>
    <mergeCell ref="KBY39:KCO39"/>
    <mergeCell ref="JWB39:JWR39"/>
    <mergeCell ref="JWS39:JXI39"/>
    <mergeCell ref="JXJ39:JXZ39"/>
    <mergeCell ref="JYA39:JYQ39"/>
    <mergeCell ref="JYR39:JZH39"/>
    <mergeCell ref="JSU39:JTK39"/>
    <mergeCell ref="JTL39:JUB39"/>
    <mergeCell ref="JUC39:JUS39"/>
    <mergeCell ref="JUT39:JVJ39"/>
    <mergeCell ref="JVK39:JWA39"/>
    <mergeCell ref="KPR39:KQH39"/>
    <mergeCell ref="KQI39:KQY39"/>
    <mergeCell ref="KQZ39:KRP39"/>
    <mergeCell ref="KRQ39:KSG39"/>
    <mergeCell ref="KSH39:KSX39"/>
    <mergeCell ref="KMK39:KNA39"/>
    <mergeCell ref="KNB39:KNR39"/>
    <mergeCell ref="KNS39:KOI39"/>
    <mergeCell ref="KOJ39:KOZ39"/>
    <mergeCell ref="KPA39:KPQ39"/>
    <mergeCell ref="KJD39:KJT39"/>
    <mergeCell ref="KJU39:KKK39"/>
    <mergeCell ref="KKL39:KLB39"/>
    <mergeCell ref="KLC39:KLS39"/>
    <mergeCell ref="KLT39:KMJ39"/>
    <mergeCell ref="KFW39:KGM39"/>
    <mergeCell ref="KGN39:KHD39"/>
    <mergeCell ref="KHE39:KHU39"/>
    <mergeCell ref="KHV39:KIL39"/>
    <mergeCell ref="KIM39:KJC39"/>
    <mergeCell ref="LCT39:LDJ39"/>
    <mergeCell ref="LDK39:LEA39"/>
    <mergeCell ref="LEB39:LER39"/>
    <mergeCell ref="LES39:LFI39"/>
    <mergeCell ref="LFJ39:LFZ39"/>
    <mergeCell ref="KZM39:LAC39"/>
    <mergeCell ref="LAD39:LAT39"/>
    <mergeCell ref="LAU39:LBK39"/>
    <mergeCell ref="LBL39:LCB39"/>
    <mergeCell ref="LCC39:LCS39"/>
    <mergeCell ref="KWF39:KWV39"/>
    <mergeCell ref="KWW39:KXM39"/>
    <mergeCell ref="KXN39:KYD39"/>
    <mergeCell ref="KYE39:KYU39"/>
    <mergeCell ref="KYV39:KZL39"/>
    <mergeCell ref="KSY39:KTO39"/>
    <mergeCell ref="KTP39:KUF39"/>
    <mergeCell ref="KUG39:KUW39"/>
    <mergeCell ref="KUX39:KVN39"/>
    <mergeCell ref="KVO39:KWE39"/>
    <mergeCell ref="LPV39:LQL39"/>
    <mergeCell ref="LQM39:LRC39"/>
    <mergeCell ref="LRD39:LRT39"/>
    <mergeCell ref="LRU39:LSK39"/>
    <mergeCell ref="LSL39:LTB39"/>
    <mergeCell ref="LMO39:LNE39"/>
    <mergeCell ref="LNF39:LNV39"/>
    <mergeCell ref="LNW39:LOM39"/>
    <mergeCell ref="LON39:LPD39"/>
    <mergeCell ref="LPE39:LPU39"/>
    <mergeCell ref="LJH39:LJX39"/>
    <mergeCell ref="LJY39:LKO39"/>
    <mergeCell ref="LKP39:LLF39"/>
    <mergeCell ref="LLG39:LLW39"/>
    <mergeCell ref="LLX39:LMN39"/>
    <mergeCell ref="LGA39:LGQ39"/>
    <mergeCell ref="LGR39:LHH39"/>
    <mergeCell ref="LHI39:LHY39"/>
    <mergeCell ref="LHZ39:LIP39"/>
    <mergeCell ref="LIQ39:LJG39"/>
    <mergeCell ref="MCX39:MDN39"/>
    <mergeCell ref="MDO39:MEE39"/>
    <mergeCell ref="MEF39:MEV39"/>
    <mergeCell ref="MEW39:MFM39"/>
    <mergeCell ref="MFN39:MGD39"/>
    <mergeCell ref="LZQ39:MAG39"/>
    <mergeCell ref="MAH39:MAX39"/>
    <mergeCell ref="MAY39:MBO39"/>
    <mergeCell ref="MBP39:MCF39"/>
    <mergeCell ref="MCG39:MCW39"/>
    <mergeCell ref="LWJ39:LWZ39"/>
    <mergeCell ref="LXA39:LXQ39"/>
    <mergeCell ref="LXR39:LYH39"/>
    <mergeCell ref="LYI39:LYY39"/>
    <mergeCell ref="LYZ39:LZP39"/>
    <mergeCell ref="LTC39:LTS39"/>
    <mergeCell ref="LTT39:LUJ39"/>
    <mergeCell ref="LUK39:LVA39"/>
    <mergeCell ref="LVB39:LVR39"/>
    <mergeCell ref="LVS39:LWI39"/>
    <mergeCell ref="MPZ39:MQP39"/>
    <mergeCell ref="MQQ39:MRG39"/>
    <mergeCell ref="MRH39:MRX39"/>
    <mergeCell ref="MRY39:MSO39"/>
    <mergeCell ref="MSP39:MTF39"/>
    <mergeCell ref="MMS39:MNI39"/>
    <mergeCell ref="MNJ39:MNZ39"/>
    <mergeCell ref="MOA39:MOQ39"/>
    <mergeCell ref="MOR39:MPH39"/>
    <mergeCell ref="MPI39:MPY39"/>
    <mergeCell ref="MJL39:MKB39"/>
    <mergeCell ref="MKC39:MKS39"/>
    <mergeCell ref="MKT39:MLJ39"/>
    <mergeCell ref="MLK39:MMA39"/>
    <mergeCell ref="MMB39:MMR39"/>
    <mergeCell ref="MGE39:MGU39"/>
    <mergeCell ref="MGV39:MHL39"/>
    <mergeCell ref="MHM39:MIC39"/>
    <mergeCell ref="MID39:MIT39"/>
    <mergeCell ref="MIU39:MJK39"/>
    <mergeCell ref="NDB39:NDR39"/>
    <mergeCell ref="NDS39:NEI39"/>
    <mergeCell ref="NEJ39:NEZ39"/>
    <mergeCell ref="NFA39:NFQ39"/>
    <mergeCell ref="NFR39:NGH39"/>
    <mergeCell ref="MZU39:NAK39"/>
    <mergeCell ref="NAL39:NBB39"/>
    <mergeCell ref="NBC39:NBS39"/>
    <mergeCell ref="NBT39:NCJ39"/>
    <mergeCell ref="NCK39:NDA39"/>
    <mergeCell ref="MWN39:MXD39"/>
    <mergeCell ref="MXE39:MXU39"/>
    <mergeCell ref="MXV39:MYL39"/>
    <mergeCell ref="MYM39:MZC39"/>
    <mergeCell ref="MZD39:MZT39"/>
    <mergeCell ref="MTG39:MTW39"/>
    <mergeCell ref="MTX39:MUN39"/>
    <mergeCell ref="MUO39:MVE39"/>
    <mergeCell ref="MVF39:MVV39"/>
    <mergeCell ref="MVW39:MWM39"/>
    <mergeCell ref="NQD39:NQT39"/>
    <mergeCell ref="NQU39:NRK39"/>
    <mergeCell ref="NRL39:NSB39"/>
    <mergeCell ref="NSC39:NSS39"/>
    <mergeCell ref="NST39:NTJ39"/>
    <mergeCell ref="NMW39:NNM39"/>
    <mergeCell ref="NNN39:NOD39"/>
    <mergeCell ref="NOE39:NOU39"/>
    <mergeCell ref="NOV39:NPL39"/>
    <mergeCell ref="NPM39:NQC39"/>
    <mergeCell ref="NJP39:NKF39"/>
    <mergeCell ref="NKG39:NKW39"/>
    <mergeCell ref="NKX39:NLN39"/>
    <mergeCell ref="NLO39:NME39"/>
    <mergeCell ref="NMF39:NMV39"/>
    <mergeCell ref="NGI39:NGY39"/>
    <mergeCell ref="NGZ39:NHP39"/>
    <mergeCell ref="NHQ39:NIG39"/>
    <mergeCell ref="NIH39:NIX39"/>
    <mergeCell ref="NIY39:NJO39"/>
    <mergeCell ref="ODF39:ODV39"/>
    <mergeCell ref="ODW39:OEM39"/>
    <mergeCell ref="OEN39:OFD39"/>
    <mergeCell ref="OFE39:OFU39"/>
    <mergeCell ref="OFV39:OGL39"/>
    <mergeCell ref="NZY39:OAO39"/>
    <mergeCell ref="OAP39:OBF39"/>
    <mergeCell ref="OBG39:OBW39"/>
    <mergeCell ref="OBX39:OCN39"/>
    <mergeCell ref="OCO39:ODE39"/>
    <mergeCell ref="NWR39:NXH39"/>
    <mergeCell ref="NXI39:NXY39"/>
    <mergeCell ref="NXZ39:NYP39"/>
    <mergeCell ref="NYQ39:NZG39"/>
    <mergeCell ref="NZH39:NZX39"/>
    <mergeCell ref="NTK39:NUA39"/>
    <mergeCell ref="NUB39:NUR39"/>
    <mergeCell ref="NUS39:NVI39"/>
    <mergeCell ref="NVJ39:NVZ39"/>
    <mergeCell ref="NWA39:NWQ39"/>
    <mergeCell ref="OQH39:OQX39"/>
    <mergeCell ref="OQY39:ORO39"/>
    <mergeCell ref="ORP39:OSF39"/>
    <mergeCell ref="OSG39:OSW39"/>
    <mergeCell ref="OSX39:OTN39"/>
    <mergeCell ref="ONA39:ONQ39"/>
    <mergeCell ref="ONR39:OOH39"/>
    <mergeCell ref="OOI39:OOY39"/>
    <mergeCell ref="OOZ39:OPP39"/>
    <mergeCell ref="OPQ39:OQG39"/>
    <mergeCell ref="OJT39:OKJ39"/>
    <mergeCell ref="OKK39:OLA39"/>
    <mergeCell ref="OLB39:OLR39"/>
    <mergeCell ref="OLS39:OMI39"/>
    <mergeCell ref="OMJ39:OMZ39"/>
    <mergeCell ref="OGM39:OHC39"/>
    <mergeCell ref="OHD39:OHT39"/>
    <mergeCell ref="OHU39:OIK39"/>
    <mergeCell ref="OIL39:OJB39"/>
    <mergeCell ref="OJC39:OJS39"/>
    <mergeCell ref="PDJ39:PDZ39"/>
    <mergeCell ref="PEA39:PEQ39"/>
    <mergeCell ref="PER39:PFH39"/>
    <mergeCell ref="PFI39:PFY39"/>
    <mergeCell ref="PFZ39:PGP39"/>
    <mergeCell ref="PAC39:PAS39"/>
    <mergeCell ref="PAT39:PBJ39"/>
    <mergeCell ref="PBK39:PCA39"/>
    <mergeCell ref="PCB39:PCR39"/>
    <mergeCell ref="PCS39:PDI39"/>
    <mergeCell ref="OWV39:OXL39"/>
    <mergeCell ref="OXM39:OYC39"/>
    <mergeCell ref="OYD39:OYT39"/>
    <mergeCell ref="OYU39:OZK39"/>
    <mergeCell ref="OZL39:PAB39"/>
    <mergeCell ref="OTO39:OUE39"/>
    <mergeCell ref="OUF39:OUV39"/>
    <mergeCell ref="OUW39:OVM39"/>
    <mergeCell ref="OVN39:OWD39"/>
    <mergeCell ref="OWE39:OWU39"/>
    <mergeCell ref="PQL39:PRB39"/>
    <mergeCell ref="PRC39:PRS39"/>
    <mergeCell ref="PRT39:PSJ39"/>
    <mergeCell ref="PSK39:PTA39"/>
    <mergeCell ref="PTB39:PTR39"/>
    <mergeCell ref="PNE39:PNU39"/>
    <mergeCell ref="PNV39:POL39"/>
    <mergeCell ref="POM39:PPC39"/>
    <mergeCell ref="PPD39:PPT39"/>
    <mergeCell ref="PPU39:PQK39"/>
    <mergeCell ref="PJX39:PKN39"/>
    <mergeCell ref="PKO39:PLE39"/>
    <mergeCell ref="PLF39:PLV39"/>
    <mergeCell ref="PLW39:PMM39"/>
    <mergeCell ref="PMN39:PND39"/>
    <mergeCell ref="PGQ39:PHG39"/>
    <mergeCell ref="PHH39:PHX39"/>
    <mergeCell ref="PHY39:PIO39"/>
    <mergeCell ref="PIP39:PJF39"/>
    <mergeCell ref="PJG39:PJW39"/>
    <mergeCell ref="QDN39:QED39"/>
    <mergeCell ref="QEE39:QEU39"/>
    <mergeCell ref="QEV39:QFL39"/>
    <mergeCell ref="QFM39:QGC39"/>
    <mergeCell ref="QGD39:QGT39"/>
    <mergeCell ref="QAG39:QAW39"/>
    <mergeCell ref="QAX39:QBN39"/>
    <mergeCell ref="QBO39:QCE39"/>
    <mergeCell ref="QCF39:QCV39"/>
    <mergeCell ref="QCW39:QDM39"/>
    <mergeCell ref="PWZ39:PXP39"/>
    <mergeCell ref="PXQ39:PYG39"/>
    <mergeCell ref="PYH39:PYX39"/>
    <mergeCell ref="PYY39:PZO39"/>
    <mergeCell ref="PZP39:QAF39"/>
    <mergeCell ref="PTS39:PUI39"/>
    <mergeCell ref="PUJ39:PUZ39"/>
    <mergeCell ref="PVA39:PVQ39"/>
    <mergeCell ref="PVR39:PWH39"/>
    <mergeCell ref="PWI39:PWY39"/>
    <mergeCell ref="QQP39:QRF39"/>
    <mergeCell ref="QRG39:QRW39"/>
    <mergeCell ref="QRX39:QSN39"/>
    <mergeCell ref="QSO39:QTE39"/>
    <mergeCell ref="QTF39:QTV39"/>
    <mergeCell ref="QNI39:QNY39"/>
    <mergeCell ref="QNZ39:QOP39"/>
    <mergeCell ref="QOQ39:QPG39"/>
    <mergeCell ref="QPH39:QPX39"/>
    <mergeCell ref="QPY39:QQO39"/>
    <mergeCell ref="QKB39:QKR39"/>
    <mergeCell ref="QKS39:QLI39"/>
    <mergeCell ref="QLJ39:QLZ39"/>
    <mergeCell ref="QMA39:QMQ39"/>
    <mergeCell ref="QMR39:QNH39"/>
    <mergeCell ref="QGU39:QHK39"/>
    <mergeCell ref="QHL39:QIB39"/>
    <mergeCell ref="QIC39:QIS39"/>
    <mergeCell ref="QIT39:QJJ39"/>
    <mergeCell ref="QJK39:QKA39"/>
    <mergeCell ref="RDR39:REH39"/>
    <mergeCell ref="REI39:REY39"/>
    <mergeCell ref="REZ39:RFP39"/>
    <mergeCell ref="RFQ39:RGG39"/>
    <mergeCell ref="RGH39:RGX39"/>
    <mergeCell ref="RAK39:RBA39"/>
    <mergeCell ref="RBB39:RBR39"/>
    <mergeCell ref="RBS39:RCI39"/>
    <mergeCell ref="RCJ39:RCZ39"/>
    <mergeCell ref="RDA39:RDQ39"/>
    <mergeCell ref="QXD39:QXT39"/>
    <mergeCell ref="QXU39:QYK39"/>
    <mergeCell ref="QYL39:QZB39"/>
    <mergeCell ref="QZC39:QZS39"/>
    <mergeCell ref="QZT39:RAJ39"/>
    <mergeCell ref="QTW39:QUM39"/>
    <mergeCell ref="QUN39:QVD39"/>
    <mergeCell ref="QVE39:QVU39"/>
    <mergeCell ref="QVV39:QWL39"/>
    <mergeCell ref="QWM39:QXC39"/>
    <mergeCell ref="RQT39:RRJ39"/>
    <mergeCell ref="RRK39:RSA39"/>
    <mergeCell ref="RSB39:RSR39"/>
    <mergeCell ref="RSS39:RTI39"/>
    <mergeCell ref="RTJ39:RTZ39"/>
    <mergeCell ref="RNM39:ROC39"/>
    <mergeCell ref="ROD39:ROT39"/>
    <mergeCell ref="ROU39:RPK39"/>
    <mergeCell ref="RPL39:RQB39"/>
    <mergeCell ref="RQC39:RQS39"/>
    <mergeCell ref="RKF39:RKV39"/>
    <mergeCell ref="RKW39:RLM39"/>
    <mergeCell ref="RLN39:RMD39"/>
    <mergeCell ref="RME39:RMU39"/>
    <mergeCell ref="RMV39:RNL39"/>
    <mergeCell ref="RGY39:RHO39"/>
    <mergeCell ref="RHP39:RIF39"/>
    <mergeCell ref="RIG39:RIW39"/>
    <mergeCell ref="RIX39:RJN39"/>
    <mergeCell ref="RJO39:RKE39"/>
    <mergeCell ref="SDV39:SEL39"/>
    <mergeCell ref="SEM39:SFC39"/>
    <mergeCell ref="SFD39:SFT39"/>
    <mergeCell ref="SFU39:SGK39"/>
    <mergeCell ref="SGL39:SHB39"/>
    <mergeCell ref="SAO39:SBE39"/>
    <mergeCell ref="SBF39:SBV39"/>
    <mergeCell ref="SBW39:SCM39"/>
    <mergeCell ref="SCN39:SDD39"/>
    <mergeCell ref="SDE39:SDU39"/>
    <mergeCell ref="RXH39:RXX39"/>
    <mergeCell ref="RXY39:RYO39"/>
    <mergeCell ref="RYP39:RZF39"/>
    <mergeCell ref="RZG39:RZW39"/>
    <mergeCell ref="RZX39:SAN39"/>
    <mergeCell ref="RUA39:RUQ39"/>
    <mergeCell ref="RUR39:RVH39"/>
    <mergeCell ref="RVI39:RVY39"/>
    <mergeCell ref="RVZ39:RWP39"/>
    <mergeCell ref="RWQ39:RXG39"/>
    <mergeCell ref="SQX39:SRN39"/>
    <mergeCell ref="SRO39:SSE39"/>
    <mergeCell ref="SSF39:SSV39"/>
    <mergeCell ref="SSW39:STM39"/>
    <mergeCell ref="STN39:SUD39"/>
    <mergeCell ref="SNQ39:SOG39"/>
    <mergeCell ref="SOH39:SOX39"/>
    <mergeCell ref="SOY39:SPO39"/>
    <mergeCell ref="SPP39:SQF39"/>
    <mergeCell ref="SQG39:SQW39"/>
    <mergeCell ref="SKJ39:SKZ39"/>
    <mergeCell ref="SLA39:SLQ39"/>
    <mergeCell ref="SLR39:SMH39"/>
    <mergeCell ref="SMI39:SMY39"/>
    <mergeCell ref="SMZ39:SNP39"/>
    <mergeCell ref="SHC39:SHS39"/>
    <mergeCell ref="SHT39:SIJ39"/>
    <mergeCell ref="SIK39:SJA39"/>
    <mergeCell ref="SJB39:SJR39"/>
    <mergeCell ref="SJS39:SKI39"/>
    <mergeCell ref="TDZ39:TEP39"/>
    <mergeCell ref="TEQ39:TFG39"/>
    <mergeCell ref="TFH39:TFX39"/>
    <mergeCell ref="TFY39:TGO39"/>
    <mergeCell ref="TGP39:THF39"/>
    <mergeCell ref="TAS39:TBI39"/>
    <mergeCell ref="TBJ39:TBZ39"/>
    <mergeCell ref="TCA39:TCQ39"/>
    <mergeCell ref="TCR39:TDH39"/>
    <mergeCell ref="TDI39:TDY39"/>
    <mergeCell ref="SXL39:SYB39"/>
    <mergeCell ref="SYC39:SYS39"/>
    <mergeCell ref="SYT39:SZJ39"/>
    <mergeCell ref="SZK39:TAA39"/>
    <mergeCell ref="TAB39:TAR39"/>
    <mergeCell ref="SUE39:SUU39"/>
    <mergeCell ref="SUV39:SVL39"/>
    <mergeCell ref="SVM39:SWC39"/>
    <mergeCell ref="SWD39:SWT39"/>
    <mergeCell ref="SWU39:SXK39"/>
    <mergeCell ref="TRB39:TRR39"/>
    <mergeCell ref="TRS39:TSI39"/>
    <mergeCell ref="TSJ39:TSZ39"/>
    <mergeCell ref="TTA39:TTQ39"/>
    <mergeCell ref="TTR39:TUH39"/>
    <mergeCell ref="TNU39:TOK39"/>
    <mergeCell ref="TOL39:TPB39"/>
    <mergeCell ref="TPC39:TPS39"/>
    <mergeCell ref="TPT39:TQJ39"/>
    <mergeCell ref="TQK39:TRA39"/>
    <mergeCell ref="TKN39:TLD39"/>
    <mergeCell ref="TLE39:TLU39"/>
    <mergeCell ref="TLV39:TML39"/>
    <mergeCell ref="TMM39:TNC39"/>
    <mergeCell ref="TND39:TNT39"/>
    <mergeCell ref="THG39:THW39"/>
    <mergeCell ref="THX39:TIN39"/>
    <mergeCell ref="TIO39:TJE39"/>
    <mergeCell ref="TJF39:TJV39"/>
    <mergeCell ref="TJW39:TKM39"/>
    <mergeCell ref="UED39:UET39"/>
    <mergeCell ref="UEU39:UFK39"/>
    <mergeCell ref="UFL39:UGB39"/>
    <mergeCell ref="UGC39:UGS39"/>
    <mergeCell ref="UGT39:UHJ39"/>
    <mergeCell ref="UAW39:UBM39"/>
    <mergeCell ref="UBN39:UCD39"/>
    <mergeCell ref="UCE39:UCU39"/>
    <mergeCell ref="UCV39:UDL39"/>
    <mergeCell ref="UDM39:UEC39"/>
    <mergeCell ref="TXP39:TYF39"/>
    <mergeCell ref="TYG39:TYW39"/>
    <mergeCell ref="TYX39:TZN39"/>
    <mergeCell ref="TZO39:UAE39"/>
    <mergeCell ref="UAF39:UAV39"/>
    <mergeCell ref="TUI39:TUY39"/>
    <mergeCell ref="TUZ39:TVP39"/>
    <mergeCell ref="TVQ39:TWG39"/>
    <mergeCell ref="TWH39:TWX39"/>
    <mergeCell ref="TWY39:TXO39"/>
    <mergeCell ref="URF39:URV39"/>
    <mergeCell ref="URW39:USM39"/>
    <mergeCell ref="USN39:UTD39"/>
    <mergeCell ref="UTE39:UTU39"/>
    <mergeCell ref="UTV39:UUL39"/>
    <mergeCell ref="UNY39:UOO39"/>
    <mergeCell ref="UOP39:UPF39"/>
    <mergeCell ref="UPG39:UPW39"/>
    <mergeCell ref="UPX39:UQN39"/>
    <mergeCell ref="UQO39:URE39"/>
    <mergeCell ref="UKR39:ULH39"/>
    <mergeCell ref="ULI39:ULY39"/>
    <mergeCell ref="ULZ39:UMP39"/>
    <mergeCell ref="UMQ39:UNG39"/>
    <mergeCell ref="UNH39:UNX39"/>
    <mergeCell ref="UHK39:UIA39"/>
    <mergeCell ref="UIB39:UIR39"/>
    <mergeCell ref="UIS39:UJI39"/>
    <mergeCell ref="UJJ39:UJZ39"/>
    <mergeCell ref="UKA39:UKQ39"/>
    <mergeCell ref="VEH39:VEX39"/>
    <mergeCell ref="VEY39:VFO39"/>
    <mergeCell ref="VFP39:VGF39"/>
    <mergeCell ref="VGG39:VGW39"/>
    <mergeCell ref="VGX39:VHN39"/>
    <mergeCell ref="VBA39:VBQ39"/>
    <mergeCell ref="VBR39:VCH39"/>
    <mergeCell ref="VCI39:VCY39"/>
    <mergeCell ref="VCZ39:VDP39"/>
    <mergeCell ref="VDQ39:VEG39"/>
    <mergeCell ref="UXT39:UYJ39"/>
    <mergeCell ref="UYK39:UZA39"/>
    <mergeCell ref="UZB39:UZR39"/>
    <mergeCell ref="UZS39:VAI39"/>
    <mergeCell ref="VAJ39:VAZ39"/>
    <mergeCell ref="UUM39:UVC39"/>
    <mergeCell ref="UVD39:UVT39"/>
    <mergeCell ref="UVU39:UWK39"/>
    <mergeCell ref="UWL39:UXB39"/>
    <mergeCell ref="UXC39:UXS39"/>
    <mergeCell ref="VRJ39:VRZ39"/>
    <mergeCell ref="VSA39:VSQ39"/>
    <mergeCell ref="VSR39:VTH39"/>
    <mergeCell ref="VTI39:VTY39"/>
    <mergeCell ref="VTZ39:VUP39"/>
    <mergeCell ref="VOC39:VOS39"/>
    <mergeCell ref="VOT39:VPJ39"/>
    <mergeCell ref="VPK39:VQA39"/>
    <mergeCell ref="VQB39:VQR39"/>
    <mergeCell ref="VQS39:VRI39"/>
    <mergeCell ref="VKV39:VLL39"/>
    <mergeCell ref="VLM39:VMC39"/>
    <mergeCell ref="VMD39:VMT39"/>
    <mergeCell ref="VMU39:VNK39"/>
    <mergeCell ref="VNL39:VOB39"/>
    <mergeCell ref="VHO39:VIE39"/>
    <mergeCell ref="VIF39:VIV39"/>
    <mergeCell ref="VIW39:VJM39"/>
    <mergeCell ref="VJN39:VKD39"/>
    <mergeCell ref="VKE39:VKU39"/>
    <mergeCell ref="WEL39:WFB39"/>
    <mergeCell ref="WFC39:WFS39"/>
    <mergeCell ref="WFT39:WGJ39"/>
    <mergeCell ref="WGK39:WHA39"/>
    <mergeCell ref="WHB39:WHR39"/>
    <mergeCell ref="WBE39:WBU39"/>
    <mergeCell ref="WBV39:WCL39"/>
    <mergeCell ref="WCM39:WDC39"/>
    <mergeCell ref="WDD39:WDT39"/>
    <mergeCell ref="WDU39:WEK39"/>
    <mergeCell ref="VXX39:VYN39"/>
    <mergeCell ref="VYO39:VZE39"/>
    <mergeCell ref="VZF39:VZV39"/>
    <mergeCell ref="VZW39:WAM39"/>
    <mergeCell ref="WAN39:WBD39"/>
    <mergeCell ref="VUQ39:VVG39"/>
    <mergeCell ref="VVH39:VVX39"/>
    <mergeCell ref="VVY39:VWO39"/>
    <mergeCell ref="VWP39:VXF39"/>
    <mergeCell ref="VXG39:VXW39"/>
    <mergeCell ref="XDH39:XDX39"/>
    <mergeCell ref="XDY39:XEK39"/>
    <mergeCell ref="WYB39:WYR39"/>
    <mergeCell ref="WYS39:WZI39"/>
    <mergeCell ref="WZJ39:WZZ39"/>
    <mergeCell ref="XAA39:XAQ39"/>
    <mergeCell ref="XAR39:XBH39"/>
    <mergeCell ref="WUU39:WVK39"/>
    <mergeCell ref="WVL39:WWB39"/>
    <mergeCell ref="WWC39:WWS39"/>
    <mergeCell ref="WWT39:WXJ39"/>
    <mergeCell ref="WXK39:WYA39"/>
    <mergeCell ref="WRN39:WSD39"/>
    <mergeCell ref="WSE39:WSU39"/>
    <mergeCell ref="WSV39:WTL39"/>
    <mergeCell ref="WTM39:WUC39"/>
    <mergeCell ref="WUD39:WUT39"/>
    <mergeCell ref="GD40:GT40"/>
    <mergeCell ref="GU40:HK40"/>
    <mergeCell ref="HL40:IB40"/>
    <mergeCell ref="IC40:IS40"/>
    <mergeCell ref="IT40:JJ40"/>
    <mergeCell ref="CW40:DM40"/>
    <mergeCell ref="DN40:ED40"/>
    <mergeCell ref="EE40:EU40"/>
    <mergeCell ref="EV40:FL40"/>
    <mergeCell ref="FM40:GC40"/>
    <mergeCell ref="AX40:BM40"/>
    <mergeCell ref="BN40:BP40"/>
    <mergeCell ref="BQ40:CE40"/>
    <mergeCell ref="CF40:CV40"/>
    <mergeCell ref="XBI39:XBY39"/>
    <mergeCell ref="XBZ39:XCP39"/>
    <mergeCell ref="XCQ39:XDG39"/>
    <mergeCell ref="WOG39:WOW39"/>
    <mergeCell ref="WOX39:WPN39"/>
    <mergeCell ref="WPO39:WQE39"/>
    <mergeCell ref="WQF39:WQV39"/>
    <mergeCell ref="WQW39:WRM39"/>
    <mergeCell ref="WKZ39:WLP39"/>
    <mergeCell ref="WLQ39:WMG39"/>
    <mergeCell ref="WMH39:WMX39"/>
    <mergeCell ref="WMY39:WNO39"/>
    <mergeCell ref="WNP39:WOF39"/>
    <mergeCell ref="WHS39:WII39"/>
    <mergeCell ref="WIJ39:WIZ39"/>
    <mergeCell ref="WJA39:WJQ39"/>
    <mergeCell ref="WJR39:WKH39"/>
    <mergeCell ref="WKI39:WKY39"/>
    <mergeCell ref="TF40:TV40"/>
    <mergeCell ref="TW40:UM40"/>
    <mergeCell ref="UN40:VD40"/>
    <mergeCell ref="VE40:VU40"/>
    <mergeCell ref="VV40:WL40"/>
    <mergeCell ref="PY40:QO40"/>
    <mergeCell ref="QP40:RF40"/>
    <mergeCell ref="RG40:RW40"/>
    <mergeCell ref="RX40:SN40"/>
    <mergeCell ref="SO40:TE40"/>
    <mergeCell ref="MR40:NH40"/>
    <mergeCell ref="NI40:NY40"/>
    <mergeCell ref="NZ40:OP40"/>
    <mergeCell ref="OQ40:PG40"/>
    <mergeCell ref="PH40:PX40"/>
    <mergeCell ref="JK40:KA40"/>
    <mergeCell ref="KB40:KR40"/>
    <mergeCell ref="KS40:LI40"/>
    <mergeCell ref="LJ40:LZ40"/>
    <mergeCell ref="MA40:MQ40"/>
    <mergeCell ref="AGH40:AGX40"/>
    <mergeCell ref="AGY40:AHO40"/>
    <mergeCell ref="AHP40:AIF40"/>
    <mergeCell ref="AIG40:AIW40"/>
    <mergeCell ref="AIX40:AJN40"/>
    <mergeCell ref="ADA40:ADQ40"/>
    <mergeCell ref="ADR40:AEH40"/>
    <mergeCell ref="AEI40:AEY40"/>
    <mergeCell ref="AEZ40:AFP40"/>
    <mergeCell ref="AFQ40:AGG40"/>
    <mergeCell ref="ZT40:AAJ40"/>
    <mergeCell ref="AAK40:ABA40"/>
    <mergeCell ref="ABB40:ABR40"/>
    <mergeCell ref="ABS40:ACI40"/>
    <mergeCell ref="ACJ40:ACZ40"/>
    <mergeCell ref="WM40:XC40"/>
    <mergeCell ref="XD40:XT40"/>
    <mergeCell ref="XU40:YK40"/>
    <mergeCell ref="YL40:ZB40"/>
    <mergeCell ref="ZC40:ZS40"/>
    <mergeCell ref="ATJ40:ATZ40"/>
    <mergeCell ref="AUA40:AUQ40"/>
    <mergeCell ref="AUR40:AVH40"/>
    <mergeCell ref="AVI40:AVY40"/>
    <mergeCell ref="AVZ40:AWP40"/>
    <mergeCell ref="AQC40:AQS40"/>
    <mergeCell ref="AQT40:ARJ40"/>
    <mergeCell ref="ARK40:ASA40"/>
    <mergeCell ref="ASB40:ASR40"/>
    <mergeCell ref="ASS40:ATI40"/>
    <mergeCell ref="AMV40:ANL40"/>
    <mergeCell ref="ANM40:AOC40"/>
    <mergeCell ref="AOD40:AOT40"/>
    <mergeCell ref="AOU40:APK40"/>
    <mergeCell ref="APL40:AQB40"/>
    <mergeCell ref="AJO40:AKE40"/>
    <mergeCell ref="AKF40:AKV40"/>
    <mergeCell ref="AKW40:ALM40"/>
    <mergeCell ref="ALN40:AMD40"/>
    <mergeCell ref="AME40:AMU40"/>
    <mergeCell ref="BGL40:BHB40"/>
    <mergeCell ref="BHC40:BHS40"/>
    <mergeCell ref="BHT40:BIJ40"/>
    <mergeCell ref="BIK40:BJA40"/>
    <mergeCell ref="BJB40:BJR40"/>
    <mergeCell ref="BDE40:BDU40"/>
    <mergeCell ref="BDV40:BEL40"/>
    <mergeCell ref="BEM40:BFC40"/>
    <mergeCell ref="BFD40:BFT40"/>
    <mergeCell ref="BFU40:BGK40"/>
    <mergeCell ref="AZX40:BAN40"/>
    <mergeCell ref="BAO40:BBE40"/>
    <mergeCell ref="BBF40:BBV40"/>
    <mergeCell ref="BBW40:BCM40"/>
    <mergeCell ref="BCN40:BDD40"/>
    <mergeCell ref="AWQ40:AXG40"/>
    <mergeCell ref="AXH40:AXX40"/>
    <mergeCell ref="AXY40:AYO40"/>
    <mergeCell ref="AYP40:AZF40"/>
    <mergeCell ref="AZG40:AZW40"/>
    <mergeCell ref="BTN40:BUD40"/>
    <mergeCell ref="BUE40:BUU40"/>
    <mergeCell ref="BUV40:BVL40"/>
    <mergeCell ref="BVM40:BWC40"/>
    <mergeCell ref="BWD40:BWT40"/>
    <mergeCell ref="BQG40:BQW40"/>
    <mergeCell ref="BQX40:BRN40"/>
    <mergeCell ref="BRO40:BSE40"/>
    <mergeCell ref="BSF40:BSV40"/>
    <mergeCell ref="BSW40:BTM40"/>
    <mergeCell ref="BMZ40:BNP40"/>
    <mergeCell ref="BNQ40:BOG40"/>
    <mergeCell ref="BOH40:BOX40"/>
    <mergeCell ref="BOY40:BPO40"/>
    <mergeCell ref="BPP40:BQF40"/>
    <mergeCell ref="BJS40:BKI40"/>
    <mergeCell ref="BKJ40:BKZ40"/>
    <mergeCell ref="BLA40:BLQ40"/>
    <mergeCell ref="BLR40:BMH40"/>
    <mergeCell ref="BMI40:BMY40"/>
    <mergeCell ref="CGP40:CHF40"/>
    <mergeCell ref="CHG40:CHW40"/>
    <mergeCell ref="CHX40:CIN40"/>
    <mergeCell ref="CIO40:CJE40"/>
    <mergeCell ref="CJF40:CJV40"/>
    <mergeCell ref="CDI40:CDY40"/>
    <mergeCell ref="CDZ40:CEP40"/>
    <mergeCell ref="CEQ40:CFG40"/>
    <mergeCell ref="CFH40:CFX40"/>
    <mergeCell ref="CFY40:CGO40"/>
    <mergeCell ref="CAB40:CAR40"/>
    <mergeCell ref="CAS40:CBI40"/>
    <mergeCell ref="CBJ40:CBZ40"/>
    <mergeCell ref="CCA40:CCQ40"/>
    <mergeCell ref="CCR40:CDH40"/>
    <mergeCell ref="BWU40:BXK40"/>
    <mergeCell ref="BXL40:BYB40"/>
    <mergeCell ref="BYC40:BYS40"/>
    <mergeCell ref="BYT40:BZJ40"/>
    <mergeCell ref="BZK40:CAA40"/>
    <mergeCell ref="CTR40:CUH40"/>
    <mergeCell ref="CUI40:CUY40"/>
    <mergeCell ref="CUZ40:CVP40"/>
    <mergeCell ref="CVQ40:CWG40"/>
    <mergeCell ref="CWH40:CWX40"/>
    <mergeCell ref="CQK40:CRA40"/>
    <mergeCell ref="CRB40:CRR40"/>
    <mergeCell ref="CRS40:CSI40"/>
    <mergeCell ref="CSJ40:CSZ40"/>
    <mergeCell ref="CTA40:CTQ40"/>
    <mergeCell ref="CND40:CNT40"/>
    <mergeCell ref="CNU40:COK40"/>
    <mergeCell ref="COL40:CPB40"/>
    <mergeCell ref="CPC40:CPS40"/>
    <mergeCell ref="CPT40:CQJ40"/>
    <mergeCell ref="CJW40:CKM40"/>
    <mergeCell ref="CKN40:CLD40"/>
    <mergeCell ref="CLE40:CLU40"/>
    <mergeCell ref="CLV40:CML40"/>
    <mergeCell ref="CMM40:CNC40"/>
    <mergeCell ref="DGT40:DHJ40"/>
    <mergeCell ref="DHK40:DIA40"/>
    <mergeCell ref="DIB40:DIR40"/>
    <mergeCell ref="DIS40:DJI40"/>
    <mergeCell ref="DJJ40:DJZ40"/>
    <mergeCell ref="DDM40:DEC40"/>
    <mergeCell ref="DED40:DET40"/>
    <mergeCell ref="DEU40:DFK40"/>
    <mergeCell ref="DFL40:DGB40"/>
    <mergeCell ref="DGC40:DGS40"/>
    <mergeCell ref="DAF40:DAV40"/>
    <mergeCell ref="DAW40:DBM40"/>
    <mergeCell ref="DBN40:DCD40"/>
    <mergeCell ref="DCE40:DCU40"/>
    <mergeCell ref="DCV40:DDL40"/>
    <mergeCell ref="CWY40:CXO40"/>
    <mergeCell ref="CXP40:CYF40"/>
    <mergeCell ref="CYG40:CYW40"/>
    <mergeCell ref="CYX40:CZN40"/>
    <mergeCell ref="CZO40:DAE40"/>
    <mergeCell ref="DTV40:DUL40"/>
    <mergeCell ref="DUM40:DVC40"/>
    <mergeCell ref="DVD40:DVT40"/>
    <mergeCell ref="DVU40:DWK40"/>
    <mergeCell ref="DWL40:DXB40"/>
    <mergeCell ref="DQO40:DRE40"/>
    <mergeCell ref="DRF40:DRV40"/>
    <mergeCell ref="DRW40:DSM40"/>
    <mergeCell ref="DSN40:DTD40"/>
    <mergeCell ref="DTE40:DTU40"/>
    <mergeCell ref="DNH40:DNX40"/>
    <mergeCell ref="DNY40:DOO40"/>
    <mergeCell ref="DOP40:DPF40"/>
    <mergeCell ref="DPG40:DPW40"/>
    <mergeCell ref="DPX40:DQN40"/>
    <mergeCell ref="DKA40:DKQ40"/>
    <mergeCell ref="DKR40:DLH40"/>
    <mergeCell ref="DLI40:DLY40"/>
    <mergeCell ref="DLZ40:DMP40"/>
    <mergeCell ref="DMQ40:DNG40"/>
    <mergeCell ref="EGX40:EHN40"/>
    <mergeCell ref="EHO40:EIE40"/>
    <mergeCell ref="EIF40:EIV40"/>
    <mergeCell ref="EIW40:EJM40"/>
    <mergeCell ref="EJN40:EKD40"/>
    <mergeCell ref="EDQ40:EEG40"/>
    <mergeCell ref="EEH40:EEX40"/>
    <mergeCell ref="EEY40:EFO40"/>
    <mergeCell ref="EFP40:EGF40"/>
    <mergeCell ref="EGG40:EGW40"/>
    <mergeCell ref="EAJ40:EAZ40"/>
    <mergeCell ref="EBA40:EBQ40"/>
    <mergeCell ref="EBR40:ECH40"/>
    <mergeCell ref="ECI40:ECY40"/>
    <mergeCell ref="ECZ40:EDP40"/>
    <mergeCell ref="DXC40:DXS40"/>
    <mergeCell ref="DXT40:DYJ40"/>
    <mergeCell ref="DYK40:DZA40"/>
    <mergeCell ref="DZB40:DZR40"/>
    <mergeCell ref="DZS40:EAI40"/>
    <mergeCell ref="ETZ40:EUP40"/>
    <mergeCell ref="EUQ40:EVG40"/>
    <mergeCell ref="EVH40:EVX40"/>
    <mergeCell ref="EVY40:EWO40"/>
    <mergeCell ref="EWP40:EXF40"/>
    <mergeCell ref="EQS40:ERI40"/>
    <mergeCell ref="ERJ40:ERZ40"/>
    <mergeCell ref="ESA40:ESQ40"/>
    <mergeCell ref="ESR40:ETH40"/>
    <mergeCell ref="ETI40:ETY40"/>
    <mergeCell ref="ENL40:EOB40"/>
    <mergeCell ref="EOC40:EOS40"/>
    <mergeCell ref="EOT40:EPJ40"/>
    <mergeCell ref="EPK40:EQA40"/>
    <mergeCell ref="EQB40:EQR40"/>
    <mergeCell ref="EKE40:EKU40"/>
    <mergeCell ref="EKV40:ELL40"/>
    <mergeCell ref="ELM40:EMC40"/>
    <mergeCell ref="EMD40:EMT40"/>
    <mergeCell ref="EMU40:ENK40"/>
    <mergeCell ref="FHB40:FHR40"/>
    <mergeCell ref="FHS40:FII40"/>
    <mergeCell ref="FIJ40:FIZ40"/>
    <mergeCell ref="FJA40:FJQ40"/>
    <mergeCell ref="FJR40:FKH40"/>
    <mergeCell ref="FDU40:FEK40"/>
    <mergeCell ref="FEL40:FFB40"/>
    <mergeCell ref="FFC40:FFS40"/>
    <mergeCell ref="FFT40:FGJ40"/>
    <mergeCell ref="FGK40:FHA40"/>
    <mergeCell ref="FAN40:FBD40"/>
    <mergeCell ref="FBE40:FBU40"/>
    <mergeCell ref="FBV40:FCL40"/>
    <mergeCell ref="FCM40:FDC40"/>
    <mergeCell ref="FDD40:FDT40"/>
    <mergeCell ref="EXG40:EXW40"/>
    <mergeCell ref="EXX40:EYN40"/>
    <mergeCell ref="EYO40:EZE40"/>
    <mergeCell ref="EZF40:EZV40"/>
    <mergeCell ref="EZW40:FAM40"/>
    <mergeCell ref="FUD40:FUT40"/>
    <mergeCell ref="FUU40:FVK40"/>
    <mergeCell ref="FVL40:FWB40"/>
    <mergeCell ref="FWC40:FWS40"/>
    <mergeCell ref="FWT40:FXJ40"/>
    <mergeCell ref="FQW40:FRM40"/>
    <mergeCell ref="FRN40:FSD40"/>
    <mergeCell ref="FSE40:FSU40"/>
    <mergeCell ref="FSV40:FTL40"/>
    <mergeCell ref="FTM40:FUC40"/>
    <mergeCell ref="FNP40:FOF40"/>
    <mergeCell ref="FOG40:FOW40"/>
    <mergeCell ref="FOX40:FPN40"/>
    <mergeCell ref="FPO40:FQE40"/>
    <mergeCell ref="FQF40:FQV40"/>
    <mergeCell ref="FKI40:FKY40"/>
    <mergeCell ref="FKZ40:FLP40"/>
    <mergeCell ref="FLQ40:FMG40"/>
    <mergeCell ref="FMH40:FMX40"/>
    <mergeCell ref="FMY40:FNO40"/>
    <mergeCell ref="GHF40:GHV40"/>
    <mergeCell ref="GHW40:GIM40"/>
    <mergeCell ref="GIN40:GJD40"/>
    <mergeCell ref="GJE40:GJU40"/>
    <mergeCell ref="GJV40:GKL40"/>
    <mergeCell ref="GDY40:GEO40"/>
    <mergeCell ref="GEP40:GFF40"/>
    <mergeCell ref="GFG40:GFW40"/>
    <mergeCell ref="GFX40:GGN40"/>
    <mergeCell ref="GGO40:GHE40"/>
    <mergeCell ref="GAR40:GBH40"/>
    <mergeCell ref="GBI40:GBY40"/>
    <mergeCell ref="GBZ40:GCP40"/>
    <mergeCell ref="GCQ40:GDG40"/>
    <mergeCell ref="GDH40:GDX40"/>
    <mergeCell ref="FXK40:FYA40"/>
    <mergeCell ref="FYB40:FYR40"/>
    <mergeCell ref="FYS40:FZI40"/>
    <mergeCell ref="FZJ40:FZZ40"/>
    <mergeCell ref="GAA40:GAQ40"/>
    <mergeCell ref="GUH40:GUX40"/>
    <mergeCell ref="GUY40:GVO40"/>
    <mergeCell ref="GVP40:GWF40"/>
    <mergeCell ref="GWG40:GWW40"/>
    <mergeCell ref="GWX40:GXN40"/>
    <mergeCell ref="GRA40:GRQ40"/>
    <mergeCell ref="GRR40:GSH40"/>
    <mergeCell ref="GSI40:GSY40"/>
    <mergeCell ref="GSZ40:GTP40"/>
    <mergeCell ref="GTQ40:GUG40"/>
    <mergeCell ref="GNT40:GOJ40"/>
    <mergeCell ref="GOK40:GPA40"/>
    <mergeCell ref="GPB40:GPR40"/>
    <mergeCell ref="GPS40:GQI40"/>
    <mergeCell ref="GQJ40:GQZ40"/>
    <mergeCell ref="GKM40:GLC40"/>
    <mergeCell ref="GLD40:GLT40"/>
    <mergeCell ref="GLU40:GMK40"/>
    <mergeCell ref="GML40:GNB40"/>
    <mergeCell ref="GNC40:GNS40"/>
    <mergeCell ref="HHJ40:HHZ40"/>
    <mergeCell ref="HIA40:HIQ40"/>
    <mergeCell ref="HIR40:HJH40"/>
    <mergeCell ref="HJI40:HJY40"/>
    <mergeCell ref="HJZ40:HKP40"/>
    <mergeCell ref="HEC40:HES40"/>
    <mergeCell ref="HET40:HFJ40"/>
    <mergeCell ref="HFK40:HGA40"/>
    <mergeCell ref="HGB40:HGR40"/>
    <mergeCell ref="HGS40:HHI40"/>
    <mergeCell ref="HAV40:HBL40"/>
    <mergeCell ref="HBM40:HCC40"/>
    <mergeCell ref="HCD40:HCT40"/>
    <mergeCell ref="HCU40:HDK40"/>
    <mergeCell ref="HDL40:HEB40"/>
    <mergeCell ref="GXO40:GYE40"/>
    <mergeCell ref="GYF40:GYV40"/>
    <mergeCell ref="GYW40:GZM40"/>
    <mergeCell ref="GZN40:HAD40"/>
    <mergeCell ref="HAE40:HAU40"/>
    <mergeCell ref="HUL40:HVB40"/>
    <mergeCell ref="HVC40:HVS40"/>
    <mergeCell ref="HVT40:HWJ40"/>
    <mergeCell ref="HWK40:HXA40"/>
    <mergeCell ref="HXB40:HXR40"/>
    <mergeCell ref="HRE40:HRU40"/>
    <mergeCell ref="HRV40:HSL40"/>
    <mergeCell ref="HSM40:HTC40"/>
    <mergeCell ref="HTD40:HTT40"/>
    <mergeCell ref="HTU40:HUK40"/>
    <mergeCell ref="HNX40:HON40"/>
    <mergeCell ref="HOO40:HPE40"/>
    <mergeCell ref="HPF40:HPV40"/>
    <mergeCell ref="HPW40:HQM40"/>
    <mergeCell ref="HQN40:HRD40"/>
    <mergeCell ref="HKQ40:HLG40"/>
    <mergeCell ref="HLH40:HLX40"/>
    <mergeCell ref="HLY40:HMO40"/>
    <mergeCell ref="HMP40:HNF40"/>
    <mergeCell ref="HNG40:HNW40"/>
    <mergeCell ref="IHN40:IID40"/>
    <mergeCell ref="IIE40:IIU40"/>
    <mergeCell ref="IIV40:IJL40"/>
    <mergeCell ref="IJM40:IKC40"/>
    <mergeCell ref="IKD40:IKT40"/>
    <mergeCell ref="IEG40:IEW40"/>
    <mergeCell ref="IEX40:IFN40"/>
    <mergeCell ref="IFO40:IGE40"/>
    <mergeCell ref="IGF40:IGV40"/>
    <mergeCell ref="IGW40:IHM40"/>
    <mergeCell ref="IAZ40:IBP40"/>
    <mergeCell ref="IBQ40:ICG40"/>
    <mergeCell ref="ICH40:ICX40"/>
    <mergeCell ref="ICY40:IDO40"/>
    <mergeCell ref="IDP40:IEF40"/>
    <mergeCell ref="HXS40:HYI40"/>
    <mergeCell ref="HYJ40:HYZ40"/>
    <mergeCell ref="HZA40:HZQ40"/>
    <mergeCell ref="HZR40:IAH40"/>
    <mergeCell ref="IAI40:IAY40"/>
    <mergeCell ref="IUP40:IVF40"/>
    <mergeCell ref="IVG40:IVW40"/>
    <mergeCell ref="IVX40:IWN40"/>
    <mergeCell ref="IWO40:IXE40"/>
    <mergeCell ref="IXF40:IXV40"/>
    <mergeCell ref="IRI40:IRY40"/>
    <mergeCell ref="IRZ40:ISP40"/>
    <mergeCell ref="ISQ40:ITG40"/>
    <mergeCell ref="ITH40:ITX40"/>
    <mergeCell ref="ITY40:IUO40"/>
    <mergeCell ref="IOB40:IOR40"/>
    <mergeCell ref="IOS40:IPI40"/>
    <mergeCell ref="IPJ40:IPZ40"/>
    <mergeCell ref="IQA40:IQQ40"/>
    <mergeCell ref="IQR40:IRH40"/>
    <mergeCell ref="IKU40:ILK40"/>
    <mergeCell ref="ILL40:IMB40"/>
    <mergeCell ref="IMC40:IMS40"/>
    <mergeCell ref="IMT40:INJ40"/>
    <mergeCell ref="INK40:IOA40"/>
    <mergeCell ref="JHR40:JIH40"/>
    <mergeCell ref="JII40:JIY40"/>
    <mergeCell ref="JIZ40:JJP40"/>
    <mergeCell ref="JJQ40:JKG40"/>
    <mergeCell ref="JKH40:JKX40"/>
    <mergeCell ref="JEK40:JFA40"/>
    <mergeCell ref="JFB40:JFR40"/>
    <mergeCell ref="JFS40:JGI40"/>
    <mergeCell ref="JGJ40:JGZ40"/>
    <mergeCell ref="JHA40:JHQ40"/>
    <mergeCell ref="JBD40:JBT40"/>
    <mergeCell ref="JBU40:JCK40"/>
    <mergeCell ref="JCL40:JDB40"/>
    <mergeCell ref="JDC40:JDS40"/>
    <mergeCell ref="JDT40:JEJ40"/>
    <mergeCell ref="IXW40:IYM40"/>
    <mergeCell ref="IYN40:IZD40"/>
    <mergeCell ref="IZE40:IZU40"/>
    <mergeCell ref="IZV40:JAL40"/>
    <mergeCell ref="JAM40:JBC40"/>
    <mergeCell ref="JUT40:JVJ40"/>
    <mergeCell ref="JVK40:JWA40"/>
    <mergeCell ref="JWB40:JWR40"/>
    <mergeCell ref="JWS40:JXI40"/>
    <mergeCell ref="JXJ40:JXZ40"/>
    <mergeCell ref="JRM40:JSC40"/>
    <mergeCell ref="JSD40:JST40"/>
    <mergeCell ref="JSU40:JTK40"/>
    <mergeCell ref="JTL40:JUB40"/>
    <mergeCell ref="JUC40:JUS40"/>
    <mergeCell ref="JOF40:JOV40"/>
    <mergeCell ref="JOW40:JPM40"/>
    <mergeCell ref="JPN40:JQD40"/>
    <mergeCell ref="JQE40:JQU40"/>
    <mergeCell ref="JQV40:JRL40"/>
    <mergeCell ref="JKY40:JLO40"/>
    <mergeCell ref="JLP40:JMF40"/>
    <mergeCell ref="JMG40:JMW40"/>
    <mergeCell ref="JMX40:JNN40"/>
    <mergeCell ref="JNO40:JOE40"/>
    <mergeCell ref="KHV40:KIL40"/>
    <mergeCell ref="KIM40:KJC40"/>
    <mergeCell ref="KJD40:KJT40"/>
    <mergeCell ref="KJU40:KKK40"/>
    <mergeCell ref="KKL40:KLB40"/>
    <mergeCell ref="KEO40:KFE40"/>
    <mergeCell ref="KFF40:KFV40"/>
    <mergeCell ref="KFW40:KGM40"/>
    <mergeCell ref="KGN40:KHD40"/>
    <mergeCell ref="KHE40:KHU40"/>
    <mergeCell ref="KBH40:KBX40"/>
    <mergeCell ref="KBY40:KCO40"/>
    <mergeCell ref="KCP40:KDF40"/>
    <mergeCell ref="KDG40:KDW40"/>
    <mergeCell ref="KDX40:KEN40"/>
    <mergeCell ref="JYA40:JYQ40"/>
    <mergeCell ref="JYR40:JZH40"/>
    <mergeCell ref="JZI40:JZY40"/>
    <mergeCell ref="JZZ40:KAP40"/>
    <mergeCell ref="KAQ40:KBG40"/>
    <mergeCell ref="KUX40:KVN40"/>
    <mergeCell ref="KVO40:KWE40"/>
    <mergeCell ref="KWF40:KWV40"/>
    <mergeCell ref="KWW40:KXM40"/>
    <mergeCell ref="KXN40:KYD40"/>
    <mergeCell ref="KRQ40:KSG40"/>
    <mergeCell ref="KSH40:KSX40"/>
    <mergeCell ref="KSY40:KTO40"/>
    <mergeCell ref="KTP40:KUF40"/>
    <mergeCell ref="KUG40:KUW40"/>
    <mergeCell ref="KOJ40:KOZ40"/>
    <mergeCell ref="KPA40:KPQ40"/>
    <mergeCell ref="KPR40:KQH40"/>
    <mergeCell ref="KQI40:KQY40"/>
    <mergeCell ref="KQZ40:KRP40"/>
    <mergeCell ref="KLC40:KLS40"/>
    <mergeCell ref="KLT40:KMJ40"/>
    <mergeCell ref="KMK40:KNA40"/>
    <mergeCell ref="KNB40:KNR40"/>
    <mergeCell ref="KNS40:KOI40"/>
    <mergeCell ref="LHZ40:LIP40"/>
    <mergeCell ref="LIQ40:LJG40"/>
    <mergeCell ref="LJH40:LJX40"/>
    <mergeCell ref="LJY40:LKO40"/>
    <mergeCell ref="LKP40:LLF40"/>
    <mergeCell ref="LES40:LFI40"/>
    <mergeCell ref="LFJ40:LFZ40"/>
    <mergeCell ref="LGA40:LGQ40"/>
    <mergeCell ref="LGR40:LHH40"/>
    <mergeCell ref="LHI40:LHY40"/>
    <mergeCell ref="LBL40:LCB40"/>
    <mergeCell ref="LCC40:LCS40"/>
    <mergeCell ref="LCT40:LDJ40"/>
    <mergeCell ref="LDK40:LEA40"/>
    <mergeCell ref="LEB40:LER40"/>
    <mergeCell ref="KYE40:KYU40"/>
    <mergeCell ref="KYV40:KZL40"/>
    <mergeCell ref="KZM40:LAC40"/>
    <mergeCell ref="LAD40:LAT40"/>
    <mergeCell ref="LAU40:LBK40"/>
    <mergeCell ref="LVB40:LVR40"/>
    <mergeCell ref="LVS40:LWI40"/>
    <mergeCell ref="LWJ40:LWZ40"/>
    <mergeCell ref="LXA40:LXQ40"/>
    <mergeCell ref="LXR40:LYH40"/>
    <mergeCell ref="LRU40:LSK40"/>
    <mergeCell ref="LSL40:LTB40"/>
    <mergeCell ref="LTC40:LTS40"/>
    <mergeCell ref="LTT40:LUJ40"/>
    <mergeCell ref="LUK40:LVA40"/>
    <mergeCell ref="LON40:LPD40"/>
    <mergeCell ref="LPE40:LPU40"/>
    <mergeCell ref="LPV40:LQL40"/>
    <mergeCell ref="LQM40:LRC40"/>
    <mergeCell ref="LRD40:LRT40"/>
    <mergeCell ref="LLG40:LLW40"/>
    <mergeCell ref="LLX40:LMN40"/>
    <mergeCell ref="LMO40:LNE40"/>
    <mergeCell ref="LNF40:LNV40"/>
    <mergeCell ref="LNW40:LOM40"/>
    <mergeCell ref="MID40:MIT40"/>
    <mergeCell ref="MIU40:MJK40"/>
    <mergeCell ref="MJL40:MKB40"/>
    <mergeCell ref="MKC40:MKS40"/>
    <mergeCell ref="MKT40:MLJ40"/>
    <mergeCell ref="MEW40:MFM40"/>
    <mergeCell ref="MFN40:MGD40"/>
    <mergeCell ref="MGE40:MGU40"/>
    <mergeCell ref="MGV40:MHL40"/>
    <mergeCell ref="MHM40:MIC40"/>
    <mergeCell ref="MBP40:MCF40"/>
    <mergeCell ref="MCG40:MCW40"/>
    <mergeCell ref="MCX40:MDN40"/>
    <mergeCell ref="MDO40:MEE40"/>
    <mergeCell ref="MEF40:MEV40"/>
    <mergeCell ref="LYI40:LYY40"/>
    <mergeCell ref="LYZ40:LZP40"/>
    <mergeCell ref="LZQ40:MAG40"/>
    <mergeCell ref="MAH40:MAX40"/>
    <mergeCell ref="MAY40:MBO40"/>
    <mergeCell ref="MVF40:MVV40"/>
    <mergeCell ref="MVW40:MWM40"/>
    <mergeCell ref="MWN40:MXD40"/>
    <mergeCell ref="MXE40:MXU40"/>
    <mergeCell ref="MXV40:MYL40"/>
    <mergeCell ref="MRY40:MSO40"/>
    <mergeCell ref="MSP40:MTF40"/>
    <mergeCell ref="MTG40:MTW40"/>
    <mergeCell ref="MTX40:MUN40"/>
    <mergeCell ref="MUO40:MVE40"/>
    <mergeCell ref="MOR40:MPH40"/>
    <mergeCell ref="MPI40:MPY40"/>
    <mergeCell ref="MPZ40:MQP40"/>
    <mergeCell ref="MQQ40:MRG40"/>
    <mergeCell ref="MRH40:MRX40"/>
    <mergeCell ref="MLK40:MMA40"/>
    <mergeCell ref="MMB40:MMR40"/>
    <mergeCell ref="MMS40:MNI40"/>
    <mergeCell ref="MNJ40:MNZ40"/>
    <mergeCell ref="MOA40:MOQ40"/>
    <mergeCell ref="NIH40:NIX40"/>
    <mergeCell ref="NIY40:NJO40"/>
    <mergeCell ref="NJP40:NKF40"/>
    <mergeCell ref="NKG40:NKW40"/>
    <mergeCell ref="NKX40:NLN40"/>
    <mergeCell ref="NFA40:NFQ40"/>
    <mergeCell ref="NFR40:NGH40"/>
    <mergeCell ref="NGI40:NGY40"/>
    <mergeCell ref="NGZ40:NHP40"/>
    <mergeCell ref="NHQ40:NIG40"/>
    <mergeCell ref="NBT40:NCJ40"/>
    <mergeCell ref="NCK40:NDA40"/>
    <mergeCell ref="NDB40:NDR40"/>
    <mergeCell ref="NDS40:NEI40"/>
    <mergeCell ref="NEJ40:NEZ40"/>
    <mergeCell ref="MYM40:MZC40"/>
    <mergeCell ref="MZD40:MZT40"/>
    <mergeCell ref="MZU40:NAK40"/>
    <mergeCell ref="NAL40:NBB40"/>
    <mergeCell ref="NBC40:NBS40"/>
    <mergeCell ref="NVJ40:NVZ40"/>
    <mergeCell ref="NWA40:NWQ40"/>
    <mergeCell ref="NWR40:NXH40"/>
    <mergeCell ref="NXI40:NXY40"/>
    <mergeCell ref="NXZ40:NYP40"/>
    <mergeCell ref="NSC40:NSS40"/>
    <mergeCell ref="NST40:NTJ40"/>
    <mergeCell ref="NTK40:NUA40"/>
    <mergeCell ref="NUB40:NUR40"/>
    <mergeCell ref="NUS40:NVI40"/>
    <mergeCell ref="NOV40:NPL40"/>
    <mergeCell ref="NPM40:NQC40"/>
    <mergeCell ref="NQD40:NQT40"/>
    <mergeCell ref="NQU40:NRK40"/>
    <mergeCell ref="NRL40:NSB40"/>
    <mergeCell ref="NLO40:NME40"/>
    <mergeCell ref="NMF40:NMV40"/>
    <mergeCell ref="NMW40:NNM40"/>
    <mergeCell ref="NNN40:NOD40"/>
    <mergeCell ref="NOE40:NOU40"/>
    <mergeCell ref="OIL40:OJB40"/>
    <mergeCell ref="OJC40:OJS40"/>
    <mergeCell ref="OJT40:OKJ40"/>
    <mergeCell ref="OKK40:OLA40"/>
    <mergeCell ref="OLB40:OLR40"/>
    <mergeCell ref="OFE40:OFU40"/>
    <mergeCell ref="OFV40:OGL40"/>
    <mergeCell ref="OGM40:OHC40"/>
    <mergeCell ref="OHD40:OHT40"/>
    <mergeCell ref="OHU40:OIK40"/>
    <mergeCell ref="OBX40:OCN40"/>
    <mergeCell ref="OCO40:ODE40"/>
    <mergeCell ref="ODF40:ODV40"/>
    <mergeCell ref="ODW40:OEM40"/>
    <mergeCell ref="OEN40:OFD40"/>
    <mergeCell ref="NYQ40:NZG40"/>
    <mergeCell ref="NZH40:NZX40"/>
    <mergeCell ref="NZY40:OAO40"/>
    <mergeCell ref="OAP40:OBF40"/>
    <mergeCell ref="OBG40:OBW40"/>
    <mergeCell ref="OVN40:OWD40"/>
    <mergeCell ref="OWE40:OWU40"/>
    <mergeCell ref="OWV40:OXL40"/>
    <mergeCell ref="OXM40:OYC40"/>
    <mergeCell ref="OYD40:OYT40"/>
    <mergeCell ref="OSG40:OSW40"/>
    <mergeCell ref="OSX40:OTN40"/>
    <mergeCell ref="OTO40:OUE40"/>
    <mergeCell ref="OUF40:OUV40"/>
    <mergeCell ref="OUW40:OVM40"/>
    <mergeCell ref="OOZ40:OPP40"/>
    <mergeCell ref="OPQ40:OQG40"/>
    <mergeCell ref="OQH40:OQX40"/>
    <mergeCell ref="OQY40:ORO40"/>
    <mergeCell ref="ORP40:OSF40"/>
    <mergeCell ref="OLS40:OMI40"/>
    <mergeCell ref="OMJ40:OMZ40"/>
    <mergeCell ref="ONA40:ONQ40"/>
    <mergeCell ref="ONR40:OOH40"/>
    <mergeCell ref="OOI40:OOY40"/>
    <mergeCell ref="PIP40:PJF40"/>
    <mergeCell ref="PJG40:PJW40"/>
    <mergeCell ref="PJX40:PKN40"/>
    <mergeCell ref="PKO40:PLE40"/>
    <mergeCell ref="PLF40:PLV40"/>
    <mergeCell ref="PFI40:PFY40"/>
    <mergeCell ref="PFZ40:PGP40"/>
    <mergeCell ref="PGQ40:PHG40"/>
    <mergeCell ref="PHH40:PHX40"/>
    <mergeCell ref="PHY40:PIO40"/>
    <mergeCell ref="PCB40:PCR40"/>
    <mergeCell ref="PCS40:PDI40"/>
    <mergeCell ref="PDJ40:PDZ40"/>
    <mergeCell ref="PEA40:PEQ40"/>
    <mergeCell ref="PER40:PFH40"/>
    <mergeCell ref="OYU40:OZK40"/>
    <mergeCell ref="OZL40:PAB40"/>
    <mergeCell ref="PAC40:PAS40"/>
    <mergeCell ref="PAT40:PBJ40"/>
    <mergeCell ref="PBK40:PCA40"/>
    <mergeCell ref="PVR40:PWH40"/>
    <mergeCell ref="PWI40:PWY40"/>
    <mergeCell ref="PWZ40:PXP40"/>
    <mergeCell ref="PXQ40:PYG40"/>
    <mergeCell ref="PYH40:PYX40"/>
    <mergeCell ref="PSK40:PTA40"/>
    <mergeCell ref="PTB40:PTR40"/>
    <mergeCell ref="PTS40:PUI40"/>
    <mergeCell ref="PUJ40:PUZ40"/>
    <mergeCell ref="PVA40:PVQ40"/>
    <mergeCell ref="PPD40:PPT40"/>
    <mergeCell ref="PPU40:PQK40"/>
    <mergeCell ref="PQL40:PRB40"/>
    <mergeCell ref="PRC40:PRS40"/>
    <mergeCell ref="PRT40:PSJ40"/>
    <mergeCell ref="PLW40:PMM40"/>
    <mergeCell ref="PMN40:PND40"/>
    <mergeCell ref="PNE40:PNU40"/>
    <mergeCell ref="PNV40:POL40"/>
    <mergeCell ref="POM40:PPC40"/>
    <mergeCell ref="QIT40:QJJ40"/>
    <mergeCell ref="QJK40:QKA40"/>
    <mergeCell ref="QKB40:QKR40"/>
    <mergeCell ref="QKS40:QLI40"/>
    <mergeCell ref="QLJ40:QLZ40"/>
    <mergeCell ref="QFM40:QGC40"/>
    <mergeCell ref="QGD40:QGT40"/>
    <mergeCell ref="QGU40:QHK40"/>
    <mergeCell ref="QHL40:QIB40"/>
    <mergeCell ref="QIC40:QIS40"/>
    <mergeCell ref="QCF40:QCV40"/>
    <mergeCell ref="QCW40:QDM40"/>
    <mergeCell ref="QDN40:QED40"/>
    <mergeCell ref="QEE40:QEU40"/>
    <mergeCell ref="QEV40:QFL40"/>
    <mergeCell ref="PYY40:PZO40"/>
    <mergeCell ref="PZP40:QAF40"/>
    <mergeCell ref="QAG40:QAW40"/>
    <mergeCell ref="QAX40:QBN40"/>
    <mergeCell ref="QBO40:QCE40"/>
    <mergeCell ref="QVV40:QWL40"/>
    <mergeCell ref="QWM40:QXC40"/>
    <mergeCell ref="QXD40:QXT40"/>
    <mergeCell ref="QXU40:QYK40"/>
    <mergeCell ref="QYL40:QZB40"/>
    <mergeCell ref="QSO40:QTE40"/>
    <mergeCell ref="QTF40:QTV40"/>
    <mergeCell ref="QTW40:QUM40"/>
    <mergeCell ref="QUN40:QVD40"/>
    <mergeCell ref="QVE40:QVU40"/>
    <mergeCell ref="QPH40:QPX40"/>
    <mergeCell ref="QPY40:QQO40"/>
    <mergeCell ref="QQP40:QRF40"/>
    <mergeCell ref="QRG40:QRW40"/>
    <mergeCell ref="QRX40:QSN40"/>
    <mergeCell ref="QMA40:QMQ40"/>
    <mergeCell ref="QMR40:QNH40"/>
    <mergeCell ref="QNI40:QNY40"/>
    <mergeCell ref="QNZ40:QOP40"/>
    <mergeCell ref="QOQ40:QPG40"/>
    <mergeCell ref="RIX40:RJN40"/>
    <mergeCell ref="RJO40:RKE40"/>
    <mergeCell ref="RKF40:RKV40"/>
    <mergeCell ref="RKW40:RLM40"/>
    <mergeCell ref="RLN40:RMD40"/>
    <mergeCell ref="RFQ40:RGG40"/>
    <mergeCell ref="RGH40:RGX40"/>
    <mergeCell ref="RGY40:RHO40"/>
    <mergeCell ref="RHP40:RIF40"/>
    <mergeCell ref="RIG40:RIW40"/>
    <mergeCell ref="RCJ40:RCZ40"/>
    <mergeCell ref="RDA40:RDQ40"/>
    <mergeCell ref="RDR40:REH40"/>
    <mergeCell ref="REI40:REY40"/>
    <mergeCell ref="REZ40:RFP40"/>
    <mergeCell ref="QZC40:QZS40"/>
    <mergeCell ref="QZT40:RAJ40"/>
    <mergeCell ref="RAK40:RBA40"/>
    <mergeCell ref="RBB40:RBR40"/>
    <mergeCell ref="RBS40:RCI40"/>
    <mergeCell ref="RVZ40:RWP40"/>
    <mergeCell ref="RWQ40:RXG40"/>
    <mergeCell ref="RXH40:RXX40"/>
    <mergeCell ref="RXY40:RYO40"/>
    <mergeCell ref="RYP40:RZF40"/>
    <mergeCell ref="RSS40:RTI40"/>
    <mergeCell ref="RTJ40:RTZ40"/>
    <mergeCell ref="RUA40:RUQ40"/>
    <mergeCell ref="RUR40:RVH40"/>
    <mergeCell ref="RVI40:RVY40"/>
    <mergeCell ref="RPL40:RQB40"/>
    <mergeCell ref="RQC40:RQS40"/>
    <mergeCell ref="RQT40:RRJ40"/>
    <mergeCell ref="RRK40:RSA40"/>
    <mergeCell ref="RSB40:RSR40"/>
    <mergeCell ref="RME40:RMU40"/>
    <mergeCell ref="RMV40:RNL40"/>
    <mergeCell ref="RNM40:ROC40"/>
    <mergeCell ref="ROD40:ROT40"/>
    <mergeCell ref="ROU40:RPK40"/>
    <mergeCell ref="SJB40:SJR40"/>
    <mergeCell ref="SJS40:SKI40"/>
    <mergeCell ref="SKJ40:SKZ40"/>
    <mergeCell ref="SLA40:SLQ40"/>
    <mergeCell ref="SLR40:SMH40"/>
    <mergeCell ref="SFU40:SGK40"/>
    <mergeCell ref="SGL40:SHB40"/>
    <mergeCell ref="SHC40:SHS40"/>
    <mergeCell ref="SHT40:SIJ40"/>
    <mergeCell ref="SIK40:SJA40"/>
    <mergeCell ref="SCN40:SDD40"/>
    <mergeCell ref="SDE40:SDU40"/>
    <mergeCell ref="SDV40:SEL40"/>
    <mergeCell ref="SEM40:SFC40"/>
    <mergeCell ref="SFD40:SFT40"/>
    <mergeCell ref="RZG40:RZW40"/>
    <mergeCell ref="RZX40:SAN40"/>
    <mergeCell ref="SAO40:SBE40"/>
    <mergeCell ref="SBF40:SBV40"/>
    <mergeCell ref="SBW40:SCM40"/>
    <mergeCell ref="SWD40:SWT40"/>
    <mergeCell ref="SWU40:SXK40"/>
    <mergeCell ref="SXL40:SYB40"/>
    <mergeCell ref="SYC40:SYS40"/>
    <mergeCell ref="SYT40:SZJ40"/>
    <mergeCell ref="SSW40:STM40"/>
    <mergeCell ref="STN40:SUD40"/>
    <mergeCell ref="SUE40:SUU40"/>
    <mergeCell ref="SUV40:SVL40"/>
    <mergeCell ref="SVM40:SWC40"/>
    <mergeCell ref="SPP40:SQF40"/>
    <mergeCell ref="SQG40:SQW40"/>
    <mergeCell ref="SQX40:SRN40"/>
    <mergeCell ref="SRO40:SSE40"/>
    <mergeCell ref="SSF40:SSV40"/>
    <mergeCell ref="SMI40:SMY40"/>
    <mergeCell ref="SMZ40:SNP40"/>
    <mergeCell ref="SNQ40:SOG40"/>
    <mergeCell ref="SOH40:SOX40"/>
    <mergeCell ref="SOY40:SPO40"/>
    <mergeCell ref="TJF40:TJV40"/>
    <mergeCell ref="TJW40:TKM40"/>
    <mergeCell ref="TKN40:TLD40"/>
    <mergeCell ref="TLE40:TLU40"/>
    <mergeCell ref="TLV40:TML40"/>
    <mergeCell ref="TFY40:TGO40"/>
    <mergeCell ref="TGP40:THF40"/>
    <mergeCell ref="THG40:THW40"/>
    <mergeCell ref="THX40:TIN40"/>
    <mergeCell ref="TIO40:TJE40"/>
    <mergeCell ref="TCR40:TDH40"/>
    <mergeCell ref="TDI40:TDY40"/>
    <mergeCell ref="TDZ40:TEP40"/>
    <mergeCell ref="TEQ40:TFG40"/>
    <mergeCell ref="TFH40:TFX40"/>
    <mergeCell ref="SZK40:TAA40"/>
    <mergeCell ref="TAB40:TAR40"/>
    <mergeCell ref="TAS40:TBI40"/>
    <mergeCell ref="TBJ40:TBZ40"/>
    <mergeCell ref="TCA40:TCQ40"/>
    <mergeCell ref="TWH40:TWX40"/>
    <mergeCell ref="TWY40:TXO40"/>
    <mergeCell ref="TXP40:TYF40"/>
    <mergeCell ref="TYG40:TYW40"/>
    <mergeCell ref="TYX40:TZN40"/>
    <mergeCell ref="TTA40:TTQ40"/>
    <mergeCell ref="TTR40:TUH40"/>
    <mergeCell ref="TUI40:TUY40"/>
    <mergeCell ref="TUZ40:TVP40"/>
    <mergeCell ref="TVQ40:TWG40"/>
    <mergeCell ref="TPT40:TQJ40"/>
    <mergeCell ref="TQK40:TRA40"/>
    <mergeCell ref="TRB40:TRR40"/>
    <mergeCell ref="TRS40:TSI40"/>
    <mergeCell ref="TSJ40:TSZ40"/>
    <mergeCell ref="TMM40:TNC40"/>
    <mergeCell ref="TND40:TNT40"/>
    <mergeCell ref="TNU40:TOK40"/>
    <mergeCell ref="TOL40:TPB40"/>
    <mergeCell ref="TPC40:TPS40"/>
    <mergeCell ref="UJJ40:UJZ40"/>
    <mergeCell ref="UKA40:UKQ40"/>
    <mergeCell ref="UKR40:ULH40"/>
    <mergeCell ref="ULI40:ULY40"/>
    <mergeCell ref="ULZ40:UMP40"/>
    <mergeCell ref="UGC40:UGS40"/>
    <mergeCell ref="UGT40:UHJ40"/>
    <mergeCell ref="UHK40:UIA40"/>
    <mergeCell ref="UIB40:UIR40"/>
    <mergeCell ref="UIS40:UJI40"/>
    <mergeCell ref="UCV40:UDL40"/>
    <mergeCell ref="UDM40:UEC40"/>
    <mergeCell ref="UED40:UET40"/>
    <mergeCell ref="UEU40:UFK40"/>
    <mergeCell ref="UFL40:UGB40"/>
    <mergeCell ref="TZO40:UAE40"/>
    <mergeCell ref="UAF40:UAV40"/>
    <mergeCell ref="UAW40:UBM40"/>
    <mergeCell ref="UBN40:UCD40"/>
    <mergeCell ref="UCE40:UCU40"/>
    <mergeCell ref="UWL40:UXB40"/>
    <mergeCell ref="UXC40:UXS40"/>
    <mergeCell ref="UXT40:UYJ40"/>
    <mergeCell ref="UYK40:UZA40"/>
    <mergeCell ref="UZB40:UZR40"/>
    <mergeCell ref="UTE40:UTU40"/>
    <mergeCell ref="UTV40:UUL40"/>
    <mergeCell ref="UUM40:UVC40"/>
    <mergeCell ref="UVD40:UVT40"/>
    <mergeCell ref="UVU40:UWK40"/>
    <mergeCell ref="UPX40:UQN40"/>
    <mergeCell ref="UQO40:URE40"/>
    <mergeCell ref="URF40:URV40"/>
    <mergeCell ref="URW40:USM40"/>
    <mergeCell ref="USN40:UTD40"/>
    <mergeCell ref="UMQ40:UNG40"/>
    <mergeCell ref="UNH40:UNX40"/>
    <mergeCell ref="UNY40:UOO40"/>
    <mergeCell ref="UOP40:UPF40"/>
    <mergeCell ref="UPG40:UPW40"/>
    <mergeCell ref="VJN40:VKD40"/>
    <mergeCell ref="VKE40:VKU40"/>
    <mergeCell ref="VKV40:VLL40"/>
    <mergeCell ref="VLM40:VMC40"/>
    <mergeCell ref="VMD40:VMT40"/>
    <mergeCell ref="VGG40:VGW40"/>
    <mergeCell ref="VGX40:VHN40"/>
    <mergeCell ref="VHO40:VIE40"/>
    <mergeCell ref="VIF40:VIV40"/>
    <mergeCell ref="VIW40:VJM40"/>
    <mergeCell ref="VCZ40:VDP40"/>
    <mergeCell ref="VDQ40:VEG40"/>
    <mergeCell ref="VEH40:VEX40"/>
    <mergeCell ref="VEY40:VFO40"/>
    <mergeCell ref="VFP40:VGF40"/>
    <mergeCell ref="UZS40:VAI40"/>
    <mergeCell ref="VAJ40:VAZ40"/>
    <mergeCell ref="VBA40:VBQ40"/>
    <mergeCell ref="VBR40:VCH40"/>
    <mergeCell ref="VCI40:VCY40"/>
    <mergeCell ref="VWP40:VXF40"/>
    <mergeCell ref="VXG40:VXW40"/>
    <mergeCell ref="VXX40:VYN40"/>
    <mergeCell ref="VYO40:VZE40"/>
    <mergeCell ref="VZF40:VZV40"/>
    <mergeCell ref="VTI40:VTY40"/>
    <mergeCell ref="VTZ40:VUP40"/>
    <mergeCell ref="VUQ40:VVG40"/>
    <mergeCell ref="VVH40:VVX40"/>
    <mergeCell ref="VVY40:VWO40"/>
    <mergeCell ref="VQB40:VQR40"/>
    <mergeCell ref="VQS40:VRI40"/>
    <mergeCell ref="VRJ40:VRZ40"/>
    <mergeCell ref="VSA40:VSQ40"/>
    <mergeCell ref="VSR40:VTH40"/>
    <mergeCell ref="VMU40:VNK40"/>
    <mergeCell ref="VNL40:VOB40"/>
    <mergeCell ref="VOC40:VOS40"/>
    <mergeCell ref="VOT40:VPJ40"/>
    <mergeCell ref="VPK40:VQA40"/>
    <mergeCell ref="WJR40:WKH40"/>
    <mergeCell ref="WKI40:WKY40"/>
    <mergeCell ref="WKZ40:WLP40"/>
    <mergeCell ref="WLQ40:WMG40"/>
    <mergeCell ref="WMH40:WMX40"/>
    <mergeCell ref="WGK40:WHA40"/>
    <mergeCell ref="WHB40:WHR40"/>
    <mergeCell ref="WHS40:WII40"/>
    <mergeCell ref="WIJ40:WIZ40"/>
    <mergeCell ref="WJA40:WJQ40"/>
    <mergeCell ref="WDD40:WDT40"/>
    <mergeCell ref="WDU40:WEK40"/>
    <mergeCell ref="WEL40:WFB40"/>
    <mergeCell ref="WFC40:WFS40"/>
    <mergeCell ref="WFT40:WGJ40"/>
    <mergeCell ref="VZW40:WAM40"/>
    <mergeCell ref="WAN40:WBD40"/>
    <mergeCell ref="WBE40:WBU40"/>
    <mergeCell ref="WBV40:WCL40"/>
    <mergeCell ref="WCM40:WDC40"/>
    <mergeCell ref="WYB40:WYR40"/>
    <mergeCell ref="WYS40:WZI40"/>
    <mergeCell ref="WZJ40:WZZ40"/>
    <mergeCell ref="WTM40:WUC40"/>
    <mergeCell ref="WUD40:WUT40"/>
    <mergeCell ref="WUU40:WVK40"/>
    <mergeCell ref="WVL40:WWB40"/>
    <mergeCell ref="WWC40:WWS40"/>
    <mergeCell ref="WQF40:WQV40"/>
    <mergeCell ref="WQW40:WRM40"/>
    <mergeCell ref="WRN40:WSD40"/>
    <mergeCell ref="WSE40:WSU40"/>
    <mergeCell ref="WSV40:WTL40"/>
    <mergeCell ref="WMY40:WNO40"/>
    <mergeCell ref="WNP40:WOF40"/>
    <mergeCell ref="WOG40:WOW40"/>
    <mergeCell ref="WOX40:WPN40"/>
    <mergeCell ref="WPO40:WQE40"/>
    <mergeCell ref="KS41:LI41"/>
    <mergeCell ref="LJ41:LZ41"/>
    <mergeCell ref="MA41:MQ41"/>
    <mergeCell ref="MR41:NH41"/>
    <mergeCell ref="NI41:NY41"/>
    <mergeCell ref="HL41:IB41"/>
    <mergeCell ref="IC41:IS41"/>
    <mergeCell ref="IT41:JJ41"/>
    <mergeCell ref="JK41:KA41"/>
    <mergeCell ref="KB41:KR41"/>
    <mergeCell ref="XDH40:XDX40"/>
    <mergeCell ref="XDY40:XEK40"/>
    <mergeCell ref="S41:AG41"/>
    <mergeCell ref="AX41:BM41"/>
    <mergeCell ref="BN41:BP41"/>
    <mergeCell ref="BQ41:CE41"/>
    <mergeCell ref="CF41:CV41"/>
    <mergeCell ref="CW41:DM41"/>
    <mergeCell ref="DN41:ED41"/>
    <mergeCell ref="EE41:EU41"/>
    <mergeCell ref="EV41:FL41"/>
    <mergeCell ref="FM41:GC41"/>
    <mergeCell ref="GD41:GT41"/>
    <mergeCell ref="GU41:HK41"/>
    <mergeCell ref="XAA40:XAQ40"/>
    <mergeCell ref="XAR40:XBH40"/>
    <mergeCell ref="XBI40:XBY40"/>
    <mergeCell ref="XBZ40:XCP40"/>
    <mergeCell ref="XCQ40:XDG40"/>
    <mergeCell ref="WWT40:WXJ40"/>
    <mergeCell ref="WXK40:WYA40"/>
    <mergeCell ref="XU41:YK41"/>
    <mergeCell ref="YL41:ZB41"/>
    <mergeCell ref="ZC41:ZS41"/>
    <mergeCell ref="ZT41:AAJ41"/>
    <mergeCell ref="AAK41:ABA41"/>
    <mergeCell ref="UN41:VD41"/>
    <mergeCell ref="VE41:VU41"/>
    <mergeCell ref="VV41:WL41"/>
    <mergeCell ref="WM41:XC41"/>
    <mergeCell ref="XD41:XT41"/>
    <mergeCell ref="RG41:RW41"/>
    <mergeCell ref="RX41:SN41"/>
    <mergeCell ref="SO41:TE41"/>
    <mergeCell ref="TF41:TV41"/>
    <mergeCell ref="TW41:UM41"/>
    <mergeCell ref="NZ41:OP41"/>
    <mergeCell ref="OQ41:PG41"/>
    <mergeCell ref="PH41:PX41"/>
    <mergeCell ref="PY41:QO41"/>
    <mergeCell ref="QP41:RF41"/>
    <mergeCell ref="AKW41:ALM41"/>
    <mergeCell ref="ALN41:AMD41"/>
    <mergeCell ref="AME41:AMU41"/>
    <mergeCell ref="AMV41:ANL41"/>
    <mergeCell ref="ANM41:AOC41"/>
    <mergeCell ref="AHP41:AIF41"/>
    <mergeCell ref="AIG41:AIW41"/>
    <mergeCell ref="AIX41:AJN41"/>
    <mergeCell ref="AJO41:AKE41"/>
    <mergeCell ref="AKF41:AKV41"/>
    <mergeCell ref="AEI41:AEY41"/>
    <mergeCell ref="AEZ41:AFP41"/>
    <mergeCell ref="AFQ41:AGG41"/>
    <mergeCell ref="AGH41:AGX41"/>
    <mergeCell ref="AGY41:AHO41"/>
    <mergeCell ref="ABB41:ABR41"/>
    <mergeCell ref="ABS41:ACI41"/>
    <mergeCell ref="ACJ41:ACZ41"/>
    <mergeCell ref="ADA41:ADQ41"/>
    <mergeCell ref="ADR41:AEH41"/>
    <mergeCell ref="AXY41:AYO41"/>
    <mergeCell ref="AYP41:AZF41"/>
    <mergeCell ref="AZG41:AZW41"/>
    <mergeCell ref="AZX41:BAN41"/>
    <mergeCell ref="BAO41:BBE41"/>
    <mergeCell ref="AUR41:AVH41"/>
    <mergeCell ref="AVI41:AVY41"/>
    <mergeCell ref="AVZ41:AWP41"/>
    <mergeCell ref="AWQ41:AXG41"/>
    <mergeCell ref="AXH41:AXX41"/>
    <mergeCell ref="ARK41:ASA41"/>
    <mergeCell ref="ASB41:ASR41"/>
    <mergeCell ref="ASS41:ATI41"/>
    <mergeCell ref="ATJ41:ATZ41"/>
    <mergeCell ref="AUA41:AUQ41"/>
    <mergeCell ref="AOD41:AOT41"/>
    <mergeCell ref="AOU41:APK41"/>
    <mergeCell ref="APL41:AQB41"/>
    <mergeCell ref="AQC41:AQS41"/>
    <mergeCell ref="AQT41:ARJ41"/>
    <mergeCell ref="BLA41:BLQ41"/>
    <mergeCell ref="BLR41:BMH41"/>
    <mergeCell ref="BMI41:BMY41"/>
    <mergeCell ref="BMZ41:BNP41"/>
    <mergeCell ref="BNQ41:BOG41"/>
    <mergeCell ref="BHT41:BIJ41"/>
    <mergeCell ref="BIK41:BJA41"/>
    <mergeCell ref="BJB41:BJR41"/>
    <mergeCell ref="BJS41:BKI41"/>
    <mergeCell ref="BKJ41:BKZ41"/>
    <mergeCell ref="BEM41:BFC41"/>
    <mergeCell ref="BFD41:BFT41"/>
    <mergeCell ref="BFU41:BGK41"/>
    <mergeCell ref="BGL41:BHB41"/>
    <mergeCell ref="BHC41:BHS41"/>
    <mergeCell ref="BBF41:BBV41"/>
    <mergeCell ref="BBW41:BCM41"/>
    <mergeCell ref="BCN41:BDD41"/>
    <mergeCell ref="BDE41:BDU41"/>
    <mergeCell ref="BDV41:BEL41"/>
    <mergeCell ref="BYC41:BYS41"/>
    <mergeCell ref="BYT41:BZJ41"/>
    <mergeCell ref="BZK41:CAA41"/>
    <mergeCell ref="CAB41:CAR41"/>
    <mergeCell ref="CAS41:CBI41"/>
    <mergeCell ref="BUV41:BVL41"/>
    <mergeCell ref="BVM41:BWC41"/>
    <mergeCell ref="BWD41:BWT41"/>
    <mergeCell ref="BWU41:BXK41"/>
    <mergeCell ref="BXL41:BYB41"/>
    <mergeCell ref="BRO41:BSE41"/>
    <mergeCell ref="BSF41:BSV41"/>
    <mergeCell ref="BSW41:BTM41"/>
    <mergeCell ref="BTN41:BUD41"/>
    <mergeCell ref="BUE41:BUU41"/>
    <mergeCell ref="BOH41:BOX41"/>
    <mergeCell ref="BOY41:BPO41"/>
    <mergeCell ref="BPP41:BQF41"/>
    <mergeCell ref="BQG41:BQW41"/>
    <mergeCell ref="BQX41:BRN41"/>
    <mergeCell ref="CLE41:CLU41"/>
    <mergeCell ref="CLV41:CML41"/>
    <mergeCell ref="CMM41:CNC41"/>
    <mergeCell ref="CND41:CNT41"/>
    <mergeCell ref="CNU41:COK41"/>
    <mergeCell ref="CHX41:CIN41"/>
    <mergeCell ref="CIO41:CJE41"/>
    <mergeCell ref="CJF41:CJV41"/>
    <mergeCell ref="CJW41:CKM41"/>
    <mergeCell ref="CKN41:CLD41"/>
    <mergeCell ref="CEQ41:CFG41"/>
    <mergeCell ref="CFH41:CFX41"/>
    <mergeCell ref="CFY41:CGO41"/>
    <mergeCell ref="CGP41:CHF41"/>
    <mergeCell ref="CHG41:CHW41"/>
    <mergeCell ref="CBJ41:CBZ41"/>
    <mergeCell ref="CCA41:CCQ41"/>
    <mergeCell ref="CCR41:CDH41"/>
    <mergeCell ref="CDI41:CDY41"/>
    <mergeCell ref="CDZ41:CEP41"/>
    <mergeCell ref="CYG41:CYW41"/>
    <mergeCell ref="CYX41:CZN41"/>
    <mergeCell ref="CZO41:DAE41"/>
    <mergeCell ref="DAF41:DAV41"/>
    <mergeCell ref="DAW41:DBM41"/>
    <mergeCell ref="CUZ41:CVP41"/>
    <mergeCell ref="CVQ41:CWG41"/>
    <mergeCell ref="CWH41:CWX41"/>
    <mergeCell ref="CWY41:CXO41"/>
    <mergeCell ref="CXP41:CYF41"/>
    <mergeCell ref="CRS41:CSI41"/>
    <mergeCell ref="CSJ41:CSZ41"/>
    <mergeCell ref="CTA41:CTQ41"/>
    <mergeCell ref="CTR41:CUH41"/>
    <mergeCell ref="CUI41:CUY41"/>
    <mergeCell ref="COL41:CPB41"/>
    <mergeCell ref="CPC41:CPS41"/>
    <mergeCell ref="CPT41:CQJ41"/>
    <mergeCell ref="CQK41:CRA41"/>
    <mergeCell ref="CRB41:CRR41"/>
    <mergeCell ref="DLI41:DLY41"/>
    <mergeCell ref="DLZ41:DMP41"/>
    <mergeCell ref="DMQ41:DNG41"/>
    <mergeCell ref="DNH41:DNX41"/>
    <mergeCell ref="DNY41:DOO41"/>
    <mergeCell ref="DIB41:DIR41"/>
    <mergeCell ref="DIS41:DJI41"/>
    <mergeCell ref="DJJ41:DJZ41"/>
    <mergeCell ref="DKA41:DKQ41"/>
    <mergeCell ref="DKR41:DLH41"/>
    <mergeCell ref="DEU41:DFK41"/>
    <mergeCell ref="DFL41:DGB41"/>
    <mergeCell ref="DGC41:DGS41"/>
    <mergeCell ref="DGT41:DHJ41"/>
    <mergeCell ref="DHK41:DIA41"/>
    <mergeCell ref="DBN41:DCD41"/>
    <mergeCell ref="DCE41:DCU41"/>
    <mergeCell ref="DCV41:DDL41"/>
    <mergeCell ref="DDM41:DEC41"/>
    <mergeCell ref="DED41:DET41"/>
    <mergeCell ref="DYK41:DZA41"/>
    <mergeCell ref="DZB41:DZR41"/>
    <mergeCell ref="DZS41:EAI41"/>
    <mergeCell ref="EAJ41:EAZ41"/>
    <mergeCell ref="EBA41:EBQ41"/>
    <mergeCell ref="DVD41:DVT41"/>
    <mergeCell ref="DVU41:DWK41"/>
    <mergeCell ref="DWL41:DXB41"/>
    <mergeCell ref="DXC41:DXS41"/>
    <mergeCell ref="DXT41:DYJ41"/>
    <mergeCell ref="DRW41:DSM41"/>
    <mergeCell ref="DSN41:DTD41"/>
    <mergeCell ref="DTE41:DTU41"/>
    <mergeCell ref="DTV41:DUL41"/>
    <mergeCell ref="DUM41:DVC41"/>
    <mergeCell ref="DOP41:DPF41"/>
    <mergeCell ref="DPG41:DPW41"/>
    <mergeCell ref="DPX41:DQN41"/>
    <mergeCell ref="DQO41:DRE41"/>
    <mergeCell ref="DRF41:DRV41"/>
    <mergeCell ref="ELM41:EMC41"/>
    <mergeCell ref="EMD41:EMT41"/>
    <mergeCell ref="EMU41:ENK41"/>
    <mergeCell ref="ENL41:EOB41"/>
    <mergeCell ref="EOC41:EOS41"/>
    <mergeCell ref="EIF41:EIV41"/>
    <mergeCell ref="EIW41:EJM41"/>
    <mergeCell ref="EJN41:EKD41"/>
    <mergeCell ref="EKE41:EKU41"/>
    <mergeCell ref="EKV41:ELL41"/>
    <mergeCell ref="EEY41:EFO41"/>
    <mergeCell ref="EFP41:EGF41"/>
    <mergeCell ref="EGG41:EGW41"/>
    <mergeCell ref="EGX41:EHN41"/>
    <mergeCell ref="EHO41:EIE41"/>
    <mergeCell ref="EBR41:ECH41"/>
    <mergeCell ref="ECI41:ECY41"/>
    <mergeCell ref="ECZ41:EDP41"/>
    <mergeCell ref="EDQ41:EEG41"/>
    <mergeCell ref="EEH41:EEX41"/>
    <mergeCell ref="EYO41:EZE41"/>
    <mergeCell ref="EZF41:EZV41"/>
    <mergeCell ref="EZW41:FAM41"/>
    <mergeCell ref="FAN41:FBD41"/>
    <mergeCell ref="FBE41:FBU41"/>
    <mergeCell ref="EVH41:EVX41"/>
    <mergeCell ref="EVY41:EWO41"/>
    <mergeCell ref="EWP41:EXF41"/>
    <mergeCell ref="EXG41:EXW41"/>
    <mergeCell ref="EXX41:EYN41"/>
    <mergeCell ref="ESA41:ESQ41"/>
    <mergeCell ref="ESR41:ETH41"/>
    <mergeCell ref="ETI41:ETY41"/>
    <mergeCell ref="ETZ41:EUP41"/>
    <mergeCell ref="EUQ41:EVG41"/>
    <mergeCell ref="EOT41:EPJ41"/>
    <mergeCell ref="EPK41:EQA41"/>
    <mergeCell ref="EQB41:EQR41"/>
    <mergeCell ref="EQS41:ERI41"/>
    <mergeCell ref="ERJ41:ERZ41"/>
    <mergeCell ref="FLQ41:FMG41"/>
    <mergeCell ref="FMH41:FMX41"/>
    <mergeCell ref="FMY41:FNO41"/>
    <mergeCell ref="FNP41:FOF41"/>
    <mergeCell ref="FOG41:FOW41"/>
    <mergeCell ref="FIJ41:FIZ41"/>
    <mergeCell ref="FJA41:FJQ41"/>
    <mergeCell ref="FJR41:FKH41"/>
    <mergeCell ref="FKI41:FKY41"/>
    <mergeCell ref="FKZ41:FLP41"/>
    <mergeCell ref="FFC41:FFS41"/>
    <mergeCell ref="FFT41:FGJ41"/>
    <mergeCell ref="FGK41:FHA41"/>
    <mergeCell ref="FHB41:FHR41"/>
    <mergeCell ref="FHS41:FII41"/>
    <mergeCell ref="FBV41:FCL41"/>
    <mergeCell ref="FCM41:FDC41"/>
    <mergeCell ref="FDD41:FDT41"/>
    <mergeCell ref="FDU41:FEK41"/>
    <mergeCell ref="FEL41:FFB41"/>
    <mergeCell ref="FYS41:FZI41"/>
    <mergeCell ref="FZJ41:FZZ41"/>
    <mergeCell ref="GAA41:GAQ41"/>
    <mergeCell ref="GAR41:GBH41"/>
    <mergeCell ref="GBI41:GBY41"/>
    <mergeCell ref="FVL41:FWB41"/>
    <mergeCell ref="FWC41:FWS41"/>
    <mergeCell ref="FWT41:FXJ41"/>
    <mergeCell ref="FXK41:FYA41"/>
    <mergeCell ref="FYB41:FYR41"/>
    <mergeCell ref="FSE41:FSU41"/>
    <mergeCell ref="FSV41:FTL41"/>
    <mergeCell ref="FTM41:FUC41"/>
    <mergeCell ref="FUD41:FUT41"/>
    <mergeCell ref="FUU41:FVK41"/>
    <mergeCell ref="FOX41:FPN41"/>
    <mergeCell ref="FPO41:FQE41"/>
    <mergeCell ref="FQF41:FQV41"/>
    <mergeCell ref="FQW41:FRM41"/>
    <mergeCell ref="FRN41:FSD41"/>
    <mergeCell ref="GLU41:GMK41"/>
    <mergeCell ref="GML41:GNB41"/>
    <mergeCell ref="GNC41:GNS41"/>
    <mergeCell ref="GNT41:GOJ41"/>
    <mergeCell ref="GOK41:GPA41"/>
    <mergeCell ref="GIN41:GJD41"/>
    <mergeCell ref="GJE41:GJU41"/>
    <mergeCell ref="GJV41:GKL41"/>
    <mergeCell ref="GKM41:GLC41"/>
    <mergeCell ref="GLD41:GLT41"/>
    <mergeCell ref="GFG41:GFW41"/>
    <mergeCell ref="GFX41:GGN41"/>
    <mergeCell ref="GGO41:GHE41"/>
    <mergeCell ref="GHF41:GHV41"/>
    <mergeCell ref="GHW41:GIM41"/>
    <mergeCell ref="GBZ41:GCP41"/>
    <mergeCell ref="GCQ41:GDG41"/>
    <mergeCell ref="GDH41:GDX41"/>
    <mergeCell ref="GDY41:GEO41"/>
    <mergeCell ref="GEP41:GFF41"/>
    <mergeCell ref="GYW41:GZM41"/>
    <mergeCell ref="GZN41:HAD41"/>
    <mergeCell ref="HAE41:HAU41"/>
    <mergeCell ref="HAV41:HBL41"/>
    <mergeCell ref="HBM41:HCC41"/>
    <mergeCell ref="GVP41:GWF41"/>
    <mergeCell ref="GWG41:GWW41"/>
    <mergeCell ref="GWX41:GXN41"/>
    <mergeCell ref="GXO41:GYE41"/>
    <mergeCell ref="GYF41:GYV41"/>
    <mergeCell ref="GSI41:GSY41"/>
    <mergeCell ref="GSZ41:GTP41"/>
    <mergeCell ref="GTQ41:GUG41"/>
    <mergeCell ref="GUH41:GUX41"/>
    <mergeCell ref="GUY41:GVO41"/>
    <mergeCell ref="GPB41:GPR41"/>
    <mergeCell ref="GPS41:GQI41"/>
    <mergeCell ref="GQJ41:GQZ41"/>
    <mergeCell ref="GRA41:GRQ41"/>
    <mergeCell ref="GRR41:GSH41"/>
    <mergeCell ref="HLY41:HMO41"/>
    <mergeCell ref="HMP41:HNF41"/>
    <mergeCell ref="HNG41:HNW41"/>
    <mergeCell ref="HNX41:HON41"/>
    <mergeCell ref="HOO41:HPE41"/>
    <mergeCell ref="HIR41:HJH41"/>
    <mergeCell ref="HJI41:HJY41"/>
    <mergeCell ref="HJZ41:HKP41"/>
    <mergeCell ref="HKQ41:HLG41"/>
    <mergeCell ref="HLH41:HLX41"/>
    <mergeCell ref="HFK41:HGA41"/>
    <mergeCell ref="HGB41:HGR41"/>
    <mergeCell ref="HGS41:HHI41"/>
    <mergeCell ref="HHJ41:HHZ41"/>
    <mergeCell ref="HIA41:HIQ41"/>
    <mergeCell ref="HCD41:HCT41"/>
    <mergeCell ref="HCU41:HDK41"/>
    <mergeCell ref="HDL41:HEB41"/>
    <mergeCell ref="HEC41:HES41"/>
    <mergeCell ref="HET41:HFJ41"/>
    <mergeCell ref="HZA41:HZQ41"/>
    <mergeCell ref="HZR41:IAH41"/>
    <mergeCell ref="IAI41:IAY41"/>
    <mergeCell ref="IAZ41:IBP41"/>
    <mergeCell ref="IBQ41:ICG41"/>
    <mergeCell ref="HVT41:HWJ41"/>
    <mergeCell ref="HWK41:HXA41"/>
    <mergeCell ref="HXB41:HXR41"/>
    <mergeCell ref="HXS41:HYI41"/>
    <mergeCell ref="HYJ41:HYZ41"/>
    <mergeCell ref="HSM41:HTC41"/>
    <mergeCell ref="HTD41:HTT41"/>
    <mergeCell ref="HTU41:HUK41"/>
    <mergeCell ref="HUL41:HVB41"/>
    <mergeCell ref="HVC41:HVS41"/>
    <mergeCell ref="HPF41:HPV41"/>
    <mergeCell ref="HPW41:HQM41"/>
    <mergeCell ref="HQN41:HRD41"/>
    <mergeCell ref="HRE41:HRU41"/>
    <mergeCell ref="HRV41:HSL41"/>
    <mergeCell ref="IMC41:IMS41"/>
    <mergeCell ref="IMT41:INJ41"/>
    <mergeCell ref="INK41:IOA41"/>
    <mergeCell ref="IOB41:IOR41"/>
    <mergeCell ref="IOS41:IPI41"/>
    <mergeCell ref="IIV41:IJL41"/>
    <mergeCell ref="IJM41:IKC41"/>
    <mergeCell ref="IKD41:IKT41"/>
    <mergeCell ref="IKU41:ILK41"/>
    <mergeCell ref="ILL41:IMB41"/>
    <mergeCell ref="IFO41:IGE41"/>
    <mergeCell ref="IGF41:IGV41"/>
    <mergeCell ref="IGW41:IHM41"/>
    <mergeCell ref="IHN41:IID41"/>
    <mergeCell ref="IIE41:IIU41"/>
    <mergeCell ref="ICH41:ICX41"/>
    <mergeCell ref="ICY41:IDO41"/>
    <mergeCell ref="IDP41:IEF41"/>
    <mergeCell ref="IEG41:IEW41"/>
    <mergeCell ref="IEX41:IFN41"/>
    <mergeCell ref="IZE41:IZU41"/>
    <mergeCell ref="IZV41:JAL41"/>
    <mergeCell ref="JAM41:JBC41"/>
    <mergeCell ref="JBD41:JBT41"/>
    <mergeCell ref="JBU41:JCK41"/>
    <mergeCell ref="IVX41:IWN41"/>
    <mergeCell ref="IWO41:IXE41"/>
    <mergeCell ref="IXF41:IXV41"/>
    <mergeCell ref="IXW41:IYM41"/>
    <mergeCell ref="IYN41:IZD41"/>
    <mergeCell ref="ISQ41:ITG41"/>
    <mergeCell ref="ITH41:ITX41"/>
    <mergeCell ref="ITY41:IUO41"/>
    <mergeCell ref="IUP41:IVF41"/>
    <mergeCell ref="IVG41:IVW41"/>
    <mergeCell ref="IPJ41:IPZ41"/>
    <mergeCell ref="IQA41:IQQ41"/>
    <mergeCell ref="IQR41:IRH41"/>
    <mergeCell ref="IRI41:IRY41"/>
    <mergeCell ref="IRZ41:ISP41"/>
    <mergeCell ref="JMG41:JMW41"/>
    <mergeCell ref="JMX41:JNN41"/>
    <mergeCell ref="JNO41:JOE41"/>
    <mergeCell ref="JOF41:JOV41"/>
    <mergeCell ref="JOW41:JPM41"/>
    <mergeCell ref="JIZ41:JJP41"/>
    <mergeCell ref="JJQ41:JKG41"/>
    <mergeCell ref="JKH41:JKX41"/>
    <mergeCell ref="JKY41:JLO41"/>
    <mergeCell ref="JLP41:JMF41"/>
    <mergeCell ref="JFS41:JGI41"/>
    <mergeCell ref="JGJ41:JGZ41"/>
    <mergeCell ref="JHA41:JHQ41"/>
    <mergeCell ref="JHR41:JIH41"/>
    <mergeCell ref="JII41:JIY41"/>
    <mergeCell ref="JCL41:JDB41"/>
    <mergeCell ref="JDC41:JDS41"/>
    <mergeCell ref="JDT41:JEJ41"/>
    <mergeCell ref="JEK41:JFA41"/>
    <mergeCell ref="JFB41:JFR41"/>
    <mergeCell ref="JZI41:JZY41"/>
    <mergeCell ref="JZZ41:KAP41"/>
    <mergeCell ref="KAQ41:KBG41"/>
    <mergeCell ref="KBH41:KBX41"/>
    <mergeCell ref="KBY41:KCO41"/>
    <mergeCell ref="JWB41:JWR41"/>
    <mergeCell ref="JWS41:JXI41"/>
    <mergeCell ref="JXJ41:JXZ41"/>
    <mergeCell ref="JYA41:JYQ41"/>
    <mergeCell ref="JYR41:JZH41"/>
    <mergeCell ref="JSU41:JTK41"/>
    <mergeCell ref="JTL41:JUB41"/>
    <mergeCell ref="JUC41:JUS41"/>
    <mergeCell ref="JUT41:JVJ41"/>
    <mergeCell ref="JVK41:JWA41"/>
    <mergeCell ref="JPN41:JQD41"/>
    <mergeCell ref="JQE41:JQU41"/>
    <mergeCell ref="JQV41:JRL41"/>
    <mergeCell ref="JRM41:JSC41"/>
    <mergeCell ref="JSD41:JST41"/>
    <mergeCell ref="KMK41:KNA41"/>
    <mergeCell ref="KNB41:KNR41"/>
    <mergeCell ref="KNS41:KOI41"/>
    <mergeCell ref="KOJ41:KOZ41"/>
    <mergeCell ref="KPA41:KPQ41"/>
    <mergeCell ref="KJD41:KJT41"/>
    <mergeCell ref="KJU41:KKK41"/>
    <mergeCell ref="KKL41:KLB41"/>
    <mergeCell ref="KLC41:KLS41"/>
    <mergeCell ref="KLT41:KMJ41"/>
    <mergeCell ref="KFW41:KGM41"/>
    <mergeCell ref="KGN41:KHD41"/>
    <mergeCell ref="KHE41:KHU41"/>
    <mergeCell ref="KHV41:KIL41"/>
    <mergeCell ref="KIM41:KJC41"/>
    <mergeCell ref="KCP41:KDF41"/>
    <mergeCell ref="KDG41:KDW41"/>
    <mergeCell ref="KDX41:KEN41"/>
    <mergeCell ref="KEO41:KFE41"/>
    <mergeCell ref="KFF41:KFV41"/>
    <mergeCell ref="KZM41:LAC41"/>
    <mergeCell ref="LAD41:LAT41"/>
    <mergeCell ref="LAU41:LBK41"/>
    <mergeCell ref="LBL41:LCB41"/>
    <mergeCell ref="LCC41:LCS41"/>
    <mergeCell ref="KWF41:KWV41"/>
    <mergeCell ref="KWW41:KXM41"/>
    <mergeCell ref="KXN41:KYD41"/>
    <mergeCell ref="KYE41:KYU41"/>
    <mergeCell ref="KYV41:KZL41"/>
    <mergeCell ref="KSY41:KTO41"/>
    <mergeCell ref="KTP41:KUF41"/>
    <mergeCell ref="KUG41:KUW41"/>
    <mergeCell ref="KUX41:KVN41"/>
    <mergeCell ref="KVO41:KWE41"/>
    <mergeCell ref="KPR41:KQH41"/>
    <mergeCell ref="KQI41:KQY41"/>
    <mergeCell ref="KQZ41:KRP41"/>
    <mergeCell ref="KRQ41:KSG41"/>
    <mergeCell ref="KSH41:KSX41"/>
    <mergeCell ref="LMO41:LNE41"/>
    <mergeCell ref="LNF41:LNV41"/>
    <mergeCell ref="LNW41:LOM41"/>
    <mergeCell ref="LON41:LPD41"/>
    <mergeCell ref="LPE41:LPU41"/>
    <mergeCell ref="LJH41:LJX41"/>
    <mergeCell ref="LJY41:LKO41"/>
    <mergeCell ref="LKP41:LLF41"/>
    <mergeCell ref="LLG41:LLW41"/>
    <mergeCell ref="LLX41:LMN41"/>
    <mergeCell ref="LGA41:LGQ41"/>
    <mergeCell ref="LGR41:LHH41"/>
    <mergeCell ref="LHI41:LHY41"/>
    <mergeCell ref="LHZ41:LIP41"/>
    <mergeCell ref="LIQ41:LJG41"/>
    <mergeCell ref="LCT41:LDJ41"/>
    <mergeCell ref="LDK41:LEA41"/>
    <mergeCell ref="LEB41:LER41"/>
    <mergeCell ref="LES41:LFI41"/>
    <mergeCell ref="LFJ41:LFZ41"/>
    <mergeCell ref="LZQ41:MAG41"/>
    <mergeCell ref="MAH41:MAX41"/>
    <mergeCell ref="MAY41:MBO41"/>
    <mergeCell ref="MBP41:MCF41"/>
    <mergeCell ref="MCG41:MCW41"/>
    <mergeCell ref="LWJ41:LWZ41"/>
    <mergeCell ref="LXA41:LXQ41"/>
    <mergeCell ref="LXR41:LYH41"/>
    <mergeCell ref="LYI41:LYY41"/>
    <mergeCell ref="LYZ41:LZP41"/>
    <mergeCell ref="LTC41:LTS41"/>
    <mergeCell ref="LTT41:LUJ41"/>
    <mergeCell ref="LUK41:LVA41"/>
    <mergeCell ref="LVB41:LVR41"/>
    <mergeCell ref="LVS41:LWI41"/>
    <mergeCell ref="LPV41:LQL41"/>
    <mergeCell ref="LQM41:LRC41"/>
    <mergeCell ref="LRD41:LRT41"/>
    <mergeCell ref="LRU41:LSK41"/>
    <mergeCell ref="LSL41:LTB41"/>
    <mergeCell ref="MMS41:MNI41"/>
    <mergeCell ref="MNJ41:MNZ41"/>
    <mergeCell ref="MOA41:MOQ41"/>
    <mergeCell ref="MOR41:MPH41"/>
    <mergeCell ref="MPI41:MPY41"/>
    <mergeCell ref="MJL41:MKB41"/>
    <mergeCell ref="MKC41:MKS41"/>
    <mergeCell ref="MKT41:MLJ41"/>
    <mergeCell ref="MLK41:MMA41"/>
    <mergeCell ref="MMB41:MMR41"/>
    <mergeCell ref="MGE41:MGU41"/>
    <mergeCell ref="MGV41:MHL41"/>
    <mergeCell ref="MHM41:MIC41"/>
    <mergeCell ref="MID41:MIT41"/>
    <mergeCell ref="MIU41:MJK41"/>
    <mergeCell ref="MCX41:MDN41"/>
    <mergeCell ref="MDO41:MEE41"/>
    <mergeCell ref="MEF41:MEV41"/>
    <mergeCell ref="MEW41:MFM41"/>
    <mergeCell ref="MFN41:MGD41"/>
    <mergeCell ref="MZU41:NAK41"/>
    <mergeCell ref="NAL41:NBB41"/>
    <mergeCell ref="NBC41:NBS41"/>
    <mergeCell ref="NBT41:NCJ41"/>
    <mergeCell ref="NCK41:NDA41"/>
    <mergeCell ref="MWN41:MXD41"/>
    <mergeCell ref="MXE41:MXU41"/>
    <mergeCell ref="MXV41:MYL41"/>
    <mergeCell ref="MYM41:MZC41"/>
    <mergeCell ref="MZD41:MZT41"/>
    <mergeCell ref="MTG41:MTW41"/>
    <mergeCell ref="MTX41:MUN41"/>
    <mergeCell ref="MUO41:MVE41"/>
    <mergeCell ref="MVF41:MVV41"/>
    <mergeCell ref="MVW41:MWM41"/>
    <mergeCell ref="MPZ41:MQP41"/>
    <mergeCell ref="MQQ41:MRG41"/>
    <mergeCell ref="MRH41:MRX41"/>
    <mergeCell ref="MRY41:MSO41"/>
    <mergeCell ref="MSP41:MTF41"/>
    <mergeCell ref="NMW41:NNM41"/>
    <mergeCell ref="NNN41:NOD41"/>
    <mergeCell ref="NOE41:NOU41"/>
    <mergeCell ref="NOV41:NPL41"/>
    <mergeCell ref="NPM41:NQC41"/>
    <mergeCell ref="NJP41:NKF41"/>
    <mergeCell ref="NKG41:NKW41"/>
    <mergeCell ref="NKX41:NLN41"/>
    <mergeCell ref="NLO41:NME41"/>
    <mergeCell ref="NMF41:NMV41"/>
    <mergeCell ref="NGI41:NGY41"/>
    <mergeCell ref="NGZ41:NHP41"/>
    <mergeCell ref="NHQ41:NIG41"/>
    <mergeCell ref="NIH41:NIX41"/>
    <mergeCell ref="NIY41:NJO41"/>
    <mergeCell ref="NDB41:NDR41"/>
    <mergeCell ref="NDS41:NEI41"/>
    <mergeCell ref="NEJ41:NEZ41"/>
    <mergeCell ref="NFA41:NFQ41"/>
    <mergeCell ref="NFR41:NGH41"/>
    <mergeCell ref="NZY41:OAO41"/>
    <mergeCell ref="OAP41:OBF41"/>
    <mergeCell ref="OBG41:OBW41"/>
    <mergeCell ref="OBX41:OCN41"/>
    <mergeCell ref="OCO41:ODE41"/>
    <mergeCell ref="NWR41:NXH41"/>
    <mergeCell ref="NXI41:NXY41"/>
    <mergeCell ref="NXZ41:NYP41"/>
    <mergeCell ref="NYQ41:NZG41"/>
    <mergeCell ref="NZH41:NZX41"/>
    <mergeCell ref="NTK41:NUA41"/>
    <mergeCell ref="NUB41:NUR41"/>
    <mergeCell ref="NUS41:NVI41"/>
    <mergeCell ref="NVJ41:NVZ41"/>
    <mergeCell ref="NWA41:NWQ41"/>
    <mergeCell ref="NQD41:NQT41"/>
    <mergeCell ref="NQU41:NRK41"/>
    <mergeCell ref="NRL41:NSB41"/>
    <mergeCell ref="NSC41:NSS41"/>
    <mergeCell ref="NST41:NTJ41"/>
    <mergeCell ref="ONA41:ONQ41"/>
    <mergeCell ref="ONR41:OOH41"/>
    <mergeCell ref="OOI41:OOY41"/>
    <mergeCell ref="OOZ41:OPP41"/>
    <mergeCell ref="OPQ41:OQG41"/>
    <mergeCell ref="OJT41:OKJ41"/>
    <mergeCell ref="OKK41:OLA41"/>
    <mergeCell ref="OLB41:OLR41"/>
    <mergeCell ref="OLS41:OMI41"/>
    <mergeCell ref="OMJ41:OMZ41"/>
    <mergeCell ref="OGM41:OHC41"/>
    <mergeCell ref="OHD41:OHT41"/>
    <mergeCell ref="OHU41:OIK41"/>
    <mergeCell ref="OIL41:OJB41"/>
    <mergeCell ref="OJC41:OJS41"/>
    <mergeCell ref="ODF41:ODV41"/>
    <mergeCell ref="ODW41:OEM41"/>
    <mergeCell ref="OEN41:OFD41"/>
    <mergeCell ref="OFE41:OFU41"/>
    <mergeCell ref="OFV41:OGL41"/>
    <mergeCell ref="PAC41:PAS41"/>
    <mergeCell ref="PAT41:PBJ41"/>
    <mergeCell ref="PBK41:PCA41"/>
    <mergeCell ref="PCB41:PCR41"/>
    <mergeCell ref="PCS41:PDI41"/>
    <mergeCell ref="OWV41:OXL41"/>
    <mergeCell ref="OXM41:OYC41"/>
    <mergeCell ref="OYD41:OYT41"/>
    <mergeCell ref="OYU41:OZK41"/>
    <mergeCell ref="OZL41:PAB41"/>
    <mergeCell ref="OTO41:OUE41"/>
    <mergeCell ref="OUF41:OUV41"/>
    <mergeCell ref="OUW41:OVM41"/>
    <mergeCell ref="OVN41:OWD41"/>
    <mergeCell ref="OWE41:OWU41"/>
    <mergeCell ref="OQH41:OQX41"/>
    <mergeCell ref="OQY41:ORO41"/>
    <mergeCell ref="ORP41:OSF41"/>
    <mergeCell ref="OSG41:OSW41"/>
    <mergeCell ref="OSX41:OTN41"/>
    <mergeCell ref="PNE41:PNU41"/>
    <mergeCell ref="PNV41:POL41"/>
    <mergeCell ref="POM41:PPC41"/>
    <mergeCell ref="PPD41:PPT41"/>
    <mergeCell ref="PPU41:PQK41"/>
    <mergeCell ref="PJX41:PKN41"/>
    <mergeCell ref="PKO41:PLE41"/>
    <mergeCell ref="PLF41:PLV41"/>
    <mergeCell ref="PLW41:PMM41"/>
    <mergeCell ref="PMN41:PND41"/>
    <mergeCell ref="PGQ41:PHG41"/>
    <mergeCell ref="PHH41:PHX41"/>
    <mergeCell ref="PHY41:PIO41"/>
    <mergeCell ref="PIP41:PJF41"/>
    <mergeCell ref="PJG41:PJW41"/>
    <mergeCell ref="PDJ41:PDZ41"/>
    <mergeCell ref="PEA41:PEQ41"/>
    <mergeCell ref="PER41:PFH41"/>
    <mergeCell ref="PFI41:PFY41"/>
    <mergeCell ref="PFZ41:PGP41"/>
    <mergeCell ref="QAG41:QAW41"/>
    <mergeCell ref="QAX41:QBN41"/>
    <mergeCell ref="QBO41:QCE41"/>
    <mergeCell ref="QCF41:QCV41"/>
    <mergeCell ref="QCW41:QDM41"/>
    <mergeCell ref="PWZ41:PXP41"/>
    <mergeCell ref="PXQ41:PYG41"/>
    <mergeCell ref="PYH41:PYX41"/>
    <mergeCell ref="PYY41:PZO41"/>
    <mergeCell ref="PZP41:QAF41"/>
    <mergeCell ref="PTS41:PUI41"/>
    <mergeCell ref="PUJ41:PUZ41"/>
    <mergeCell ref="PVA41:PVQ41"/>
    <mergeCell ref="PVR41:PWH41"/>
    <mergeCell ref="PWI41:PWY41"/>
    <mergeCell ref="PQL41:PRB41"/>
    <mergeCell ref="PRC41:PRS41"/>
    <mergeCell ref="PRT41:PSJ41"/>
    <mergeCell ref="PSK41:PTA41"/>
    <mergeCell ref="PTB41:PTR41"/>
    <mergeCell ref="QNI41:QNY41"/>
    <mergeCell ref="QNZ41:QOP41"/>
    <mergeCell ref="QOQ41:QPG41"/>
    <mergeCell ref="QPH41:QPX41"/>
    <mergeCell ref="QPY41:QQO41"/>
    <mergeCell ref="QKB41:QKR41"/>
    <mergeCell ref="QKS41:QLI41"/>
    <mergeCell ref="QLJ41:QLZ41"/>
    <mergeCell ref="QMA41:QMQ41"/>
    <mergeCell ref="QMR41:QNH41"/>
    <mergeCell ref="QGU41:QHK41"/>
    <mergeCell ref="QHL41:QIB41"/>
    <mergeCell ref="QIC41:QIS41"/>
    <mergeCell ref="QIT41:QJJ41"/>
    <mergeCell ref="QJK41:QKA41"/>
    <mergeCell ref="QDN41:QED41"/>
    <mergeCell ref="QEE41:QEU41"/>
    <mergeCell ref="QEV41:QFL41"/>
    <mergeCell ref="QFM41:QGC41"/>
    <mergeCell ref="QGD41:QGT41"/>
    <mergeCell ref="RAK41:RBA41"/>
    <mergeCell ref="RBB41:RBR41"/>
    <mergeCell ref="RBS41:RCI41"/>
    <mergeCell ref="RCJ41:RCZ41"/>
    <mergeCell ref="RDA41:RDQ41"/>
    <mergeCell ref="QXD41:QXT41"/>
    <mergeCell ref="QXU41:QYK41"/>
    <mergeCell ref="QYL41:QZB41"/>
    <mergeCell ref="QZC41:QZS41"/>
    <mergeCell ref="QZT41:RAJ41"/>
    <mergeCell ref="QTW41:QUM41"/>
    <mergeCell ref="QUN41:QVD41"/>
    <mergeCell ref="QVE41:QVU41"/>
    <mergeCell ref="QVV41:QWL41"/>
    <mergeCell ref="QWM41:QXC41"/>
    <mergeCell ref="QQP41:QRF41"/>
    <mergeCell ref="QRG41:QRW41"/>
    <mergeCell ref="QRX41:QSN41"/>
    <mergeCell ref="QSO41:QTE41"/>
    <mergeCell ref="QTF41:QTV41"/>
    <mergeCell ref="RNM41:ROC41"/>
    <mergeCell ref="ROD41:ROT41"/>
    <mergeCell ref="ROU41:RPK41"/>
    <mergeCell ref="RPL41:RQB41"/>
    <mergeCell ref="RQC41:RQS41"/>
    <mergeCell ref="RKF41:RKV41"/>
    <mergeCell ref="RKW41:RLM41"/>
    <mergeCell ref="RLN41:RMD41"/>
    <mergeCell ref="RME41:RMU41"/>
    <mergeCell ref="RMV41:RNL41"/>
    <mergeCell ref="RGY41:RHO41"/>
    <mergeCell ref="RHP41:RIF41"/>
    <mergeCell ref="RIG41:RIW41"/>
    <mergeCell ref="RIX41:RJN41"/>
    <mergeCell ref="RJO41:RKE41"/>
    <mergeCell ref="RDR41:REH41"/>
    <mergeCell ref="REI41:REY41"/>
    <mergeCell ref="REZ41:RFP41"/>
    <mergeCell ref="RFQ41:RGG41"/>
    <mergeCell ref="RGH41:RGX41"/>
    <mergeCell ref="SAO41:SBE41"/>
    <mergeCell ref="SBF41:SBV41"/>
    <mergeCell ref="SBW41:SCM41"/>
    <mergeCell ref="SCN41:SDD41"/>
    <mergeCell ref="SDE41:SDU41"/>
    <mergeCell ref="RXH41:RXX41"/>
    <mergeCell ref="RXY41:RYO41"/>
    <mergeCell ref="RYP41:RZF41"/>
    <mergeCell ref="RZG41:RZW41"/>
    <mergeCell ref="RZX41:SAN41"/>
    <mergeCell ref="RUA41:RUQ41"/>
    <mergeCell ref="RUR41:RVH41"/>
    <mergeCell ref="RVI41:RVY41"/>
    <mergeCell ref="RVZ41:RWP41"/>
    <mergeCell ref="RWQ41:RXG41"/>
    <mergeCell ref="RQT41:RRJ41"/>
    <mergeCell ref="RRK41:RSA41"/>
    <mergeCell ref="RSB41:RSR41"/>
    <mergeCell ref="RSS41:RTI41"/>
    <mergeCell ref="RTJ41:RTZ41"/>
    <mergeCell ref="SNQ41:SOG41"/>
    <mergeCell ref="SOH41:SOX41"/>
    <mergeCell ref="SOY41:SPO41"/>
    <mergeCell ref="SPP41:SQF41"/>
    <mergeCell ref="SQG41:SQW41"/>
    <mergeCell ref="SKJ41:SKZ41"/>
    <mergeCell ref="SLA41:SLQ41"/>
    <mergeCell ref="SLR41:SMH41"/>
    <mergeCell ref="SMI41:SMY41"/>
    <mergeCell ref="SMZ41:SNP41"/>
    <mergeCell ref="SHC41:SHS41"/>
    <mergeCell ref="SHT41:SIJ41"/>
    <mergeCell ref="SIK41:SJA41"/>
    <mergeCell ref="SJB41:SJR41"/>
    <mergeCell ref="SJS41:SKI41"/>
    <mergeCell ref="SDV41:SEL41"/>
    <mergeCell ref="SEM41:SFC41"/>
    <mergeCell ref="SFD41:SFT41"/>
    <mergeCell ref="SFU41:SGK41"/>
    <mergeCell ref="SGL41:SHB41"/>
    <mergeCell ref="TAS41:TBI41"/>
    <mergeCell ref="TBJ41:TBZ41"/>
    <mergeCell ref="TCA41:TCQ41"/>
    <mergeCell ref="TCR41:TDH41"/>
    <mergeCell ref="TDI41:TDY41"/>
    <mergeCell ref="SXL41:SYB41"/>
    <mergeCell ref="SYC41:SYS41"/>
    <mergeCell ref="SYT41:SZJ41"/>
    <mergeCell ref="SZK41:TAA41"/>
    <mergeCell ref="TAB41:TAR41"/>
    <mergeCell ref="SUE41:SUU41"/>
    <mergeCell ref="SUV41:SVL41"/>
    <mergeCell ref="SVM41:SWC41"/>
    <mergeCell ref="SWD41:SWT41"/>
    <mergeCell ref="SWU41:SXK41"/>
    <mergeCell ref="SQX41:SRN41"/>
    <mergeCell ref="SRO41:SSE41"/>
    <mergeCell ref="SSF41:SSV41"/>
    <mergeCell ref="SSW41:STM41"/>
    <mergeCell ref="STN41:SUD41"/>
    <mergeCell ref="TNU41:TOK41"/>
    <mergeCell ref="TOL41:TPB41"/>
    <mergeCell ref="TPC41:TPS41"/>
    <mergeCell ref="TPT41:TQJ41"/>
    <mergeCell ref="TQK41:TRA41"/>
    <mergeCell ref="TKN41:TLD41"/>
    <mergeCell ref="TLE41:TLU41"/>
    <mergeCell ref="TLV41:TML41"/>
    <mergeCell ref="TMM41:TNC41"/>
    <mergeCell ref="TND41:TNT41"/>
    <mergeCell ref="THG41:THW41"/>
    <mergeCell ref="THX41:TIN41"/>
    <mergeCell ref="TIO41:TJE41"/>
    <mergeCell ref="TJF41:TJV41"/>
    <mergeCell ref="TJW41:TKM41"/>
    <mergeCell ref="TDZ41:TEP41"/>
    <mergeCell ref="TEQ41:TFG41"/>
    <mergeCell ref="TFH41:TFX41"/>
    <mergeCell ref="TFY41:TGO41"/>
    <mergeCell ref="TGP41:THF41"/>
    <mergeCell ref="UAW41:UBM41"/>
    <mergeCell ref="UBN41:UCD41"/>
    <mergeCell ref="UCE41:UCU41"/>
    <mergeCell ref="UCV41:UDL41"/>
    <mergeCell ref="UDM41:UEC41"/>
    <mergeCell ref="TXP41:TYF41"/>
    <mergeCell ref="TYG41:TYW41"/>
    <mergeCell ref="TYX41:TZN41"/>
    <mergeCell ref="TZO41:UAE41"/>
    <mergeCell ref="UAF41:UAV41"/>
    <mergeCell ref="TUI41:TUY41"/>
    <mergeCell ref="TUZ41:TVP41"/>
    <mergeCell ref="TVQ41:TWG41"/>
    <mergeCell ref="TWH41:TWX41"/>
    <mergeCell ref="TWY41:TXO41"/>
    <mergeCell ref="TRB41:TRR41"/>
    <mergeCell ref="TRS41:TSI41"/>
    <mergeCell ref="TSJ41:TSZ41"/>
    <mergeCell ref="TTA41:TTQ41"/>
    <mergeCell ref="TTR41:TUH41"/>
    <mergeCell ref="UNY41:UOO41"/>
    <mergeCell ref="UOP41:UPF41"/>
    <mergeCell ref="UPG41:UPW41"/>
    <mergeCell ref="UPX41:UQN41"/>
    <mergeCell ref="UQO41:URE41"/>
    <mergeCell ref="UKR41:ULH41"/>
    <mergeCell ref="ULI41:ULY41"/>
    <mergeCell ref="ULZ41:UMP41"/>
    <mergeCell ref="UMQ41:UNG41"/>
    <mergeCell ref="UNH41:UNX41"/>
    <mergeCell ref="UHK41:UIA41"/>
    <mergeCell ref="UIB41:UIR41"/>
    <mergeCell ref="UIS41:UJI41"/>
    <mergeCell ref="UJJ41:UJZ41"/>
    <mergeCell ref="UKA41:UKQ41"/>
    <mergeCell ref="UED41:UET41"/>
    <mergeCell ref="UEU41:UFK41"/>
    <mergeCell ref="UFL41:UGB41"/>
    <mergeCell ref="UGC41:UGS41"/>
    <mergeCell ref="UGT41:UHJ41"/>
    <mergeCell ref="VBA41:VBQ41"/>
    <mergeCell ref="VBR41:VCH41"/>
    <mergeCell ref="VCI41:VCY41"/>
    <mergeCell ref="VCZ41:VDP41"/>
    <mergeCell ref="VDQ41:VEG41"/>
    <mergeCell ref="UXT41:UYJ41"/>
    <mergeCell ref="UYK41:UZA41"/>
    <mergeCell ref="UZB41:UZR41"/>
    <mergeCell ref="UZS41:VAI41"/>
    <mergeCell ref="VAJ41:VAZ41"/>
    <mergeCell ref="UUM41:UVC41"/>
    <mergeCell ref="UVD41:UVT41"/>
    <mergeCell ref="UVU41:UWK41"/>
    <mergeCell ref="UWL41:UXB41"/>
    <mergeCell ref="UXC41:UXS41"/>
    <mergeCell ref="URF41:URV41"/>
    <mergeCell ref="URW41:USM41"/>
    <mergeCell ref="USN41:UTD41"/>
    <mergeCell ref="UTE41:UTU41"/>
    <mergeCell ref="UTV41:UUL41"/>
    <mergeCell ref="VOC41:VOS41"/>
    <mergeCell ref="VOT41:VPJ41"/>
    <mergeCell ref="VPK41:VQA41"/>
    <mergeCell ref="VQB41:VQR41"/>
    <mergeCell ref="VQS41:VRI41"/>
    <mergeCell ref="VKV41:VLL41"/>
    <mergeCell ref="VLM41:VMC41"/>
    <mergeCell ref="VMD41:VMT41"/>
    <mergeCell ref="VMU41:VNK41"/>
    <mergeCell ref="VNL41:VOB41"/>
    <mergeCell ref="VHO41:VIE41"/>
    <mergeCell ref="VIF41:VIV41"/>
    <mergeCell ref="VIW41:VJM41"/>
    <mergeCell ref="VJN41:VKD41"/>
    <mergeCell ref="VKE41:VKU41"/>
    <mergeCell ref="VEH41:VEX41"/>
    <mergeCell ref="VEY41:VFO41"/>
    <mergeCell ref="VFP41:VGF41"/>
    <mergeCell ref="VGG41:VGW41"/>
    <mergeCell ref="VGX41:VHN41"/>
    <mergeCell ref="WBE41:WBU41"/>
    <mergeCell ref="WBV41:WCL41"/>
    <mergeCell ref="WCM41:WDC41"/>
    <mergeCell ref="WDD41:WDT41"/>
    <mergeCell ref="WDU41:WEK41"/>
    <mergeCell ref="VXX41:VYN41"/>
    <mergeCell ref="VYO41:VZE41"/>
    <mergeCell ref="VZF41:VZV41"/>
    <mergeCell ref="VZW41:WAM41"/>
    <mergeCell ref="WAN41:WBD41"/>
    <mergeCell ref="VUQ41:VVG41"/>
    <mergeCell ref="VVH41:VVX41"/>
    <mergeCell ref="VVY41:VWO41"/>
    <mergeCell ref="VWP41:VXF41"/>
    <mergeCell ref="VXG41:VXW41"/>
    <mergeCell ref="VRJ41:VRZ41"/>
    <mergeCell ref="VSA41:VSQ41"/>
    <mergeCell ref="VSR41:VTH41"/>
    <mergeCell ref="VTI41:VTY41"/>
    <mergeCell ref="VTZ41:VUP41"/>
    <mergeCell ref="WOG41:WOW41"/>
    <mergeCell ref="WOX41:WPN41"/>
    <mergeCell ref="WPO41:WQE41"/>
    <mergeCell ref="WQF41:WQV41"/>
    <mergeCell ref="WQW41:WRM41"/>
    <mergeCell ref="WKZ41:WLP41"/>
    <mergeCell ref="WLQ41:WMG41"/>
    <mergeCell ref="WMH41:WMX41"/>
    <mergeCell ref="WMY41:WNO41"/>
    <mergeCell ref="WNP41:WOF41"/>
    <mergeCell ref="WHS41:WII41"/>
    <mergeCell ref="WIJ41:WIZ41"/>
    <mergeCell ref="WJA41:WJQ41"/>
    <mergeCell ref="WJR41:WKH41"/>
    <mergeCell ref="WKI41:WKY41"/>
    <mergeCell ref="WEL41:WFB41"/>
    <mergeCell ref="WFC41:WFS41"/>
    <mergeCell ref="WFT41:WGJ41"/>
    <mergeCell ref="WGK41:WHA41"/>
    <mergeCell ref="WHB41:WHR41"/>
    <mergeCell ref="XBI41:XBY41"/>
    <mergeCell ref="XBZ41:XCP41"/>
    <mergeCell ref="XCQ41:XDG41"/>
    <mergeCell ref="XDH41:XDX41"/>
    <mergeCell ref="XDY41:XEK41"/>
    <mergeCell ref="WYB41:WYR41"/>
    <mergeCell ref="WYS41:WZI41"/>
    <mergeCell ref="WZJ41:WZZ41"/>
    <mergeCell ref="XAA41:XAQ41"/>
    <mergeCell ref="XAR41:XBH41"/>
    <mergeCell ref="WUU41:WVK41"/>
    <mergeCell ref="WVL41:WWB41"/>
    <mergeCell ref="WWC41:WWS41"/>
    <mergeCell ref="WWT41:WXJ41"/>
    <mergeCell ref="WXK41:WYA41"/>
    <mergeCell ref="WRN41:WSD41"/>
    <mergeCell ref="WSE41:WSU41"/>
    <mergeCell ref="WSV41:WTL41"/>
    <mergeCell ref="WTM41:WUC41"/>
    <mergeCell ref="WUD41:WUT41"/>
  </mergeCells>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9 AA22:AA24 AA27 AA20 AB10:AD10 C10:F10 H10:K10 M10:P10 R10:Z10 AG10:AJ10 AM10:AP10 AR10:AU10 AW10:AZ10 BB10:BE10 BG10:BH10 AA14:AA18 AA6:AA8 AA11:AA13" formulaRange="1"/>
    <ignoredError sqref="AA21 AA28 Y31:Z31 G10 G21 L10 L21 Q10 Q21 AA10 X31 AF21 AF28 AF10 AK26 AK28 AQ26 AQ28 AV26:AV28 BA26:BA28 BB26" formula="1"/>
    <ignoredError sqref="AE10 AQ10 AK10 AV10" formula="1" formulaRange="1"/>
    <ignoredError sqref="AP33 AJ33"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747"/>
  <sheetViews>
    <sheetView showGridLines="0" topLeftCell="A7" zoomScale="90" zoomScaleNormal="90" zoomScaleSheetLayoutView="100" workbookViewId="0">
      <pane xSplit="38" topLeftCell="BG1" activePane="topRight" state="frozen"/>
      <selection pane="topRight" activeCell="BP6" sqref="BP6"/>
    </sheetView>
  </sheetViews>
  <sheetFormatPr defaultColWidth="9" defaultRowHeight="15"/>
  <cols>
    <col min="1" max="1" width="43.25" style="170" customWidth="1"/>
    <col min="2" max="2" width="42.375" style="170" customWidth="1"/>
    <col min="3" max="38" width="3.5" style="170" hidden="1" customWidth="1"/>
    <col min="39" max="43" width="9" style="169"/>
    <col min="44" max="48" width="9" style="169" hidden="1" customWidth="1"/>
    <col min="49" max="53" width="9" style="169"/>
    <col min="54" max="54" width="9.25" style="169" bestFit="1" customWidth="1"/>
    <col min="55" max="58" width="9" style="169"/>
    <col min="59" max="59" width="9.25" style="169" bestFit="1" customWidth="1"/>
    <col min="60" max="63" width="9" style="169"/>
    <col min="64" max="64" width="9.25" style="169" bestFit="1" customWidth="1"/>
    <col min="65" max="492" width="9" style="169"/>
    <col min="493" max="16384" width="9" style="170"/>
  </cols>
  <sheetData>
    <row r="1" spans="1:492"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4"/>
      <c r="BK1" s="814"/>
      <c r="BL1" s="814"/>
      <c r="BM1" s="814"/>
      <c r="BN1" s="814"/>
      <c r="BO1" s="814"/>
      <c r="BP1" s="814"/>
      <c r="BQ1" s="814"/>
      <c r="BR1" s="814"/>
      <c r="BS1" s="814"/>
      <c r="BT1" s="814"/>
      <c r="BU1" s="814"/>
      <c r="BV1" s="814"/>
      <c r="BW1" s="814"/>
      <c r="BX1" s="814"/>
      <c r="BY1" s="814"/>
      <c r="BZ1" s="814"/>
      <c r="CA1" s="814"/>
      <c r="CB1" s="814"/>
      <c r="CC1" s="814"/>
      <c r="CD1" s="814"/>
      <c r="CE1" s="814"/>
      <c r="CF1" s="814"/>
      <c r="CG1" s="814"/>
      <c r="CH1" s="814"/>
      <c r="CI1" s="814"/>
      <c r="CJ1" s="814"/>
      <c r="CK1" s="814"/>
      <c r="CL1" s="814"/>
      <c r="CM1" s="814"/>
      <c r="CN1" s="814"/>
      <c r="CO1" s="814"/>
      <c r="CP1" s="814"/>
      <c r="CQ1" s="814"/>
      <c r="CR1" s="814"/>
      <c r="CS1" s="814"/>
      <c r="CT1" s="814"/>
      <c r="CU1" s="814"/>
      <c r="CV1" s="814"/>
      <c r="CW1" s="814"/>
      <c r="CX1" s="814"/>
      <c r="CY1" s="814"/>
      <c r="CZ1" s="814"/>
      <c r="DA1" s="814"/>
      <c r="DB1" s="814"/>
      <c r="DC1" s="814"/>
      <c r="DD1" s="814"/>
      <c r="DE1" s="814"/>
      <c r="DF1" s="814"/>
      <c r="DG1" s="814"/>
      <c r="DH1" s="814"/>
      <c r="DI1" s="814"/>
      <c r="DJ1" s="814"/>
      <c r="DK1" s="814"/>
      <c r="DL1" s="814"/>
      <c r="DM1" s="814"/>
      <c r="DN1" s="814"/>
      <c r="DO1" s="814"/>
      <c r="DP1" s="814"/>
      <c r="DQ1" s="814"/>
      <c r="DR1" s="814"/>
      <c r="DS1" s="814"/>
      <c r="DT1" s="814"/>
      <c r="DU1" s="814"/>
      <c r="DV1" s="814"/>
      <c r="DW1" s="814"/>
      <c r="DX1" s="814"/>
      <c r="DY1" s="814"/>
      <c r="DZ1" s="814"/>
      <c r="EA1" s="814"/>
      <c r="EB1" s="814"/>
      <c r="EC1" s="814"/>
      <c r="ED1" s="814"/>
      <c r="EE1" s="814"/>
      <c r="EF1" s="814"/>
      <c r="EG1" s="814"/>
      <c r="EH1" s="814"/>
      <c r="EI1" s="814"/>
      <c r="EJ1" s="814"/>
      <c r="EK1" s="814"/>
      <c r="EL1" s="814"/>
      <c r="EM1" s="814"/>
      <c r="EN1" s="814"/>
      <c r="EO1" s="814"/>
      <c r="EP1" s="814"/>
      <c r="EQ1" s="814"/>
      <c r="ER1" s="814"/>
      <c r="ES1" s="814"/>
      <c r="ET1" s="814"/>
      <c r="EU1" s="814"/>
      <c r="EV1" s="814"/>
      <c r="EW1" s="814"/>
      <c r="EX1" s="814"/>
      <c r="EY1" s="814"/>
      <c r="EZ1" s="814"/>
      <c r="FA1" s="814"/>
      <c r="FB1" s="814"/>
      <c r="FC1" s="814"/>
      <c r="FD1" s="814"/>
      <c r="FE1" s="814"/>
      <c r="FF1" s="814"/>
      <c r="FG1" s="814"/>
      <c r="FH1" s="814"/>
      <c r="FI1" s="814"/>
      <c r="FJ1" s="814"/>
      <c r="FK1" s="814"/>
      <c r="FL1" s="814"/>
      <c r="FM1" s="814"/>
      <c r="FN1" s="814"/>
      <c r="FO1" s="814"/>
      <c r="FP1" s="814"/>
      <c r="FQ1" s="814"/>
      <c r="FR1" s="814"/>
      <c r="FS1" s="814"/>
      <c r="FT1" s="814"/>
      <c r="FU1" s="814"/>
      <c r="FV1" s="814"/>
      <c r="FW1" s="814"/>
      <c r="FX1" s="814"/>
      <c r="FY1" s="814"/>
      <c r="FZ1" s="814"/>
      <c r="GA1" s="814"/>
      <c r="GB1" s="814"/>
      <c r="GC1" s="814"/>
      <c r="GD1" s="814"/>
      <c r="GE1" s="814"/>
      <c r="GF1" s="814"/>
      <c r="GG1" s="814"/>
      <c r="GH1" s="814"/>
      <c r="GI1" s="814"/>
      <c r="GJ1" s="814"/>
      <c r="GK1" s="814"/>
      <c r="GL1" s="814"/>
      <c r="GM1" s="814"/>
      <c r="GN1" s="814"/>
      <c r="GO1" s="814"/>
      <c r="GP1" s="814"/>
      <c r="GQ1" s="814"/>
      <c r="GR1" s="814"/>
      <c r="GS1" s="814"/>
      <c r="GT1" s="814"/>
      <c r="GU1" s="814"/>
      <c r="GV1" s="814"/>
      <c r="GW1" s="814"/>
      <c r="GX1" s="814"/>
      <c r="GY1" s="814"/>
      <c r="GZ1" s="814"/>
      <c r="HA1" s="814"/>
      <c r="HB1" s="814"/>
      <c r="HC1" s="814"/>
      <c r="HD1" s="814"/>
      <c r="HE1" s="814"/>
      <c r="HF1" s="814"/>
      <c r="HG1" s="814"/>
      <c r="HH1" s="814"/>
      <c r="HI1" s="814"/>
      <c r="HJ1" s="814"/>
      <c r="HK1" s="814"/>
      <c r="HL1" s="814"/>
      <c r="HM1" s="814"/>
      <c r="HN1" s="814"/>
      <c r="HO1" s="814"/>
      <c r="HP1" s="814"/>
      <c r="HQ1" s="814"/>
      <c r="HR1" s="814"/>
      <c r="HS1" s="814"/>
      <c r="HT1" s="814"/>
      <c r="HU1" s="814"/>
      <c r="HV1" s="814"/>
      <c r="HW1" s="814"/>
      <c r="HX1" s="814"/>
      <c r="HY1" s="814"/>
      <c r="HZ1" s="814"/>
      <c r="IA1" s="814"/>
      <c r="IB1" s="814"/>
      <c r="IC1" s="814"/>
      <c r="ID1" s="814"/>
      <c r="IE1" s="814"/>
      <c r="IF1" s="814"/>
      <c r="IG1" s="814"/>
      <c r="IH1" s="814"/>
      <c r="II1" s="814"/>
      <c r="IJ1" s="814"/>
      <c r="IK1" s="814"/>
      <c r="IL1" s="814"/>
      <c r="IM1" s="814"/>
      <c r="IN1" s="814"/>
      <c r="IO1" s="814"/>
      <c r="IP1" s="814"/>
      <c r="IQ1" s="814"/>
      <c r="IR1" s="814"/>
      <c r="IS1" s="814"/>
      <c r="IT1" s="814"/>
      <c r="IU1" s="814"/>
      <c r="IV1" s="814"/>
      <c r="IW1" s="814"/>
      <c r="IX1" s="814"/>
      <c r="IY1" s="814"/>
      <c r="IZ1" s="814"/>
      <c r="JA1" s="814"/>
      <c r="JB1" s="814"/>
      <c r="JC1" s="814"/>
      <c r="JD1" s="814"/>
      <c r="JE1" s="814"/>
      <c r="JF1" s="814"/>
      <c r="JG1" s="814"/>
      <c r="JH1" s="814"/>
      <c r="JI1" s="814"/>
      <c r="JJ1" s="814"/>
      <c r="JK1" s="814"/>
      <c r="JL1" s="814"/>
      <c r="JM1" s="814"/>
      <c r="JN1" s="814"/>
      <c r="JO1" s="814"/>
      <c r="JP1" s="814"/>
      <c r="JQ1" s="814"/>
      <c r="JR1" s="814"/>
      <c r="JS1" s="814"/>
      <c r="JT1" s="814"/>
      <c r="JU1" s="814"/>
      <c r="JV1" s="814"/>
      <c r="JW1" s="814"/>
      <c r="JX1" s="814"/>
      <c r="JY1" s="814"/>
      <c r="JZ1" s="814"/>
      <c r="KA1" s="814"/>
      <c r="KB1" s="814"/>
      <c r="KC1" s="814"/>
      <c r="KD1" s="814"/>
      <c r="KE1" s="814"/>
      <c r="KF1" s="814"/>
      <c r="KG1" s="814"/>
      <c r="KH1" s="814"/>
      <c r="KI1" s="814"/>
      <c r="KJ1" s="814"/>
      <c r="KK1" s="814"/>
      <c r="KL1" s="814"/>
      <c r="KM1" s="814"/>
      <c r="KN1" s="814"/>
      <c r="KO1" s="814"/>
      <c r="KP1" s="814"/>
      <c r="KQ1" s="814"/>
      <c r="KR1" s="814"/>
      <c r="KS1" s="814"/>
      <c r="KT1" s="814"/>
      <c r="KU1" s="814"/>
      <c r="KV1" s="814"/>
      <c r="KW1" s="814"/>
      <c r="KX1" s="814"/>
      <c r="KY1" s="814"/>
      <c r="KZ1" s="814"/>
      <c r="LA1" s="814"/>
      <c r="LB1" s="814"/>
      <c r="LC1" s="814"/>
      <c r="LD1" s="814"/>
      <c r="LE1" s="814"/>
      <c r="LF1" s="814"/>
      <c r="LG1" s="814"/>
      <c r="LH1" s="814"/>
      <c r="LI1" s="814"/>
      <c r="LJ1" s="814"/>
      <c r="LK1" s="814"/>
      <c r="LL1" s="814"/>
      <c r="LM1" s="814"/>
      <c r="LN1" s="814"/>
      <c r="LO1" s="814"/>
      <c r="LP1" s="814"/>
      <c r="LQ1" s="814"/>
      <c r="LR1" s="814"/>
      <c r="LS1" s="814"/>
      <c r="LT1" s="814"/>
      <c r="LU1" s="814"/>
      <c r="LV1" s="814"/>
      <c r="LW1" s="814"/>
      <c r="LX1" s="814"/>
      <c r="LY1" s="814"/>
      <c r="LZ1" s="814"/>
      <c r="MA1" s="814"/>
      <c r="MB1" s="814"/>
      <c r="MC1" s="814"/>
      <c r="MD1" s="814"/>
      <c r="ME1" s="814"/>
      <c r="MF1" s="814"/>
      <c r="MG1" s="814"/>
      <c r="MH1" s="814"/>
      <c r="MI1" s="814"/>
      <c r="MJ1" s="814"/>
      <c r="MK1" s="814"/>
      <c r="ML1" s="814"/>
      <c r="MM1" s="814"/>
      <c r="MN1" s="814"/>
      <c r="MO1" s="814"/>
      <c r="MP1" s="814"/>
      <c r="MQ1" s="814"/>
      <c r="MR1" s="814"/>
      <c r="MS1" s="814"/>
      <c r="MT1" s="814"/>
      <c r="MU1" s="814"/>
      <c r="MV1" s="814"/>
      <c r="MW1" s="814"/>
      <c r="MX1" s="814"/>
      <c r="MY1" s="814"/>
      <c r="MZ1" s="814"/>
      <c r="NA1" s="814"/>
      <c r="NB1" s="814"/>
      <c r="NC1" s="814"/>
      <c r="ND1" s="814"/>
      <c r="NE1" s="814"/>
      <c r="NF1" s="814"/>
      <c r="NG1" s="814"/>
      <c r="NH1" s="814"/>
      <c r="NI1" s="814"/>
      <c r="NJ1" s="814"/>
      <c r="NK1" s="814"/>
      <c r="NL1" s="814"/>
      <c r="NM1" s="814"/>
      <c r="NN1" s="814"/>
      <c r="NO1" s="814"/>
      <c r="NP1" s="814"/>
      <c r="NQ1" s="814"/>
      <c r="NR1" s="814"/>
      <c r="NS1" s="814"/>
      <c r="NT1" s="814"/>
      <c r="NU1" s="814"/>
      <c r="NV1" s="814"/>
      <c r="NW1" s="814"/>
      <c r="NX1" s="814"/>
      <c r="NY1" s="814"/>
      <c r="NZ1" s="814"/>
      <c r="OA1" s="814"/>
      <c r="OB1" s="814"/>
      <c r="OC1" s="814"/>
      <c r="OD1" s="814"/>
      <c r="OE1" s="814"/>
      <c r="OF1" s="814"/>
      <c r="OG1" s="814"/>
      <c r="OH1" s="814"/>
      <c r="OI1" s="814"/>
      <c r="OJ1" s="814"/>
      <c r="OK1" s="814"/>
      <c r="OL1" s="814"/>
      <c r="OM1" s="814"/>
      <c r="ON1" s="814"/>
      <c r="OO1" s="814"/>
      <c r="OP1" s="814"/>
      <c r="OQ1" s="814"/>
      <c r="OR1" s="814"/>
      <c r="OS1" s="814"/>
      <c r="OT1" s="814"/>
      <c r="OU1" s="814"/>
      <c r="OV1" s="814"/>
      <c r="OW1" s="814"/>
      <c r="OX1" s="814"/>
      <c r="OY1" s="814"/>
      <c r="OZ1" s="814"/>
      <c r="PA1" s="814"/>
      <c r="PB1" s="814"/>
      <c r="PC1" s="814"/>
      <c r="PD1" s="814"/>
      <c r="PE1" s="814"/>
      <c r="PF1" s="814"/>
      <c r="PG1" s="814"/>
      <c r="PH1" s="814"/>
      <c r="PI1" s="814"/>
      <c r="PJ1" s="814"/>
      <c r="PK1" s="814"/>
      <c r="PL1" s="814"/>
      <c r="PM1" s="814"/>
      <c r="PN1" s="814"/>
      <c r="PO1" s="814"/>
      <c r="PP1" s="814"/>
      <c r="PQ1" s="814"/>
      <c r="PR1" s="814"/>
      <c r="PS1" s="814"/>
      <c r="PT1" s="814"/>
      <c r="PU1" s="814"/>
      <c r="PV1" s="814"/>
      <c r="PW1" s="814"/>
      <c r="PX1" s="814"/>
      <c r="PY1" s="814"/>
      <c r="PZ1" s="814"/>
      <c r="QA1" s="814"/>
      <c r="QB1" s="814"/>
      <c r="QC1" s="814"/>
      <c r="QD1" s="814"/>
      <c r="QE1" s="814"/>
      <c r="QF1" s="814"/>
      <c r="QG1" s="814"/>
      <c r="QH1" s="814"/>
      <c r="QI1" s="814"/>
      <c r="QJ1" s="814"/>
      <c r="QK1" s="814"/>
      <c r="QL1" s="814"/>
      <c r="QM1" s="814"/>
      <c r="QN1" s="814"/>
      <c r="QO1" s="814"/>
      <c r="QP1" s="814"/>
      <c r="QQ1" s="814"/>
      <c r="QR1" s="814"/>
      <c r="QS1" s="814"/>
      <c r="QT1" s="814"/>
      <c r="QU1" s="814"/>
      <c r="QV1" s="814"/>
      <c r="QW1" s="814"/>
      <c r="QX1" s="814"/>
      <c r="QY1" s="814"/>
      <c r="QZ1" s="814"/>
      <c r="RA1" s="814"/>
      <c r="RB1" s="814"/>
      <c r="RC1" s="814"/>
      <c r="RD1" s="814"/>
      <c r="RE1" s="814"/>
      <c r="RF1" s="814"/>
      <c r="RG1" s="814"/>
      <c r="RH1" s="814"/>
      <c r="RI1" s="814"/>
      <c r="RJ1" s="814"/>
      <c r="RK1" s="814"/>
      <c r="RL1" s="814"/>
      <c r="RM1" s="814"/>
      <c r="RN1" s="814"/>
      <c r="RO1" s="814"/>
      <c r="RP1" s="814"/>
      <c r="RQ1" s="814"/>
      <c r="RR1" s="814"/>
      <c r="RS1" s="814"/>
      <c r="RT1" s="814"/>
      <c r="RU1" s="814"/>
      <c r="RV1" s="814"/>
      <c r="RW1" s="814"/>
      <c r="RX1" s="814"/>
    </row>
    <row r="2" spans="1:492" s="5" customFormat="1" ht="32.1" customHeight="1">
      <c r="A2" s="419"/>
      <c r="B2" s="419"/>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827" t="s">
        <v>103</v>
      </c>
      <c r="AN2" s="827"/>
      <c r="AO2" s="827"/>
      <c r="AP2" s="827"/>
      <c r="AQ2" s="827"/>
      <c r="AR2" s="827"/>
      <c r="AS2" s="827"/>
      <c r="AT2" s="827"/>
      <c r="AU2" s="827"/>
      <c r="AV2" s="827"/>
      <c r="AW2" s="827" t="s">
        <v>104</v>
      </c>
      <c r="AX2" s="827"/>
      <c r="AY2" s="827"/>
      <c r="AZ2" s="827"/>
      <c r="BA2" s="827"/>
      <c r="BB2" s="827" t="s">
        <v>6</v>
      </c>
      <c r="BC2" s="827"/>
      <c r="BD2" s="827"/>
      <c r="BE2" s="827"/>
      <c r="BF2" s="827"/>
      <c r="BG2" s="827" t="s">
        <v>7</v>
      </c>
      <c r="BH2" s="827"/>
      <c r="BI2" s="827"/>
      <c r="BJ2" s="827"/>
      <c r="BK2" s="827"/>
      <c r="BL2" s="827" t="s">
        <v>8</v>
      </c>
      <c r="BM2" s="827"/>
      <c r="BN2" s="827"/>
      <c r="BO2" s="827"/>
      <c r="BP2" s="827"/>
      <c r="BQ2" s="815"/>
      <c r="BR2" s="815"/>
      <c r="BS2" s="815"/>
      <c r="BT2" s="815"/>
      <c r="BU2" s="815"/>
    </row>
    <row r="3" spans="1:492" s="5" customFormat="1" ht="32.1" customHeight="1">
      <c r="A3" s="421"/>
      <c r="B3" s="421"/>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824" t="s">
        <v>105</v>
      </c>
      <c r="AN3" s="824"/>
      <c r="AO3" s="824"/>
      <c r="AP3" s="824"/>
      <c r="AQ3" s="824"/>
      <c r="AR3" s="824"/>
      <c r="AS3" s="824"/>
      <c r="AT3" s="824"/>
      <c r="AU3" s="824"/>
      <c r="AV3" s="824"/>
      <c r="AW3" s="824" t="s">
        <v>106</v>
      </c>
      <c r="AX3" s="824"/>
      <c r="AY3" s="824"/>
      <c r="AZ3" s="824"/>
      <c r="BA3" s="824"/>
      <c r="BB3" s="824" t="s">
        <v>13</v>
      </c>
      <c r="BC3" s="824"/>
      <c r="BD3" s="824"/>
      <c r="BE3" s="824"/>
      <c r="BF3" s="824"/>
      <c r="BG3" s="824" t="s">
        <v>14</v>
      </c>
      <c r="BH3" s="824"/>
      <c r="BI3" s="824"/>
      <c r="BJ3" s="824"/>
      <c r="BK3" s="824"/>
      <c r="BL3" s="824" t="s">
        <v>15</v>
      </c>
      <c r="BM3" s="824"/>
      <c r="BN3" s="824"/>
      <c r="BO3" s="824"/>
      <c r="BP3" s="824"/>
      <c r="BQ3" s="815"/>
      <c r="BR3" s="815"/>
      <c r="BS3" s="815"/>
      <c r="BT3" s="815"/>
      <c r="BU3" s="815"/>
    </row>
    <row r="4" spans="1:492" s="5" customFormat="1" ht="16.5" customHeight="1">
      <c r="A4" s="565" t="s">
        <v>17</v>
      </c>
      <c r="B4" s="423" t="s">
        <v>17</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575" t="s">
        <v>18</v>
      </c>
      <c r="AN4" s="425" t="s">
        <v>19</v>
      </c>
      <c r="AO4" s="426" t="s">
        <v>20</v>
      </c>
      <c r="AP4" s="425" t="s">
        <v>21</v>
      </c>
      <c r="AQ4" s="597" t="s">
        <v>107</v>
      </c>
      <c r="AR4" s="425"/>
      <c r="AS4" s="425"/>
      <c r="AT4" s="426"/>
      <c r="AU4" s="425"/>
      <c r="AV4" s="427"/>
      <c r="AW4" s="428" t="s">
        <v>18</v>
      </c>
      <c r="AX4" s="428" t="s">
        <v>19</v>
      </c>
      <c r="AY4" s="429" t="s">
        <v>20</v>
      </c>
      <c r="AZ4" s="428" t="s">
        <v>21</v>
      </c>
      <c r="BA4" s="425" t="s">
        <v>108</v>
      </c>
      <c r="BB4" s="428" t="s">
        <v>18</v>
      </c>
      <c r="BC4" s="428" t="s">
        <v>19</v>
      </c>
      <c r="BD4" s="429" t="s">
        <v>20</v>
      </c>
      <c r="BE4" s="428" t="s">
        <v>21</v>
      </c>
      <c r="BF4" s="425" t="s">
        <v>109</v>
      </c>
      <c r="BG4" s="428" t="s">
        <v>18</v>
      </c>
      <c r="BH4" s="428" t="s">
        <v>19</v>
      </c>
      <c r="BI4" s="429" t="s">
        <v>20</v>
      </c>
      <c r="BJ4" s="428" t="s">
        <v>21</v>
      </c>
      <c r="BK4" s="425" t="s">
        <v>110</v>
      </c>
      <c r="BL4" s="428" t="s">
        <v>18</v>
      </c>
      <c r="BM4" s="428" t="s">
        <v>19</v>
      </c>
      <c r="BN4" s="429" t="s">
        <v>20</v>
      </c>
      <c r="BO4" s="428" t="s">
        <v>21</v>
      </c>
      <c r="BP4" s="425" t="s">
        <v>27</v>
      </c>
      <c r="BQ4" s="815"/>
      <c r="BR4" s="815"/>
      <c r="BS4" s="815"/>
      <c r="BT4" s="815"/>
      <c r="BU4" s="815"/>
    </row>
    <row r="5" spans="1:492" s="65" customFormat="1" ht="20.25" customHeight="1" thickBot="1">
      <c r="A5" s="566" t="s">
        <v>111</v>
      </c>
      <c r="B5" s="591" t="s">
        <v>112</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576">
        <f>SUM(AM6:AM9)</f>
        <v>2345.9</v>
      </c>
      <c r="AN5" s="434">
        <f>SUM(AN6:AN9)</f>
        <v>2603.1999999999994</v>
      </c>
      <c r="AO5" s="434">
        <f>SUM(AO6:AO9)</f>
        <v>2735</v>
      </c>
      <c r="AP5" s="434">
        <f>SUM(AP6:AP9)</f>
        <v>3002.0000000000014</v>
      </c>
      <c r="AQ5" s="577">
        <f>SUM(AQ6:AQ9)</f>
        <v>10686.1</v>
      </c>
      <c r="AR5" s="434"/>
      <c r="AS5" s="434"/>
      <c r="AT5" s="434"/>
      <c r="AU5" s="434"/>
      <c r="AV5" s="435"/>
      <c r="AW5" s="434">
        <f t="shared" ref="AW5:AZ5" si="0">SUM(AW6:AW9)</f>
        <v>2791.6</v>
      </c>
      <c r="AX5" s="434">
        <f t="shared" si="0"/>
        <v>2923</v>
      </c>
      <c r="AY5" s="434">
        <f t="shared" si="0"/>
        <v>2892.4</v>
      </c>
      <c r="AZ5" s="434">
        <f t="shared" si="0"/>
        <v>3069.0999999999995</v>
      </c>
      <c r="BA5" s="572">
        <f>SUM(BA6:BA9)</f>
        <v>11676.099999999999</v>
      </c>
      <c r="BB5" s="576">
        <f t="shared" ref="BB5:BI5" si="1">SUM(BB6:BB9)</f>
        <v>2848.5</v>
      </c>
      <c r="BC5" s="434">
        <f t="shared" si="1"/>
        <v>2862.6999999999994</v>
      </c>
      <c r="BD5" s="434">
        <f t="shared" si="1"/>
        <v>3003.5000000000005</v>
      </c>
      <c r="BE5" s="434">
        <f t="shared" si="1"/>
        <v>3248.2000000000003</v>
      </c>
      <c r="BF5" s="577">
        <f>SUM(BF6:BF9)</f>
        <v>11962.9</v>
      </c>
      <c r="BG5" s="434">
        <f t="shared" si="1"/>
        <v>2987.3999999999996</v>
      </c>
      <c r="BH5" s="434">
        <f t="shared" si="1"/>
        <v>3159.7</v>
      </c>
      <c r="BI5" s="434">
        <f t="shared" si="1"/>
        <v>3031.9</v>
      </c>
      <c r="BJ5" s="434">
        <f>SUM(BJ6:BJ9)</f>
        <v>3265.0000000000005</v>
      </c>
      <c r="BK5" s="577">
        <f>SUM(BK6:BK9)</f>
        <v>12444.000000000002</v>
      </c>
      <c r="BL5" s="434">
        <f>SUM(BL6:BL9)</f>
        <v>2986.7000000000003</v>
      </c>
      <c r="BM5" s="434">
        <f>SUM(BM6:BM9)</f>
        <v>3228.1000000000004</v>
      </c>
      <c r="BN5" s="434">
        <f t="shared" ref="BN5" si="2">SUM(BN6:BN9)</f>
        <v>0</v>
      </c>
      <c r="BO5" s="434">
        <f>SUM(BO6:BO9)</f>
        <v>0</v>
      </c>
      <c r="BP5" s="577">
        <f>SUM(BP6:BP9)</f>
        <v>6214.8</v>
      </c>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row>
    <row r="6" spans="1:492" s="557" customFormat="1" ht="20.100000000000001" customHeight="1">
      <c r="A6" s="567" t="s">
        <v>113</v>
      </c>
      <c r="B6" s="592" t="s">
        <v>114</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7"/>
      <c r="AM6" s="578">
        <v>2049.4</v>
      </c>
      <c r="AN6" s="548">
        <v>2247.4999999999995</v>
      </c>
      <c r="AO6" s="548">
        <v>2429.5</v>
      </c>
      <c r="AP6" s="548">
        <v>2504.3000000000011</v>
      </c>
      <c r="AQ6" s="579">
        <f>SUM(AM6:AP6)</f>
        <v>9230.7000000000007</v>
      </c>
      <c r="AR6" s="548"/>
      <c r="AS6" s="548"/>
      <c r="AT6" s="548"/>
      <c r="AU6" s="548"/>
      <c r="AV6" s="543"/>
      <c r="AW6" s="548">
        <v>2398.1999999999998</v>
      </c>
      <c r="AX6" s="548">
        <v>2468.8000000000002</v>
      </c>
      <c r="AY6" s="548">
        <v>2515.3000000000002</v>
      </c>
      <c r="AZ6" s="548">
        <v>2553.0999999999995</v>
      </c>
      <c r="BA6" s="554">
        <f>SUM(AW6:AZ6)</f>
        <v>9935.4</v>
      </c>
      <c r="BB6" s="578">
        <v>2453.4</v>
      </c>
      <c r="BC6" s="548">
        <v>2518.4999999999995</v>
      </c>
      <c r="BD6" s="548">
        <v>2590.3000000000002</v>
      </c>
      <c r="BE6" s="542">
        <v>2668.6</v>
      </c>
      <c r="BF6" s="579">
        <f>SUM(BB6:BE6)</f>
        <v>10230.799999999999</v>
      </c>
      <c r="BG6" s="548">
        <v>2551</v>
      </c>
      <c r="BH6" s="548">
        <v>2660.7</v>
      </c>
      <c r="BI6" s="548">
        <v>2592.3000000000002</v>
      </c>
      <c r="BJ6" s="542">
        <f>10454.7-SUM(BG6:BI6)</f>
        <v>2650.7000000000007</v>
      </c>
      <c r="BK6" s="579">
        <f>SUM(BG6:BJ6)</f>
        <v>10454.700000000001</v>
      </c>
      <c r="BL6" s="548">
        <v>2525.9</v>
      </c>
      <c r="BM6" s="542">
        <f>5196.8-BL6</f>
        <v>2670.9</v>
      </c>
      <c r="BN6" s="548"/>
      <c r="BO6" s="542"/>
      <c r="BP6" s="579">
        <f>SUM(BL6:BO6)</f>
        <v>5196.8</v>
      </c>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c r="CT6" s="556"/>
      <c r="CU6" s="556"/>
      <c r="CV6" s="556"/>
      <c r="CW6" s="556"/>
      <c r="CX6" s="556"/>
      <c r="CY6" s="556"/>
      <c r="CZ6" s="556"/>
      <c r="DA6" s="556"/>
      <c r="DB6" s="556"/>
      <c r="DC6" s="556"/>
      <c r="DD6" s="556"/>
      <c r="DE6" s="556"/>
      <c r="DF6" s="556"/>
      <c r="DG6" s="556"/>
      <c r="DH6" s="556"/>
      <c r="DI6" s="556"/>
      <c r="DJ6" s="556"/>
      <c r="DK6" s="556"/>
      <c r="DL6" s="556"/>
      <c r="DM6" s="556"/>
      <c r="DN6" s="556"/>
      <c r="DO6" s="556"/>
      <c r="DP6" s="556"/>
      <c r="DQ6" s="556"/>
      <c r="DR6" s="556"/>
      <c r="DS6" s="556"/>
      <c r="DT6" s="556"/>
      <c r="DU6" s="556"/>
      <c r="DV6" s="556"/>
      <c r="DW6" s="556"/>
      <c r="DX6" s="556"/>
      <c r="DY6" s="556"/>
      <c r="DZ6" s="556"/>
      <c r="EA6" s="556"/>
      <c r="EB6" s="556"/>
      <c r="EC6" s="556"/>
      <c r="ED6" s="556"/>
      <c r="EE6" s="556"/>
      <c r="EF6" s="556"/>
      <c r="EG6" s="556"/>
      <c r="EH6" s="556"/>
      <c r="EI6" s="556"/>
      <c r="EJ6" s="556"/>
      <c r="EK6" s="556"/>
      <c r="EL6" s="556"/>
      <c r="EM6" s="556"/>
      <c r="EN6" s="556"/>
      <c r="EO6" s="556"/>
      <c r="EP6" s="556"/>
      <c r="EQ6" s="556"/>
      <c r="ER6" s="556"/>
      <c r="ES6" s="556"/>
      <c r="ET6" s="556"/>
      <c r="EU6" s="556"/>
      <c r="EV6" s="556"/>
      <c r="EW6" s="556"/>
      <c r="EX6" s="556"/>
      <c r="EY6" s="556"/>
      <c r="EZ6" s="556"/>
      <c r="FA6" s="556"/>
      <c r="FB6" s="556"/>
      <c r="FC6" s="556"/>
      <c r="FD6" s="556"/>
      <c r="FE6" s="556"/>
      <c r="FF6" s="556"/>
      <c r="FG6" s="556"/>
      <c r="FH6" s="556"/>
      <c r="FI6" s="556"/>
      <c r="FJ6" s="556"/>
      <c r="FK6" s="556"/>
      <c r="FL6" s="556"/>
      <c r="FM6" s="556"/>
      <c r="FN6" s="556"/>
      <c r="FO6" s="556"/>
      <c r="FP6" s="556"/>
      <c r="FQ6" s="556"/>
      <c r="FR6" s="556"/>
      <c r="FS6" s="556"/>
      <c r="FT6" s="556"/>
      <c r="FU6" s="556"/>
      <c r="FV6" s="556"/>
      <c r="FW6" s="556"/>
      <c r="FX6" s="556"/>
      <c r="FY6" s="556"/>
      <c r="FZ6" s="556"/>
      <c r="GA6" s="556"/>
      <c r="GB6" s="556"/>
      <c r="GC6" s="556"/>
      <c r="GD6" s="556"/>
      <c r="GE6" s="556"/>
      <c r="GF6" s="556"/>
      <c r="GG6" s="556"/>
      <c r="GH6" s="556"/>
      <c r="GI6" s="556"/>
      <c r="GJ6" s="556"/>
      <c r="GK6" s="556"/>
      <c r="GL6" s="556"/>
      <c r="GM6" s="556"/>
      <c r="GN6" s="556"/>
      <c r="GO6" s="556"/>
      <c r="GP6" s="556"/>
      <c r="GQ6" s="556"/>
      <c r="GR6" s="556"/>
      <c r="GS6" s="556"/>
      <c r="GT6" s="556"/>
      <c r="GU6" s="556"/>
      <c r="GV6" s="556"/>
      <c r="GW6" s="556"/>
      <c r="GX6" s="556"/>
      <c r="GY6" s="556"/>
      <c r="GZ6" s="556"/>
      <c r="HA6" s="556"/>
      <c r="HB6" s="556"/>
      <c r="HC6" s="556"/>
      <c r="HD6" s="556"/>
      <c r="HE6" s="556"/>
      <c r="HF6" s="556"/>
      <c r="HG6" s="556"/>
      <c r="HH6" s="556"/>
      <c r="HI6" s="556"/>
      <c r="HJ6" s="556"/>
      <c r="HK6" s="556"/>
      <c r="HL6" s="556"/>
      <c r="HM6" s="556"/>
      <c r="HN6" s="556"/>
      <c r="HO6" s="556"/>
      <c r="HP6" s="556"/>
      <c r="HQ6" s="556"/>
      <c r="HR6" s="556"/>
      <c r="HS6" s="556"/>
      <c r="HT6" s="556"/>
      <c r="HU6" s="556"/>
      <c r="HV6" s="556"/>
      <c r="HW6" s="556"/>
      <c r="HX6" s="556"/>
      <c r="HY6" s="556"/>
      <c r="HZ6" s="556"/>
      <c r="IA6" s="556"/>
      <c r="IB6" s="556"/>
      <c r="IC6" s="556"/>
      <c r="ID6" s="556"/>
      <c r="IE6" s="556"/>
      <c r="IF6" s="556"/>
      <c r="IG6" s="556"/>
      <c r="IH6" s="556"/>
      <c r="II6" s="556"/>
      <c r="IJ6" s="556"/>
      <c r="IK6" s="556"/>
      <c r="IL6" s="556"/>
      <c r="IM6" s="556"/>
      <c r="IN6" s="556"/>
      <c r="IO6" s="556"/>
      <c r="IP6" s="556"/>
      <c r="IQ6" s="556"/>
      <c r="IR6" s="556"/>
      <c r="IS6" s="556"/>
      <c r="IT6" s="556"/>
      <c r="IU6" s="556"/>
      <c r="IV6" s="556"/>
      <c r="IW6" s="556"/>
      <c r="IX6" s="556"/>
      <c r="IY6" s="556"/>
      <c r="IZ6" s="556"/>
      <c r="JA6" s="556"/>
      <c r="JB6" s="556"/>
      <c r="JC6" s="556"/>
      <c r="JD6" s="556"/>
      <c r="JE6" s="556"/>
      <c r="JF6" s="556"/>
      <c r="JG6" s="556"/>
      <c r="JH6" s="556"/>
      <c r="JI6" s="556"/>
      <c r="JJ6" s="556"/>
      <c r="JK6" s="556"/>
      <c r="JL6" s="556"/>
      <c r="JM6" s="556"/>
      <c r="JN6" s="556"/>
      <c r="JO6" s="556"/>
      <c r="JP6" s="556"/>
      <c r="JQ6" s="556"/>
      <c r="JR6" s="556"/>
      <c r="JS6" s="556"/>
      <c r="JT6" s="556"/>
      <c r="JU6" s="556"/>
      <c r="JV6" s="556"/>
      <c r="JW6" s="556"/>
      <c r="JX6" s="556"/>
      <c r="JY6" s="556"/>
      <c r="JZ6" s="556"/>
      <c r="KA6" s="556"/>
      <c r="KB6" s="556"/>
      <c r="KC6" s="556"/>
      <c r="KD6" s="556"/>
      <c r="KE6" s="556"/>
      <c r="KF6" s="556"/>
      <c r="KG6" s="556"/>
      <c r="KH6" s="556"/>
      <c r="KI6" s="556"/>
      <c r="KJ6" s="556"/>
      <c r="KK6" s="556"/>
      <c r="KL6" s="556"/>
      <c r="KM6" s="556"/>
      <c r="KN6" s="556"/>
      <c r="KO6" s="556"/>
      <c r="KP6" s="556"/>
      <c r="KQ6" s="556"/>
      <c r="KR6" s="556"/>
      <c r="KS6" s="556"/>
      <c r="KT6" s="556"/>
      <c r="KU6" s="556"/>
      <c r="KV6" s="556"/>
      <c r="KW6" s="556"/>
      <c r="KX6" s="556"/>
      <c r="KY6" s="556"/>
      <c r="KZ6" s="556"/>
      <c r="LA6" s="556"/>
      <c r="LB6" s="556"/>
      <c r="LC6" s="556"/>
      <c r="LD6" s="556"/>
      <c r="LE6" s="556"/>
      <c r="LF6" s="556"/>
      <c r="LG6" s="556"/>
      <c r="LH6" s="556"/>
      <c r="LI6" s="556"/>
      <c r="LJ6" s="556"/>
      <c r="LK6" s="556"/>
      <c r="LL6" s="556"/>
      <c r="LM6" s="556"/>
      <c r="LN6" s="556"/>
      <c r="LO6" s="556"/>
      <c r="LP6" s="556"/>
      <c r="LQ6" s="556"/>
      <c r="LR6" s="556"/>
      <c r="LS6" s="556"/>
      <c r="LT6" s="556"/>
      <c r="LU6" s="556"/>
      <c r="LV6" s="556"/>
      <c r="LW6" s="556"/>
      <c r="LX6" s="556"/>
      <c r="LY6" s="556"/>
      <c r="LZ6" s="556"/>
      <c r="MA6" s="556"/>
      <c r="MB6" s="556"/>
      <c r="MC6" s="556"/>
      <c r="MD6" s="556"/>
      <c r="ME6" s="556"/>
      <c r="MF6" s="556"/>
      <c r="MG6" s="556"/>
      <c r="MH6" s="556"/>
      <c r="MI6" s="556"/>
      <c r="MJ6" s="556"/>
      <c r="MK6" s="556"/>
      <c r="ML6" s="556"/>
      <c r="MM6" s="556"/>
      <c r="MN6" s="556"/>
      <c r="MO6" s="556"/>
      <c r="MP6" s="556"/>
      <c r="MQ6" s="556"/>
      <c r="MR6" s="556"/>
      <c r="MS6" s="556"/>
      <c r="MT6" s="556"/>
      <c r="MU6" s="556"/>
      <c r="MV6" s="556"/>
      <c r="MW6" s="556"/>
      <c r="MX6" s="556"/>
      <c r="MY6" s="556"/>
      <c r="MZ6" s="556"/>
      <c r="NA6" s="556"/>
      <c r="NB6" s="556"/>
      <c r="NC6" s="556"/>
      <c r="ND6" s="556"/>
      <c r="NE6" s="556"/>
      <c r="NF6" s="556"/>
      <c r="NG6" s="556"/>
      <c r="NH6" s="556"/>
      <c r="NI6" s="556"/>
      <c r="NJ6" s="556"/>
      <c r="NK6" s="556"/>
      <c r="NL6" s="556"/>
      <c r="NM6" s="556"/>
      <c r="NN6" s="556"/>
      <c r="NO6" s="556"/>
      <c r="NP6" s="556"/>
      <c r="NQ6" s="556"/>
      <c r="NR6" s="556"/>
      <c r="NS6" s="556"/>
      <c r="NT6" s="556"/>
      <c r="NU6" s="556"/>
      <c r="NV6" s="556"/>
      <c r="NW6" s="556"/>
      <c r="NX6" s="556"/>
      <c r="NY6" s="556"/>
      <c r="NZ6" s="556"/>
      <c r="OA6" s="556"/>
      <c r="OB6" s="556"/>
      <c r="OC6" s="556"/>
      <c r="OD6" s="556"/>
      <c r="OE6" s="556"/>
      <c r="OF6" s="556"/>
      <c r="OG6" s="556"/>
      <c r="OH6" s="556"/>
      <c r="OI6" s="556"/>
      <c r="OJ6" s="556"/>
      <c r="OK6" s="556"/>
      <c r="OL6" s="556"/>
      <c r="OM6" s="556"/>
      <c r="ON6" s="556"/>
      <c r="OO6" s="556"/>
      <c r="OP6" s="556"/>
      <c r="OQ6" s="556"/>
      <c r="OR6" s="556"/>
      <c r="OS6" s="556"/>
      <c r="OT6" s="556"/>
      <c r="OU6" s="556"/>
      <c r="OV6" s="556"/>
      <c r="OW6" s="556"/>
      <c r="OX6" s="556"/>
      <c r="OY6" s="556"/>
      <c r="OZ6" s="556"/>
      <c r="PA6" s="556"/>
      <c r="PB6" s="556"/>
      <c r="PC6" s="556"/>
      <c r="PD6" s="556"/>
      <c r="PE6" s="556"/>
      <c r="PF6" s="556"/>
      <c r="PG6" s="556"/>
      <c r="PH6" s="556"/>
      <c r="PI6" s="556"/>
      <c r="PJ6" s="556"/>
      <c r="PK6" s="556"/>
      <c r="PL6" s="556"/>
      <c r="PM6" s="556"/>
      <c r="PN6" s="556"/>
      <c r="PO6" s="556"/>
      <c r="PP6" s="556"/>
      <c r="PQ6" s="556"/>
      <c r="PR6" s="556"/>
      <c r="PS6" s="556"/>
      <c r="PT6" s="556"/>
      <c r="PU6" s="556"/>
      <c r="PV6" s="556"/>
      <c r="PW6" s="556"/>
      <c r="PX6" s="556"/>
      <c r="PY6" s="556"/>
      <c r="PZ6" s="556"/>
      <c r="QA6" s="556"/>
      <c r="QB6" s="556"/>
      <c r="QC6" s="556"/>
      <c r="QD6" s="556"/>
      <c r="QE6" s="556"/>
      <c r="QF6" s="556"/>
      <c r="QG6" s="556"/>
      <c r="QH6" s="556"/>
      <c r="QI6" s="556"/>
      <c r="QJ6" s="556"/>
      <c r="QK6" s="556"/>
      <c r="QL6" s="556"/>
      <c r="QM6" s="556"/>
      <c r="QN6" s="556"/>
      <c r="QO6" s="556"/>
      <c r="QP6" s="556"/>
      <c r="QQ6" s="556"/>
      <c r="QR6" s="556"/>
      <c r="QS6" s="556"/>
      <c r="QT6" s="556"/>
      <c r="QU6" s="556"/>
      <c r="QV6" s="556"/>
      <c r="QW6" s="556"/>
      <c r="QX6" s="556"/>
      <c r="QY6" s="556"/>
      <c r="QZ6" s="556"/>
      <c r="RA6" s="556"/>
      <c r="RB6" s="556"/>
      <c r="RC6" s="556"/>
      <c r="RD6" s="556"/>
      <c r="RE6" s="556"/>
      <c r="RF6" s="556"/>
      <c r="RG6" s="556"/>
      <c r="RH6" s="556"/>
      <c r="RI6" s="556"/>
      <c r="RJ6" s="556"/>
      <c r="RK6" s="556"/>
      <c r="RL6" s="556"/>
      <c r="RM6" s="556"/>
      <c r="RN6" s="556"/>
      <c r="RO6" s="556"/>
      <c r="RP6" s="556"/>
      <c r="RQ6" s="556"/>
      <c r="RR6" s="556"/>
      <c r="RS6" s="556"/>
      <c r="RT6" s="556"/>
      <c r="RU6" s="556"/>
      <c r="RV6" s="556"/>
      <c r="RW6" s="556"/>
      <c r="RX6" s="556"/>
    </row>
    <row r="7" spans="1:492" s="557" customFormat="1" ht="20.100000000000001" customHeight="1">
      <c r="A7" s="567" t="s">
        <v>115</v>
      </c>
      <c r="B7" s="592" t="s">
        <v>116</v>
      </c>
      <c r="C7" s="547"/>
      <c r="D7" s="547"/>
      <c r="E7" s="547"/>
      <c r="F7" s="547"/>
      <c r="G7" s="547"/>
      <c r="H7" s="547"/>
      <c r="I7" s="547"/>
      <c r="J7" s="547"/>
      <c r="K7" s="547"/>
      <c r="L7" s="547"/>
      <c r="M7" s="547"/>
      <c r="N7" s="547"/>
      <c r="O7" s="547"/>
      <c r="P7" s="547"/>
      <c r="Q7" s="547"/>
      <c r="R7" s="547"/>
      <c r="S7" s="547"/>
      <c r="T7" s="547"/>
      <c r="U7" s="547"/>
      <c r="V7" s="547"/>
      <c r="W7" s="547"/>
      <c r="X7" s="547"/>
      <c r="Y7" s="547"/>
      <c r="Z7" s="547"/>
      <c r="AA7" s="547"/>
      <c r="AB7" s="547"/>
      <c r="AC7" s="547"/>
      <c r="AD7" s="547"/>
      <c r="AE7" s="547"/>
      <c r="AF7" s="547"/>
      <c r="AG7" s="547"/>
      <c r="AH7" s="547"/>
      <c r="AI7" s="547"/>
      <c r="AJ7" s="547"/>
      <c r="AK7" s="547"/>
      <c r="AL7" s="547"/>
      <c r="AM7" s="578">
        <v>349.6</v>
      </c>
      <c r="AN7" s="548">
        <v>412.69999999999993</v>
      </c>
      <c r="AO7" s="548">
        <v>375.20000000000005</v>
      </c>
      <c r="AP7" s="548">
        <v>558.40000000000009</v>
      </c>
      <c r="AQ7" s="579">
        <f t="shared" ref="AQ7:AQ9" si="3">SUM(AM7:AP7)</f>
        <v>1695.9</v>
      </c>
      <c r="AR7" s="548"/>
      <c r="AS7" s="548"/>
      <c r="AT7" s="548"/>
      <c r="AU7" s="548"/>
      <c r="AV7" s="543"/>
      <c r="AW7" s="548">
        <v>454.6</v>
      </c>
      <c r="AX7" s="548">
        <v>520.19999999999993</v>
      </c>
      <c r="AY7" s="548">
        <v>440.70000000000005</v>
      </c>
      <c r="AZ7" s="548">
        <v>582.40000000000009</v>
      </c>
      <c r="BA7" s="554">
        <f t="shared" ref="BA7:BA9" si="4">SUM(AW7:AZ7)</f>
        <v>1997.9</v>
      </c>
      <c r="BB7" s="578">
        <v>460.6</v>
      </c>
      <c r="BC7" s="548">
        <v>412.19999999999993</v>
      </c>
      <c r="BD7" s="548">
        <v>481.90000000000009</v>
      </c>
      <c r="BE7" s="542">
        <v>652.20000000000005</v>
      </c>
      <c r="BF7" s="579">
        <f t="shared" ref="BF7:BF9" si="5">SUM(BB7:BE7)</f>
        <v>2006.9</v>
      </c>
      <c r="BG7" s="548">
        <v>507.2</v>
      </c>
      <c r="BH7" s="548">
        <v>570</v>
      </c>
      <c r="BI7" s="548">
        <v>499.50000000000006</v>
      </c>
      <c r="BJ7" s="542">
        <f>2264.1-SUM(BG7:BI7)</f>
        <v>687.39999999999986</v>
      </c>
      <c r="BK7" s="579">
        <f t="shared" ref="BK7:BK9" si="6">SUM(BG7:BJ7)</f>
        <v>2264.1</v>
      </c>
      <c r="BL7" s="548">
        <v>533.5</v>
      </c>
      <c r="BM7" s="542">
        <f>1140-BL7</f>
        <v>606.5</v>
      </c>
      <c r="BN7" s="548"/>
      <c r="BO7" s="542"/>
      <c r="BP7" s="579">
        <f t="shared" ref="BP7:BP9" si="7">SUM(BL7:BO7)</f>
        <v>1140</v>
      </c>
      <c r="BQ7" s="556"/>
      <c r="BR7" s="556"/>
      <c r="BS7" s="556"/>
      <c r="BT7" s="556"/>
      <c r="BU7" s="556"/>
      <c r="BV7" s="556"/>
      <c r="BW7" s="556"/>
      <c r="BX7" s="556"/>
      <c r="BY7" s="556"/>
      <c r="BZ7" s="556"/>
      <c r="CA7" s="556"/>
      <c r="CB7" s="556"/>
      <c r="CC7" s="556"/>
      <c r="CD7" s="556"/>
      <c r="CE7" s="556"/>
      <c r="CF7" s="556"/>
      <c r="CG7" s="556"/>
      <c r="CH7" s="556"/>
      <c r="CI7" s="556"/>
      <c r="CJ7" s="556"/>
      <c r="CK7" s="556"/>
      <c r="CL7" s="556"/>
      <c r="CM7" s="556"/>
      <c r="CN7" s="556"/>
      <c r="CO7" s="556"/>
      <c r="CP7" s="556"/>
      <c r="CQ7" s="556"/>
      <c r="CR7" s="556"/>
      <c r="CS7" s="556"/>
      <c r="CT7" s="556"/>
      <c r="CU7" s="556"/>
      <c r="CV7" s="556"/>
      <c r="CW7" s="556"/>
      <c r="CX7" s="556"/>
      <c r="CY7" s="556"/>
      <c r="CZ7" s="556"/>
      <c r="DA7" s="556"/>
      <c r="DB7" s="556"/>
      <c r="DC7" s="556"/>
      <c r="DD7" s="556"/>
      <c r="DE7" s="556"/>
      <c r="DF7" s="556"/>
      <c r="DG7" s="556"/>
      <c r="DH7" s="556"/>
      <c r="DI7" s="556"/>
      <c r="DJ7" s="556"/>
      <c r="DK7" s="556"/>
      <c r="DL7" s="556"/>
      <c r="DM7" s="556"/>
      <c r="DN7" s="556"/>
      <c r="DO7" s="556"/>
      <c r="DP7" s="556"/>
      <c r="DQ7" s="556"/>
      <c r="DR7" s="556"/>
      <c r="DS7" s="556"/>
      <c r="DT7" s="556"/>
      <c r="DU7" s="556"/>
      <c r="DV7" s="556"/>
      <c r="DW7" s="556"/>
      <c r="DX7" s="556"/>
      <c r="DY7" s="556"/>
      <c r="DZ7" s="556"/>
      <c r="EA7" s="556"/>
      <c r="EB7" s="556"/>
      <c r="EC7" s="556"/>
      <c r="ED7" s="556"/>
      <c r="EE7" s="556"/>
      <c r="EF7" s="556"/>
      <c r="EG7" s="556"/>
      <c r="EH7" s="556"/>
      <c r="EI7" s="556"/>
      <c r="EJ7" s="556"/>
      <c r="EK7" s="556"/>
      <c r="EL7" s="556"/>
      <c r="EM7" s="556"/>
      <c r="EN7" s="556"/>
      <c r="EO7" s="556"/>
      <c r="EP7" s="556"/>
      <c r="EQ7" s="556"/>
      <c r="ER7" s="556"/>
      <c r="ES7" s="556"/>
      <c r="ET7" s="556"/>
      <c r="EU7" s="556"/>
      <c r="EV7" s="556"/>
      <c r="EW7" s="556"/>
      <c r="EX7" s="556"/>
      <c r="EY7" s="556"/>
      <c r="EZ7" s="556"/>
      <c r="FA7" s="556"/>
      <c r="FB7" s="556"/>
      <c r="FC7" s="556"/>
      <c r="FD7" s="556"/>
      <c r="FE7" s="556"/>
      <c r="FF7" s="556"/>
      <c r="FG7" s="556"/>
      <c r="FH7" s="556"/>
      <c r="FI7" s="556"/>
      <c r="FJ7" s="556"/>
      <c r="FK7" s="556"/>
      <c r="FL7" s="556"/>
      <c r="FM7" s="556"/>
      <c r="FN7" s="556"/>
      <c r="FO7" s="556"/>
      <c r="FP7" s="556"/>
      <c r="FQ7" s="556"/>
      <c r="FR7" s="556"/>
      <c r="FS7" s="556"/>
      <c r="FT7" s="556"/>
      <c r="FU7" s="556"/>
      <c r="FV7" s="556"/>
      <c r="FW7" s="556"/>
      <c r="FX7" s="556"/>
      <c r="FY7" s="556"/>
      <c r="FZ7" s="556"/>
      <c r="GA7" s="556"/>
      <c r="GB7" s="556"/>
      <c r="GC7" s="556"/>
      <c r="GD7" s="556"/>
      <c r="GE7" s="556"/>
      <c r="GF7" s="556"/>
      <c r="GG7" s="556"/>
      <c r="GH7" s="556"/>
      <c r="GI7" s="556"/>
      <c r="GJ7" s="556"/>
      <c r="GK7" s="556"/>
      <c r="GL7" s="556"/>
      <c r="GM7" s="556"/>
      <c r="GN7" s="556"/>
      <c r="GO7" s="556"/>
      <c r="GP7" s="556"/>
      <c r="GQ7" s="556"/>
      <c r="GR7" s="556"/>
      <c r="GS7" s="556"/>
      <c r="GT7" s="556"/>
      <c r="GU7" s="556"/>
      <c r="GV7" s="556"/>
      <c r="GW7" s="556"/>
      <c r="GX7" s="556"/>
      <c r="GY7" s="556"/>
      <c r="GZ7" s="556"/>
      <c r="HA7" s="556"/>
      <c r="HB7" s="556"/>
      <c r="HC7" s="556"/>
      <c r="HD7" s="556"/>
      <c r="HE7" s="556"/>
      <c r="HF7" s="556"/>
      <c r="HG7" s="556"/>
      <c r="HH7" s="556"/>
      <c r="HI7" s="556"/>
      <c r="HJ7" s="556"/>
      <c r="HK7" s="556"/>
      <c r="HL7" s="556"/>
      <c r="HM7" s="556"/>
      <c r="HN7" s="556"/>
      <c r="HO7" s="556"/>
      <c r="HP7" s="556"/>
      <c r="HQ7" s="556"/>
      <c r="HR7" s="556"/>
      <c r="HS7" s="556"/>
      <c r="HT7" s="556"/>
      <c r="HU7" s="556"/>
      <c r="HV7" s="556"/>
      <c r="HW7" s="556"/>
      <c r="HX7" s="556"/>
      <c r="HY7" s="556"/>
      <c r="HZ7" s="556"/>
      <c r="IA7" s="556"/>
      <c r="IB7" s="556"/>
      <c r="IC7" s="556"/>
      <c r="ID7" s="556"/>
      <c r="IE7" s="556"/>
      <c r="IF7" s="556"/>
      <c r="IG7" s="556"/>
      <c r="IH7" s="556"/>
      <c r="II7" s="556"/>
      <c r="IJ7" s="556"/>
      <c r="IK7" s="556"/>
      <c r="IL7" s="556"/>
      <c r="IM7" s="556"/>
      <c r="IN7" s="556"/>
      <c r="IO7" s="556"/>
      <c r="IP7" s="556"/>
      <c r="IQ7" s="556"/>
      <c r="IR7" s="556"/>
      <c r="IS7" s="556"/>
      <c r="IT7" s="556"/>
      <c r="IU7" s="556"/>
      <c r="IV7" s="556"/>
      <c r="IW7" s="556"/>
      <c r="IX7" s="556"/>
      <c r="IY7" s="556"/>
      <c r="IZ7" s="556"/>
      <c r="JA7" s="556"/>
      <c r="JB7" s="556"/>
      <c r="JC7" s="556"/>
      <c r="JD7" s="556"/>
      <c r="JE7" s="556"/>
      <c r="JF7" s="556"/>
      <c r="JG7" s="556"/>
      <c r="JH7" s="556"/>
      <c r="JI7" s="556"/>
      <c r="JJ7" s="556"/>
      <c r="JK7" s="556"/>
      <c r="JL7" s="556"/>
      <c r="JM7" s="556"/>
      <c r="JN7" s="556"/>
      <c r="JO7" s="556"/>
      <c r="JP7" s="556"/>
      <c r="JQ7" s="556"/>
      <c r="JR7" s="556"/>
      <c r="JS7" s="556"/>
      <c r="JT7" s="556"/>
      <c r="JU7" s="556"/>
      <c r="JV7" s="556"/>
      <c r="JW7" s="556"/>
      <c r="JX7" s="556"/>
      <c r="JY7" s="556"/>
      <c r="JZ7" s="556"/>
      <c r="KA7" s="556"/>
      <c r="KB7" s="556"/>
      <c r="KC7" s="556"/>
      <c r="KD7" s="556"/>
      <c r="KE7" s="556"/>
      <c r="KF7" s="556"/>
      <c r="KG7" s="556"/>
      <c r="KH7" s="556"/>
      <c r="KI7" s="556"/>
      <c r="KJ7" s="556"/>
      <c r="KK7" s="556"/>
      <c r="KL7" s="556"/>
      <c r="KM7" s="556"/>
      <c r="KN7" s="556"/>
      <c r="KO7" s="556"/>
      <c r="KP7" s="556"/>
      <c r="KQ7" s="556"/>
      <c r="KR7" s="556"/>
      <c r="KS7" s="556"/>
      <c r="KT7" s="556"/>
      <c r="KU7" s="556"/>
      <c r="KV7" s="556"/>
      <c r="KW7" s="556"/>
      <c r="KX7" s="556"/>
      <c r="KY7" s="556"/>
      <c r="KZ7" s="556"/>
      <c r="LA7" s="556"/>
      <c r="LB7" s="556"/>
      <c r="LC7" s="556"/>
      <c r="LD7" s="556"/>
      <c r="LE7" s="556"/>
      <c r="LF7" s="556"/>
      <c r="LG7" s="556"/>
      <c r="LH7" s="556"/>
      <c r="LI7" s="556"/>
      <c r="LJ7" s="556"/>
      <c r="LK7" s="556"/>
      <c r="LL7" s="556"/>
      <c r="LM7" s="556"/>
      <c r="LN7" s="556"/>
      <c r="LO7" s="556"/>
      <c r="LP7" s="556"/>
      <c r="LQ7" s="556"/>
      <c r="LR7" s="556"/>
      <c r="LS7" s="556"/>
      <c r="LT7" s="556"/>
      <c r="LU7" s="556"/>
      <c r="LV7" s="556"/>
      <c r="LW7" s="556"/>
      <c r="LX7" s="556"/>
      <c r="LY7" s="556"/>
      <c r="LZ7" s="556"/>
      <c r="MA7" s="556"/>
      <c r="MB7" s="556"/>
      <c r="MC7" s="556"/>
      <c r="MD7" s="556"/>
      <c r="ME7" s="556"/>
      <c r="MF7" s="556"/>
      <c r="MG7" s="556"/>
      <c r="MH7" s="556"/>
      <c r="MI7" s="556"/>
      <c r="MJ7" s="556"/>
      <c r="MK7" s="556"/>
      <c r="ML7" s="556"/>
      <c r="MM7" s="556"/>
      <c r="MN7" s="556"/>
      <c r="MO7" s="556"/>
      <c r="MP7" s="556"/>
      <c r="MQ7" s="556"/>
      <c r="MR7" s="556"/>
      <c r="MS7" s="556"/>
      <c r="MT7" s="556"/>
      <c r="MU7" s="556"/>
      <c r="MV7" s="556"/>
      <c r="MW7" s="556"/>
      <c r="MX7" s="556"/>
      <c r="MY7" s="556"/>
      <c r="MZ7" s="556"/>
      <c r="NA7" s="556"/>
      <c r="NB7" s="556"/>
      <c r="NC7" s="556"/>
      <c r="ND7" s="556"/>
      <c r="NE7" s="556"/>
      <c r="NF7" s="556"/>
      <c r="NG7" s="556"/>
      <c r="NH7" s="556"/>
      <c r="NI7" s="556"/>
      <c r="NJ7" s="556"/>
      <c r="NK7" s="556"/>
      <c r="NL7" s="556"/>
      <c r="NM7" s="556"/>
      <c r="NN7" s="556"/>
      <c r="NO7" s="556"/>
      <c r="NP7" s="556"/>
      <c r="NQ7" s="556"/>
      <c r="NR7" s="556"/>
      <c r="NS7" s="556"/>
      <c r="NT7" s="556"/>
      <c r="NU7" s="556"/>
      <c r="NV7" s="556"/>
      <c r="NW7" s="556"/>
      <c r="NX7" s="556"/>
      <c r="NY7" s="556"/>
      <c r="NZ7" s="556"/>
      <c r="OA7" s="556"/>
      <c r="OB7" s="556"/>
      <c r="OC7" s="556"/>
      <c r="OD7" s="556"/>
      <c r="OE7" s="556"/>
      <c r="OF7" s="556"/>
      <c r="OG7" s="556"/>
      <c r="OH7" s="556"/>
      <c r="OI7" s="556"/>
      <c r="OJ7" s="556"/>
      <c r="OK7" s="556"/>
      <c r="OL7" s="556"/>
      <c r="OM7" s="556"/>
      <c r="ON7" s="556"/>
      <c r="OO7" s="556"/>
      <c r="OP7" s="556"/>
      <c r="OQ7" s="556"/>
      <c r="OR7" s="556"/>
      <c r="OS7" s="556"/>
      <c r="OT7" s="556"/>
      <c r="OU7" s="556"/>
      <c r="OV7" s="556"/>
      <c r="OW7" s="556"/>
      <c r="OX7" s="556"/>
      <c r="OY7" s="556"/>
      <c r="OZ7" s="556"/>
      <c r="PA7" s="556"/>
      <c r="PB7" s="556"/>
      <c r="PC7" s="556"/>
      <c r="PD7" s="556"/>
      <c r="PE7" s="556"/>
      <c r="PF7" s="556"/>
      <c r="PG7" s="556"/>
      <c r="PH7" s="556"/>
      <c r="PI7" s="556"/>
      <c r="PJ7" s="556"/>
      <c r="PK7" s="556"/>
      <c r="PL7" s="556"/>
      <c r="PM7" s="556"/>
      <c r="PN7" s="556"/>
      <c r="PO7" s="556"/>
      <c r="PP7" s="556"/>
      <c r="PQ7" s="556"/>
      <c r="PR7" s="556"/>
      <c r="PS7" s="556"/>
      <c r="PT7" s="556"/>
      <c r="PU7" s="556"/>
      <c r="PV7" s="556"/>
      <c r="PW7" s="556"/>
      <c r="PX7" s="556"/>
      <c r="PY7" s="556"/>
      <c r="PZ7" s="556"/>
      <c r="QA7" s="556"/>
      <c r="QB7" s="556"/>
      <c r="QC7" s="556"/>
      <c r="QD7" s="556"/>
      <c r="QE7" s="556"/>
      <c r="QF7" s="556"/>
      <c r="QG7" s="556"/>
      <c r="QH7" s="556"/>
      <c r="QI7" s="556"/>
      <c r="QJ7" s="556"/>
      <c r="QK7" s="556"/>
      <c r="QL7" s="556"/>
      <c r="QM7" s="556"/>
      <c r="QN7" s="556"/>
      <c r="QO7" s="556"/>
      <c r="QP7" s="556"/>
      <c r="QQ7" s="556"/>
      <c r="QR7" s="556"/>
      <c r="QS7" s="556"/>
      <c r="QT7" s="556"/>
      <c r="QU7" s="556"/>
      <c r="QV7" s="556"/>
      <c r="QW7" s="556"/>
      <c r="QX7" s="556"/>
      <c r="QY7" s="556"/>
      <c r="QZ7" s="556"/>
      <c r="RA7" s="556"/>
      <c r="RB7" s="556"/>
      <c r="RC7" s="556"/>
      <c r="RD7" s="556"/>
      <c r="RE7" s="556"/>
      <c r="RF7" s="556"/>
      <c r="RG7" s="556"/>
      <c r="RH7" s="556"/>
      <c r="RI7" s="556"/>
      <c r="RJ7" s="556"/>
      <c r="RK7" s="556"/>
      <c r="RL7" s="556"/>
      <c r="RM7" s="556"/>
      <c r="RN7" s="556"/>
      <c r="RO7" s="556"/>
      <c r="RP7" s="556"/>
      <c r="RQ7" s="556"/>
      <c r="RR7" s="556"/>
      <c r="RS7" s="556"/>
      <c r="RT7" s="556"/>
      <c r="RU7" s="556"/>
      <c r="RV7" s="556"/>
      <c r="RW7" s="556"/>
      <c r="RX7" s="556"/>
    </row>
    <row r="8" spans="1:492" s="557" customFormat="1" ht="20.100000000000001" customHeight="1">
      <c r="A8" s="567" t="s">
        <v>117</v>
      </c>
      <c r="B8" s="592" t="s">
        <v>118</v>
      </c>
      <c r="C8" s="547"/>
      <c r="D8" s="547"/>
      <c r="E8" s="547"/>
      <c r="F8" s="547"/>
      <c r="G8" s="547"/>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7"/>
      <c r="AK8" s="547"/>
      <c r="AL8" s="547"/>
      <c r="AM8" s="578"/>
      <c r="AN8" s="548"/>
      <c r="AO8" s="548"/>
      <c r="AP8" s="548"/>
      <c r="AQ8" s="579"/>
      <c r="AR8" s="548"/>
      <c r="AS8" s="548"/>
      <c r="AT8" s="548"/>
      <c r="AU8" s="548"/>
      <c r="AV8" s="543"/>
      <c r="AW8" s="548"/>
      <c r="AX8" s="548"/>
      <c r="AY8" s="548"/>
      <c r="AZ8" s="548"/>
      <c r="BA8" s="554"/>
      <c r="BB8" s="578"/>
      <c r="BC8" s="548"/>
      <c r="BD8" s="548"/>
      <c r="BE8" s="542"/>
      <c r="BF8" s="579"/>
      <c r="BG8" s="548"/>
      <c r="BH8" s="548"/>
      <c r="BI8" s="548"/>
      <c r="BJ8" s="542"/>
      <c r="BK8" s="579"/>
      <c r="BL8" s="548"/>
      <c r="BM8" s="542">
        <v>44.3</v>
      </c>
      <c r="BN8" s="548"/>
      <c r="BO8" s="542"/>
      <c r="BP8" s="579">
        <f t="shared" si="7"/>
        <v>44.3</v>
      </c>
      <c r="BQ8" s="556"/>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6"/>
      <c r="CP8" s="556"/>
      <c r="CQ8" s="556"/>
      <c r="CR8" s="556"/>
      <c r="CS8" s="556"/>
      <c r="CT8" s="556"/>
      <c r="CU8" s="556"/>
      <c r="CV8" s="556"/>
      <c r="CW8" s="556"/>
      <c r="CX8" s="556"/>
      <c r="CY8" s="556"/>
      <c r="CZ8" s="556"/>
      <c r="DA8" s="556"/>
      <c r="DB8" s="556"/>
      <c r="DC8" s="556"/>
      <c r="DD8" s="556"/>
      <c r="DE8" s="556"/>
      <c r="DF8" s="556"/>
      <c r="DG8" s="556"/>
      <c r="DH8" s="556"/>
      <c r="DI8" s="556"/>
      <c r="DJ8" s="556"/>
      <c r="DK8" s="556"/>
      <c r="DL8" s="556"/>
      <c r="DM8" s="556"/>
      <c r="DN8" s="556"/>
      <c r="DO8" s="556"/>
      <c r="DP8" s="556"/>
      <c r="DQ8" s="556"/>
      <c r="DR8" s="556"/>
      <c r="DS8" s="556"/>
      <c r="DT8" s="556"/>
      <c r="DU8" s="556"/>
      <c r="DV8" s="556"/>
      <c r="DW8" s="556"/>
      <c r="DX8" s="556"/>
      <c r="DY8" s="556"/>
      <c r="DZ8" s="556"/>
      <c r="EA8" s="556"/>
      <c r="EB8" s="556"/>
      <c r="EC8" s="556"/>
      <c r="ED8" s="556"/>
      <c r="EE8" s="556"/>
      <c r="EF8" s="556"/>
      <c r="EG8" s="556"/>
      <c r="EH8" s="556"/>
      <c r="EI8" s="556"/>
      <c r="EJ8" s="556"/>
      <c r="EK8" s="556"/>
      <c r="EL8" s="556"/>
      <c r="EM8" s="556"/>
      <c r="EN8" s="556"/>
      <c r="EO8" s="556"/>
      <c r="EP8" s="556"/>
      <c r="EQ8" s="556"/>
      <c r="ER8" s="556"/>
      <c r="ES8" s="556"/>
      <c r="ET8" s="556"/>
      <c r="EU8" s="556"/>
      <c r="EV8" s="556"/>
      <c r="EW8" s="556"/>
      <c r="EX8" s="556"/>
      <c r="EY8" s="556"/>
      <c r="EZ8" s="556"/>
      <c r="FA8" s="556"/>
      <c r="FB8" s="556"/>
      <c r="FC8" s="556"/>
      <c r="FD8" s="556"/>
      <c r="FE8" s="556"/>
      <c r="FF8" s="556"/>
      <c r="FG8" s="556"/>
      <c r="FH8" s="556"/>
      <c r="FI8" s="556"/>
      <c r="FJ8" s="556"/>
      <c r="FK8" s="556"/>
      <c r="FL8" s="556"/>
      <c r="FM8" s="556"/>
      <c r="FN8" s="556"/>
      <c r="FO8" s="556"/>
      <c r="FP8" s="556"/>
      <c r="FQ8" s="556"/>
      <c r="FR8" s="556"/>
      <c r="FS8" s="556"/>
      <c r="FT8" s="556"/>
      <c r="FU8" s="556"/>
      <c r="FV8" s="556"/>
      <c r="FW8" s="556"/>
      <c r="FX8" s="556"/>
      <c r="FY8" s="556"/>
      <c r="FZ8" s="556"/>
      <c r="GA8" s="556"/>
      <c r="GB8" s="556"/>
      <c r="GC8" s="556"/>
      <c r="GD8" s="556"/>
      <c r="GE8" s="556"/>
      <c r="GF8" s="556"/>
      <c r="GG8" s="556"/>
      <c r="GH8" s="556"/>
      <c r="GI8" s="556"/>
      <c r="GJ8" s="556"/>
      <c r="GK8" s="556"/>
      <c r="GL8" s="556"/>
      <c r="GM8" s="556"/>
      <c r="GN8" s="556"/>
      <c r="GO8" s="556"/>
      <c r="GP8" s="556"/>
      <c r="GQ8" s="556"/>
      <c r="GR8" s="556"/>
      <c r="GS8" s="556"/>
      <c r="GT8" s="556"/>
      <c r="GU8" s="556"/>
      <c r="GV8" s="556"/>
      <c r="GW8" s="556"/>
      <c r="GX8" s="556"/>
      <c r="GY8" s="556"/>
      <c r="GZ8" s="556"/>
      <c r="HA8" s="556"/>
      <c r="HB8" s="556"/>
      <c r="HC8" s="556"/>
      <c r="HD8" s="556"/>
      <c r="HE8" s="556"/>
      <c r="HF8" s="556"/>
      <c r="HG8" s="556"/>
      <c r="HH8" s="556"/>
      <c r="HI8" s="556"/>
      <c r="HJ8" s="556"/>
      <c r="HK8" s="556"/>
      <c r="HL8" s="556"/>
      <c r="HM8" s="556"/>
      <c r="HN8" s="556"/>
      <c r="HO8" s="556"/>
      <c r="HP8" s="556"/>
      <c r="HQ8" s="556"/>
      <c r="HR8" s="556"/>
      <c r="HS8" s="556"/>
      <c r="HT8" s="556"/>
      <c r="HU8" s="556"/>
      <c r="HV8" s="556"/>
      <c r="HW8" s="556"/>
      <c r="HX8" s="556"/>
      <c r="HY8" s="556"/>
      <c r="HZ8" s="556"/>
      <c r="IA8" s="556"/>
      <c r="IB8" s="556"/>
      <c r="IC8" s="556"/>
      <c r="ID8" s="556"/>
      <c r="IE8" s="556"/>
      <c r="IF8" s="556"/>
      <c r="IG8" s="556"/>
      <c r="IH8" s="556"/>
      <c r="II8" s="556"/>
      <c r="IJ8" s="556"/>
      <c r="IK8" s="556"/>
      <c r="IL8" s="556"/>
      <c r="IM8" s="556"/>
      <c r="IN8" s="556"/>
      <c r="IO8" s="556"/>
      <c r="IP8" s="556"/>
      <c r="IQ8" s="556"/>
      <c r="IR8" s="556"/>
      <c r="IS8" s="556"/>
      <c r="IT8" s="556"/>
      <c r="IU8" s="556"/>
      <c r="IV8" s="556"/>
      <c r="IW8" s="556"/>
      <c r="IX8" s="556"/>
      <c r="IY8" s="556"/>
      <c r="IZ8" s="556"/>
      <c r="JA8" s="556"/>
      <c r="JB8" s="556"/>
      <c r="JC8" s="556"/>
      <c r="JD8" s="556"/>
      <c r="JE8" s="556"/>
      <c r="JF8" s="556"/>
      <c r="JG8" s="556"/>
      <c r="JH8" s="556"/>
      <c r="JI8" s="556"/>
      <c r="JJ8" s="556"/>
      <c r="JK8" s="556"/>
      <c r="JL8" s="556"/>
      <c r="JM8" s="556"/>
      <c r="JN8" s="556"/>
      <c r="JO8" s="556"/>
      <c r="JP8" s="556"/>
      <c r="JQ8" s="556"/>
      <c r="JR8" s="556"/>
      <c r="JS8" s="556"/>
      <c r="JT8" s="556"/>
      <c r="JU8" s="556"/>
      <c r="JV8" s="556"/>
      <c r="JW8" s="556"/>
      <c r="JX8" s="556"/>
      <c r="JY8" s="556"/>
      <c r="JZ8" s="556"/>
      <c r="KA8" s="556"/>
      <c r="KB8" s="556"/>
      <c r="KC8" s="556"/>
      <c r="KD8" s="556"/>
      <c r="KE8" s="556"/>
      <c r="KF8" s="556"/>
      <c r="KG8" s="556"/>
      <c r="KH8" s="556"/>
      <c r="KI8" s="556"/>
      <c r="KJ8" s="556"/>
      <c r="KK8" s="556"/>
      <c r="KL8" s="556"/>
      <c r="KM8" s="556"/>
      <c r="KN8" s="556"/>
      <c r="KO8" s="556"/>
      <c r="KP8" s="556"/>
      <c r="KQ8" s="556"/>
      <c r="KR8" s="556"/>
      <c r="KS8" s="556"/>
      <c r="KT8" s="556"/>
      <c r="KU8" s="556"/>
      <c r="KV8" s="556"/>
      <c r="KW8" s="556"/>
      <c r="KX8" s="556"/>
      <c r="KY8" s="556"/>
      <c r="KZ8" s="556"/>
      <c r="LA8" s="556"/>
      <c r="LB8" s="556"/>
      <c r="LC8" s="556"/>
      <c r="LD8" s="556"/>
      <c r="LE8" s="556"/>
      <c r="LF8" s="556"/>
      <c r="LG8" s="556"/>
      <c r="LH8" s="556"/>
      <c r="LI8" s="556"/>
      <c r="LJ8" s="556"/>
      <c r="LK8" s="556"/>
      <c r="LL8" s="556"/>
      <c r="LM8" s="556"/>
      <c r="LN8" s="556"/>
      <c r="LO8" s="556"/>
      <c r="LP8" s="556"/>
      <c r="LQ8" s="556"/>
      <c r="LR8" s="556"/>
      <c r="LS8" s="556"/>
      <c r="LT8" s="556"/>
      <c r="LU8" s="556"/>
      <c r="LV8" s="556"/>
      <c r="LW8" s="556"/>
      <c r="LX8" s="556"/>
      <c r="LY8" s="556"/>
      <c r="LZ8" s="556"/>
      <c r="MA8" s="556"/>
      <c r="MB8" s="556"/>
      <c r="MC8" s="556"/>
      <c r="MD8" s="556"/>
      <c r="ME8" s="556"/>
      <c r="MF8" s="556"/>
      <c r="MG8" s="556"/>
      <c r="MH8" s="556"/>
      <c r="MI8" s="556"/>
      <c r="MJ8" s="556"/>
      <c r="MK8" s="556"/>
      <c r="ML8" s="556"/>
      <c r="MM8" s="556"/>
      <c r="MN8" s="556"/>
      <c r="MO8" s="556"/>
      <c r="MP8" s="556"/>
      <c r="MQ8" s="556"/>
      <c r="MR8" s="556"/>
      <c r="MS8" s="556"/>
      <c r="MT8" s="556"/>
      <c r="MU8" s="556"/>
      <c r="MV8" s="556"/>
      <c r="MW8" s="556"/>
      <c r="MX8" s="556"/>
      <c r="MY8" s="556"/>
      <c r="MZ8" s="556"/>
      <c r="NA8" s="556"/>
      <c r="NB8" s="556"/>
      <c r="NC8" s="556"/>
      <c r="ND8" s="556"/>
      <c r="NE8" s="556"/>
      <c r="NF8" s="556"/>
      <c r="NG8" s="556"/>
      <c r="NH8" s="556"/>
      <c r="NI8" s="556"/>
      <c r="NJ8" s="556"/>
      <c r="NK8" s="556"/>
      <c r="NL8" s="556"/>
      <c r="NM8" s="556"/>
      <c r="NN8" s="556"/>
      <c r="NO8" s="556"/>
      <c r="NP8" s="556"/>
      <c r="NQ8" s="556"/>
      <c r="NR8" s="556"/>
      <c r="NS8" s="556"/>
      <c r="NT8" s="556"/>
      <c r="NU8" s="556"/>
      <c r="NV8" s="556"/>
      <c r="NW8" s="556"/>
      <c r="NX8" s="556"/>
      <c r="NY8" s="556"/>
      <c r="NZ8" s="556"/>
      <c r="OA8" s="556"/>
      <c r="OB8" s="556"/>
      <c r="OC8" s="556"/>
      <c r="OD8" s="556"/>
      <c r="OE8" s="556"/>
      <c r="OF8" s="556"/>
      <c r="OG8" s="556"/>
      <c r="OH8" s="556"/>
      <c r="OI8" s="556"/>
      <c r="OJ8" s="556"/>
      <c r="OK8" s="556"/>
      <c r="OL8" s="556"/>
      <c r="OM8" s="556"/>
      <c r="ON8" s="556"/>
      <c r="OO8" s="556"/>
      <c r="OP8" s="556"/>
      <c r="OQ8" s="556"/>
      <c r="OR8" s="556"/>
      <c r="OS8" s="556"/>
      <c r="OT8" s="556"/>
      <c r="OU8" s="556"/>
      <c r="OV8" s="556"/>
      <c r="OW8" s="556"/>
      <c r="OX8" s="556"/>
      <c r="OY8" s="556"/>
      <c r="OZ8" s="556"/>
      <c r="PA8" s="556"/>
      <c r="PB8" s="556"/>
      <c r="PC8" s="556"/>
      <c r="PD8" s="556"/>
      <c r="PE8" s="556"/>
      <c r="PF8" s="556"/>
      <c r="PG8" s="556"/>
      <c r="PH8" s="556"/>
      <c r="PI8" s="556"/>
      <c r="PJ8" s="556"/>
      <c r="PK8" s="556"/>
      <c r="PL8" s="556"/>
      <c r="PM8" s="556"/>
      <c r="PN8" s="556"/>
      <c r="PO8" s="556"/>
      <c r="PP8" s="556"/>
      <c r="PQ8" s="556"/>
      <c r="PR8" s="556"/>
      <c r="PS8" s="556"/>
      <c r="PT8" s="556"/>
      <c r="PU8" s="556"/>
      <c r="PV8" s="556"/>
      <c r="PW8" s="556"/>
      <c r="PX8" s="556"/>
      <c r="PY8" s="556"/>
      <c r="PZ8" s="556"/>
      <c r="QA8" s="556"/>
      <c r="QB8" s="556"/>
      <c r="QC8" s="556"/>
      <c r="QD8" s="556"/>
      <c r="QE8" s="556"/>
      <c r="QF8" s="556"/>
      <c r="QG8" s="556"/>
      <c r="QH8" s="556"/>
      <c r="QI8" s="556"/>
      <c r="QJ8" s="556"/>
      <c r="QK8" s="556"/>
      <c r="QL8" s="556"/>
      <c r="QM8" s="556"/>
      <c r="QN8" s="556"/>
      <c r="QO8" s="556"/>
      <c r="QP8" s="556"/>
      <c r="QQ8" s="556"/>
      <c r="QR8" s="556"/>
      <c r="QS8" s="556"/>
      <c r="QT8" s="556"/>
      <c r="QU8" s="556"/>
      <c r="QV8" s="556"/>
      <c r="QW8" s="556"/>
      <c r="QX8" s="556"/>
      <c r="QY8" s="556"/>
      <c r="QZ8" s="556"/>
      <c r="RA8" s="556"/>
      <c r="RB8" s="556"/>
      <c r="RC8" s="556"/>
      <c r="RD8" s="556"/>
      <c r="RE8" s="556"/>
      <c r="RF8" s="556"/>
      <c r="RG8" s="556"/>
      <c r="RH8" s="556"/>
      <c r="RI8" s="556"/>
      <c r="RJ8" s="556"/>
      <c r="RK8" s="556"/>
      <c r="RL8" s="556"/>
      <c r="RM8" s="556"/>
      <c r="RN8" s="556"/>
      <c r="RO8" s="556"/>
      <c r="RP8" s="556"/>
      <c r="RQ8" s="556"/>
      <c r="RR8" s="556"/>
      <c r="RS8" s="556"/>
      <c r="RT8" s="556"/>
      <c r="RU8" s="556"/>
      <c r="RV8" s="556"/>
      <c r="RW8" s="556"/>
      <c r="RX8" s="556"/>
    </row>
    <row r="9" spans="1:492" s="557" customFormat="1" ht="20.100000000000001" customHeight="1" thickBot="1">
      <c r="A9" s="567" t="s">
        <v>119</v>
      </c>
      <c r="B9" s="592" t="s">
        <v>120</v>
      </c>
      <c r="C9" s="547"/>
      <c r="D9" s="547"/>
      <c r="E9" s="547"/>
      <c r="F9" s="547"/>
      <c r="G9" s="547"/>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80">
        <v>-53.1</v>
      </c>
      <c r="AN9" s="558">
        <v>-56.999999999999993</v>
      </c>
      <c r="AO9" s="558">
        <v>-69.700000000000017</v>
      </c>
      <c r="AP9" s="558">
        <v>-60.699999999999989</v>
      </c>
      <c r="AQ9" s="579">
        <f t="shared" si="3"/>
        <v>-240.5</v>
      </c>
      <c r="AR9" s="558"/>
      <c r="AS9" s="558"/>
      <c r="AT9" s="558"/>
      <c r="AU9" s="558"/>
      <c r="AV9" s="559"/>
      <c r="AW9" s="558">
        <v>-61.2</v>
      </c>
      <c r="AX9" s="558">
        <v>-66</v>
      </c>
      <c r="AY9" s="558">
        <v>-63.600000000000009</v>
      </c>
      <c r="AZ9" s="558">
        <v>-66.399999999999977</v>
      </c>
      <c r="BA9" s="554">
        <f t="shared" si="4"/>
        <v>-257.2</v>
      </c>
      <c r="BB9" s="580">
        <v>-65.5</v>
      </c>
      <c r="BC9" s="558">
        <v>-68</v>
      </c>
      <c r="BD9" s="558">
        <v>-68.699999999999989</v>
      </c>
      <c r="BE9" s="558">
        <v>-72.599999999999994</v>
      </c>
      <c r="BF9" s="589">
        <f t="shared" si="5"/>
        <v>-274.79999999999995</v>
      </c>
      <c r="BG9" s="558">
        <v>-70.8</v>
      </c>
      <c r="BH9" s="558">
        <v>-71.000000000000014</v>
      </c>
      <c r="BI9" s="558">
        <v>-59.899999999999991</v>
      </c>
      <c r="BJ9" s="558">
        <f>-274.8-SUM(BG9:BI9)</f>
        <v>-73.100000000000023</v>
      </c>
      <c r="BK9" s="589">
        <f t="shared" si="6"/>
        <v>-274.8</v>
      </c>
      <c r="BL9" s="558">
        <v>-72.7</v>
      </c>
      <c r="BM9" s="794">
        <f>-166.3-BL9</f>
        <v>-93.600000000000009</v>
      </c>
      <c r="BN9" s="558"/>
      <c r="BO9" s="558"/>
      <c r="BP9" s="589">
        <f t="shared" si="7"/>
        <v>-166.3</v>
      </c>
      <c r="BQ9" s="556"/>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6"/>
      <c r="CP9" s="556"/>
      <c r="CQ9" s="556"/>
      <c r="CR9" s="556"/>
      <c r="CS9" s="556"/>
      <c r="CT9" s="556"/>
      <c r="CU9" s="556"/>
      <c r="CV9" s="556"/>
      <c r="CW9" s="556"/>
      <c r="CX9" s="556"/>
      <c r="CY9" s="556"/>
      <c r="CZ9" s="556"/>
      <c r="DA9" s="556"/>
      <c r="DB9" s="556"/>
      <c r="DC9" s="556"/>
      <c r="DD9" s="556"/>
      <c r="DE9" s="556"/>
      <c r="DF9" s="556"/>
      <c r="DG9" s="556"/>
      <c r="DH9" s="556"/>
      <c r="DI9" s="556"/>
      <c r="DJ9" s="556"/>
      <c r="DK9" s="556"/>
      <c r="DL9" s="556"/>
      <c r="DM9" s="556"/>
      <c r="DN9" s="556"/>
      <c r="DO9" s="556"/>
      <c r="DP9" s="556"/>
      <c r="DQ9" s="556"/>
      <c r="DR9" s="556"/>
      <c r="DS9" s="556"/>
      <c r="DT9" s="556"/>
      <c r="DU9" s="556"/>
      <c r="DV9" s="556"/>
      <c r="DW9" s="556"/>
      <c r="DX9" s="556"/>
      <c r="DY9" s="556"/>
      <c r="DZ9" s="556"/>
      <c r="EA9" s="556"/>
      <c r="EB9" s="556"/>
      <c r="EC9" s="556"/>
      <c r="ED9" s="556"/>
      <c r="EE9" s="556"/>
      <c r="EF9" s="556"/>
      <c r="EG9" s="556"/>
      <c r="EH9" s="556"/>
      <c r="EI9" s="556"/>
      <c r="EJ9" s="556"/>
      <c r="EK9" s="556"/>
      <c r="EL9" s="556"/>
      <c r="EM9" s="556"/>
      <c r="EN9" s="556"/>
      <c r="EO9" s="556"/>
      <c r="EP9" s="556"/>
      <c r="EQ9" s="556"/>
      <c r="ER9" s="556"/>
      <c r="ES9" s="556"/>
      <c r="ET9" s="556"/>
      <c r="EU9" s="556"/>
      <c r="EV9" s="556"/>
      <c r="EW9" s="556"/>
      <c r="EX9" s="556"/>
      <c r="EY9" s="556"/>
      <c r="EZ9" s="556"/>
      <c r="FA9" s="556"/>
      <c r="FB9" s="556"/>
      <c r="FC9" s="556"/>
      <c r="FD9" s="556"/>
      <c r="FE9" s="556"/>
      <c r="FF9" s="556"/>
      <c r="FG9" s="556"/>
      <c r="FH9" s="556"/>
      <c r="FI9" s="556"/>
      <c r="FJ9" s="556"/>
      <c r="FK9" s="556"/>
      <c r="FL9" s="556"/>
      <c r="FM9" s="556"/>
      <c r="FN9" s="556"/>
      <c r="FO9" s="556"/>
      <c r="FP9" s="556"/>
      <c r="FQ9" s="556"/>
      <c r="FR9" s="556"/>
      <c r="FS9" s="556"/>
      <c r="FT9" s="556"/>
      <c r="FU9" s="556"/>
      <c r="FV9" s="556"/>
      <c r="FW9" s="556"/>
      <c r="FX9" s="556"/>
      <c r="FY9" s="556"/>
      <c r="FZ9" s="556"/>
      <c r="GA9" s="556"/>
      <c r="GB9" s="556"/>
      <c r="GC9" s="556"/>
      <c r="GD9" s="556"/>
      <c r="GE9" s="556"/>
      <c r="GF9" s="556"/>
      <c r="GG9" s="556"/>
      <c r="GH9" s="556"/>
      <c r="GI9" s="556"/>
      <c r="GJ9" s="556"/>
      <c r="GK9" s="556"/>
      <c r="GL9" s="556"/>
      <c r="GM9" s="556"/>
      <c r="GN9" s="556"/>
      <c r="GO9" s="556"/>
      <c r="GP9" s="556"/>
      <c r="GQ9" s="556"/>
      <c r="GR9" s="556"/>
      <c r="GS9" s="556"/>
      <c r="GT9" s="556"/>
      <c r="GU9" s="556"/>
      <c r="GV9" s="556"/>
      <c r="GW9" s="556"/>
      <c r="GX9" s="556"/>
      <c r="GY9" s="556"/>
      <c r="GZ9" s="556"/>
      <c r="HA9" s="556"/>
      <c r="HB9" s="556"/>
      <c r="HC9" s="556"/>
      <c r="HD9" s="556"/>
      <c r="HE9" s="556"/>
      <c r="HF9" s="556"/>
      <c r="HG9" s="556"/>
      <c r="HH9" s="556"/>
      <c r="HI9" s="556"/>
      <c r="HJ9" s="556"/>
      <c r="HK9" s="556"/>
      <c r="HL9" s="556"/>
      <c r="HM9" s="556"/>
      <c r="HN9" s="556"/>
      <c r="HO9" s="556"/>
      <c r="HP9" s="556"/>
      <c r="HQ9" s="556"/>
      <c r="HR9" s="556"/>
      <c r="HS9" s="556"/>
      <c r="HT9" s="556"/>
      <c r="HU9" s="556"/>
      <c r="HV9" s="556"/>
      <c r="HW9" s="556"/>
      <c r="HX9" s="556"/>
      <c r="HY9" s="556"/>
      <c r="HZ9" s="556"/>
      <c r="IA9" s="556"/>
      <c r="IB9" s="556"/>
      <c r="IC9" s="556"/>
      <c r="ID9" s="556"/>
      <c r="IE9" s="556"/>
      <c r="IF9" s="556"/>
      <c r="IG9" s="556"/>
      <c r="IH9" s="556"/>
      <c r="II9" s="556"/>
      <c r="IJ9" s="556"/>
      <c r="IK9" s="556"/>
      <c r="IL9" s="556"/>
      <c r="IM9" s="556"/>
      <c r="IN9" s="556"/>
      <c r="IO9" s="556"/>
      <c r="IP9" s="556"/>
      <c r="IQ9" s="556"/>
      <c r="IR9" s="556"/>
      <c r="IS9" s="556"/>
      <c r="IT9" s="556"/>
      <c r="IU9" s="556"/>
      <c r="IV9" s="556"/>
      <c r="IW9" s="556"/>
      <c r="IX9" s="556"/>
      <c r="IY9" s="556"/>
      <c r="IZ9" s="556"/>
      <c r="JA9" s="556"/>
      <c r="JB9" s="556"/>
      <c r="JC9" s="556"/>
      <c r="JD9" s="556"/>
      <c r="JE9" s="556"/>
      <c r="JF9" s="556"/>
      <c r="JG9" s="556"/>
      <c r="JH9" s="556"/>
      <c r="JI9" s="556"/>
      <c r="JJ9" s="556"/>
      <c r="JK9" s="556"/>
      <c r="JL9" s="556"/>
      <c r="JM9" s="556"/>
      <c r="JN9" s="556"/>
      <c r="JO9" s="556"/>
      <c r="JP9" s="556"/>
      <c r="JQ9" s="556"/>
      <c r="JR9" s="556"/>
      <c r="JS9" s="556"/>
      <c r="JT9" s="556"/>
      <c r="JU9" s="556"/>
      <c r="JV9" s="556"/>
      <c r="JW9" s="556"/>
      <c r="JX9" s="556"/>
      <c r="JY9" s="556"/>
      <c r="JZ9" s="556"/>
      <c r="KA9" s="556"/>
      <c r="KB9" s="556"/>
      <c r="KC9" s="556"/>
      <c r="KD9" s="556"/>
      <c r="KE9" s="556"/>
      <c r="KF9" s="556"/>
      <c r="KG9" s="556"/>
      <c r="KH9" s="556"/>
      <c r="KI9" s="556"/>
      <c r="KJ9" s="556"/>
      <c r="KK9" s="556"/>
      <c r="KL9" s="556"/>
      <c r="KM9" s="556"/>
      <c r="KN9" s="556"/>
      <c r="KO9" s="556"/>
      <c r="KP9" s="556"/>
      <c r="KQ9" s="556"/>
      <c r="KR9" s="556"/>
      <c r="KS9" s="556"/>
      <c r="KT9" s="556"/>
      <c r="KU9" s="556"/>
      <c r="KV9" s="556"/>
      <c r="KW9" s="556"/>
      <c r="KX9" s="556"/>
      <c r="KY9" s="556"/>
      <c r="KZ9" s="556"/>
      <c r="LA9" s="556"/>
      <c r="LB9" s="556"/>
      <c r="LC9" s="556"/>
      <c r="LD9" s="556"/>
      <c r="LE9" s="556"/>
      <c r="LF9" s="556"/>
      <c r="LG9" s="556"/>
      <c r="LH9" s="556"/>
      <c r="LI9" s="556"/>
      <c r="LJ9" s="556"/>
      <c r="LK9" s="556"/>
      <c r="LL9" s="556"/>
      <c r="LM9" s="556"/>
      <c r="LN9" s="556"/>
      <c r="LO9" s="556"/>
      <c r="LP9" s="556"/>
      <c r="LQ9" s="556"/>
      <c r="LR9" s="556"/>
      <c r="LS9" s="556"/>
      <c r="LT9" s="556"/>
      <c r="LU9" s="556"/>
      <c r="LV9" s="556"/>
      <c r="LW9" s="556"/>
      <c r="LX9" s="556"/>
      <c r="LY9" s="556"/>
      <c r="LZ9" s="556"/>
      <c r="MA9" s="556"/>
      <c r="MB9" s="556"/>
      <c r="MC9" s="556"/>
      <c r="MD9" s="556"/>
      <c r="ME9" s="556"/>
      <c r="MF9" s="556"/>
      <c r="MG9" s="556"/>
      <c r="MH9" s="556"/>
      <c r="MI9" s="556"/>
      <c r="MJ9" s="556"/>
      <c r="MK9" s="556"/>
      <c r="ML9" s="556"/>
      <c r="MM9" s="556"/>
      <c r="MN9" s="556"/>
      <c r="MO9" s="556"/>
      <c r="MP9" s="556"/>
      <c r="MQ9" s="556"/>
      <c r="MR9" s="556"/>
      <c r="MS9" s="556"/>
      <c r="MT9" s="556"/>
      <c r="MU9" s="556"/>
      <c r="MV9" s="556"/>
      <c r="MW9" s="556"/>
      <c r="MX9" s="556"/>
      <c r="MY9" s="556"/>
      <c r="MZ9" s="556"/>
      <c r="NA9" s="556"/>
      <c r="NB9" s="556"/>
      <c r="NC9" s="556"/>
      <c r="ND9" s="556"/>
      <c r="NE9" s="556"/>
      <c r="NF9" s="556"/>
      <c r="NG9" s="556"/>
      <c r="NH9" s="556"/>
      <c r="NI9" s="556"/>
      <c r="NJ9" s="556"/>
      <c r="NK9" s="556"/>
      <c r="NL9" s="556"/>
      <c r="NM9" s="556"/>
      <c r="NN9" s="556"/>
      <c r="NO9" s="556"/>
      <c r="NP9" s="556"/>
      <c r="NQ9" s="556"/>
      <c r="NR9" s="556"/>
      <c r="NS9" s="556"/>
      <c r="NT9" s="556"/>
      <c r="NU9" s="556"/>
      <c r="NV9" s="556"/>
      <c r="NW9" s="556"/>
      <c r="NX9" s="556"/>
      <c r="NY9" s="556"/>
      <c r="NZ9" s="556"/>
      <c r="OA9" s="556"/>
      <c r="OB9" s="556"/>
      <c r="OC9" s="556"/>
      <c r="OD9" s="556"/>
      <c r="OE9" s="556"/>
      <c r="OF9" s="556"/>
      <c r="OG9" s="556"/>
      <c r="OH9" s="556"/>
      <c r="OI9" s="556"/>
      <c r="OJ9" s="556"/>
      <c r="OK9" s="556"/>
      <c r="OL9" s="556"/>
      <c r="OM9" s="556"/>
      <c r="ON9" s="556"/>
      <c r="OO9" s="556"/>
      <c r="OP9" s="556"/>
      <c r="OQ9" s="556"/>
      <c r="OR9" s="556"/>
      <c r="OS9" s="556"/>
      <c r="OT9" s="556"/>
      <c r="OU9" s="556"/>
      <c r="OV9" s="556"/>
      <c r="OW9" s="556"/>
      <c r="OX9" s="556"/>
      <c r="OY9" s="556"/>
      <c r="OZ9" s="556"/>
      <c r="PA9" s="556"/>
      <c r="PB9" s="556"/>
      <c r="PC9" s="556"/>
      <c r="PD9" s="556"/>
      <c r="PE9" s="556"/>
      <c r="PF9" s="556"/>
      <c r="PG9" s="556"/>
      <c r="PH9" s="556"/>
      <c r="PI9" s="556"/>
      <c r="PJ9" s="556"/>
      <c r="PK9" s="556"/>
      <c r="PL9" s="556"/>
      <c r="PM9" s="556"/>
      <c r="PN9" s="556"/>
      <c r="PO9" s="556"/>
      <c r="PP9" s="556"/>
      <c r="PQ9" s="556"/>
      <c r="PR9" s="556"/>
      <c r="PS9" s="556"/>
      <c r="PT9" s="556"/>
      <c r="PU9" s="556"/>
      <c r="PV9" s="556"/>
      <c r="PW9" s="556"/>
      <c r="PX9" s="556"/>
      <c r="PY9" s="556"/>
      <c r="PZ9" s="556"/>
      <c r="QA9" s="556"/>
      <c r="QB9" s="556"/>
      <c r="QC9" s="556"/>
      <c r="QD9" s="556"/>
      <c r="QE9" s="556"/>
      <c r="QF9" s="556"/>
      <c r="QG9" s="556"/>
      <c r="QH9" s="556"/>
      <c r="QI9" s="556"/>
      <c r="QJ9" s="556"/>
      <c r="QK9" s="556"/>
      <c r="QL9" s="556"/>
      <c r="QM9" s="556"/>
      <c r="QN9" s="556"/>
      <c r="QO9" s="556"/>
      <c r="QP9" s="556"/>
      <c r="QQ9" s="556"/>
      <c r="QR9" s="556"/>
      <c r="QS9" s="556"/>
      <c r="QT9" s="556"/>
      <c r="QU9" s="556"/>
      <c r="QV9" s="556"/>
      <c r="QW9" s="556"/>
      <c r="QX9" s="556"/>
      <c r="QY9" s="556"/>
      <c r="QZ9" s="556"/>
      <c r="RA9" s="556"/>
      <c r="RB9" s="556"/>
      <c r="RC9" s="556"/>
      <c r="RD9" s="556"/>
      <c r="RE9" s="556"/>
      <c r="RF9" s="556"/>
      <c r="RG9" s="556"/>
      <c r="RH9" s="556"/>
      <c r="RI9" s="556"/>
      <c r="RJ9" s="556"/>
      <c r="RK9" s="556"/>
      <c r="RL9" s="556"/>
      <c r="RM9" s="556"/>
      <c r="RN9" s="556"/>
      <c r="RO9" s="556"/>
      <c r="RP9" s="556"/>
      <c r="RQ9" s="556"/>
      <c r="RR9" s="556"/>
      <c r="RS9" s="556"/>
      <c r="RT9" s="556"/>
      <c r="RU9" s="556"/>
      <c r="RV9" s="556"/>
      <c r="RW9" s="556"/>
      <c r="RX9" s="556"/>
    </row>
    <row r="10" spans="1:492" s="65" customFormat="1" ht="20.25" customHeight="1" thickBot="1">
      <c r="A10" s="568" t="s">
        <v>121</v>
      </c>
      <c r="B10" s="593" t="s">
        <v>122</v>
      </c>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581"/>
      <c r="AN10" s="431"/>
      <c r="AO10" s="431"/>
      <c r="AP10" s="431"/>
      <c r="AQ10" s="582"/>
      <c r="AR10" s="431"/>
      <c r="AS10" s="431"/>
      <c r="AT10" s="431"/>
      <c r="AU10" s="431"/>
      <c r="AV10" s="432"/>
      <c r="AW10" s="431"/>
      <c r="AX10" s="431"/>
      <c r="AY10" s="431"/>
      <c r="AZ10" s="431"/>
      <c r="BA10" s="573"/>
      <c r="BB10" s="581">
        <f>BB18</f>
        <v>1026.7</v>
      </c>
      <c r="BC10" s="431">
        <f>SUM(BC11:BC12)</f>
        <v>1001.4999999999999</v>
      </c>
      <c r="BD10" s="431">
        <f t="shared" ref="BD10:BF10" si="8">SUM(BD11:BD12)</f>
        <v>1082.0999999999999</v>
      </c>
      <c r="BE10" s="431">
        <f t="shared" si="8"/>
        <v>1127.5</v>
      </c>
      <c r="BF10" s="582">
        <f t="shared" si="8"/>
        <v>4237.8</v>
      </c>
      <c r="BG10" s="431">
        <f t="shared" ref="BG10:BH10" si="9">SUM(BG11:BG12)</f>
        <v>1082.7</v>
      </c>
      <c r="BH10" s="431">
        <f t="shared" si="9"/>
        <v>1140.9000000000001</v>
      </c>
      <c r="BI10" s="431">
        <f>SUM(BI11:BI12)</f>
        <v>904.19999999999993</v>
      </c>
      <c r="BJ10" s="431">
        <f>SUM(BJ11:BJ12)</f>
        <v>891.19999999999993</v>
      </c>
      <c r="BK10" s="582">
        <f>SUM(BK11:BK12)</f>
        <v>4019</v>
      </c>
      <c r="BL10" s="431">
        <f>SUM(BL11:BL14)</f>
        <v>800.7</v>
      </c>
      <c r="BM10" s="795">
        <f>SUM(BM11:BM14)</f>
        <v>893.3</v>
      </c>
      <c r="BN10" s="431">
        <f t="shared" ref="BN10:BO10" si="10">SUM(BN11:BN14)</f>
        <v>0</v>
      </c>
      <c r="BO10" s="431">
        <f t="shared" si="10"/>
        <v>0</v>
      </c>
      <c r="BP10" s="582">
        <f>SUM(BP11:BP14)</f>
        <v>1694</v>
      </c>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row>
    <row r="11" spans="1:492" s="550" customFormat="1" ht="20.100000000000001" customHeight="1">
      <c r="A11" s="569" t="s">
        <v>113</v>
      </c>
      <c r="B11" s="594" t="s">
        <v>114</v>
      </c>
      <c r="C11" s="551"/>
      <c r="D11" s="551"/>
      <c r="E11" s="551"/>
      <c r="F11" s="551"/>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83"/>
      <c r="AN11" s="552"/>
      <c r="AO11" s="552"/>
      <c r="AP11" s="552"/>
      <c r="AQ11" s="584"/>
      <c r="AR11" s="553"/>
      <c r="AS11" s="553"/>
      <c r="AT11" s="553"/>
      <c r="AU11" s="553"/>
      <c r="AV11" s="553"/>
      <c r="AW11" s="552"/>
      <c r="AX11" s="552"/>
      <c r="AY11" s="552"/>
      <c r="AZ11" s="552"/>
      <c r="BA11" s="552"/>
      <c r="BB11" s="590">
        <v>879.6</v>
      </c>
      <c r="BC11" s="554">
        <v>879.19999999999993</v>
      </c>
      <c r="BD11" s="554">
        <v>946.89999999999986</v>
      </c>
      <c r="BE11" s="554">
        <v>925.9</v>
      </c>
      <c r="BF11" s="579">
        <f>SUM(BB11:BE11)</f>
        <v>3631.6</v>
      </c>
      <c r="BG11" s="554">
        <v>936.6</v>
      </c>
      <c r="BH11" s="554">
        <v>951.80000000000007</v>
      </c>
      <c r="BI11" s="554">
        <v>786.3</v>
      </c>
      <c r="BJ11" s="554">
        <f>3389.7-SUM(BG11:BI11)</f>
        <v>715</v>
      </c>
      <c r="BK11" s="598">
        <f>SUM(BG11:BJ11)</f>
        <v>3389.7</v>
      </c>
      <c r="BL11" s="554">
        <v>704.1</v>
      </c>
      <c r="BM11" s="796">
        <f>1453.5-BL11</f>
        <v>749.4</v>
      </c>
      <c r="BN11" s="554"/>
      <c r="BO11" s="554"/>
      <c r="BP11" s="598">
        <f>SUM(BL11:BO11)</f>
        <v>1453.5</v>
      </c>
      <c r="BQ11" s="549"/>
      <c r="BR11" s="549"/>
      <c r="BS11" s="549"/>
      <c r="BT11" s="549"/>
      <c r="BU11" s="549"/>
      <c r="BV11" s="549"/>
      <c r="BW11" s="549"/>
      <c r="BX11" s="549"/>
      <c r="BY11" s="549"/>
      <c r="BZ11" s="549"/>
      <c r="CA11" s="549"/>
      <c r="CB11" s="549"/>
      <c r="CC11" s="549"/>
      <c r="CD11" s="549"/>
      <c r="CE11" s="549"/>
      <c r="CF11" s="549"/>
      <c r="CG11" s="549"/>
      <c r="CH11" s="549"/>
      <c r="CI11" s="549"/>
      <c r="CJ11" s="549"/>
      <c r="CK11" s="549"/>
      <c r="CL11" s="549"/>
      <c r="CM11" s="549"/>
      <c r="CN11" s="549"/>
      <c r="CO11" s="549"/>
      <c r="CP11" s="549"/>
      <c r="CQ11" s="549"/>
      <c r="CR11" s="549"/>
      <c r="CS11" s="549"/>
      <c r="CT11" s="549"/>
      <c r="CU11" s="549"/>
      <c r="CV11" s="549"/>
      <c r="CW11" s="549"/>
      <c r="CX11" s="549"/>
      <c r="CY11" s="549"/>
      <c r="CZ11" s="549"/>
      <c r="DA11" s="549"/>
      <c r="DB11" s="549"/>
      <c r="DC11" s="549"/>
      <c r="DD11" s="549"/>
      <c r="DE11" s="549"/>
      <c r="DF11" s="549"/>
      <c r="DG11" s="549"/>
      <c r="DH11" s="549"/>
      <c r="DI11" s="549"/>
      <c r="DJ11" s="549"/>
      <c r="DK11" s="549"/>
      <c r="DL11" s="549"/>
      <c r="DM11" s="549"/>
      <c r="DN11" s="549"/>
      <c r="DO11" s="549"/>
      <c r="DP11" s="549"/>
      <c r="DQ11" s="549"/>
      <c r="DR11" s="549"/>
      <c r="DS11" s="549"/>
      <c r="DT11" s="549"/>
      <c r="DU11" s="549"/>
      <c r="DV11" s="549"/>
      <c r="DW11" s="549"/>
      <c r="DX11" s="549"/>
      <c r="DY11" s="549"/>
      <c r="DZ11" s="549"/>
      <c r="EA11" s="549"/>
      <c r="EB11" s="549"/>
      <c r="EC11" s="549"/>
      <c r="ED11" s="549"/>
      <c r="EE11" s="549"/>
      <c r="EF11" s="549"/>
      <c r="EG11" s="549"/>
      <c r="EH11" s="549"/>
      <c r="EI11" s="549"/>
      <c r="EJ11" s="549"/>
      <c r="EK11" s="549"/>
      <c r="EL11" s="549"/>
      <c r="EM11" s="549"/>
      <c r="EN11" s="549"/>
      <c r="EO11" s="549"/>
      <c r="EP11" s="549"/>
      <c r="EQ11" s="549"/>
      <c r="ER11" s="549"/>
      <c r="ES11" s="549"/>
      <c r="ET11" s="549"/>
      <c r="EU11" s="549"/>
      <c r="EV11" s="549"/>
      <c r="EW11" s="549"/>
      <c r="EX11" s="549"/>
      <c r="EY11" s="549"/>
      <c r="EZ11" s="549"/>
      <c r="FA11" s="549"/>
      <c r="FB11" s="549"/>
      <c r="FC11" s="549"/>
      <c r="FD11" s="549"/>
      <c r="FE11" s="549"/>
      <c r="FF11" s="549"/>
      <c r="FG11" s="549"/>
      <c r="FH11" s="549"/>
      <c r="FI11" s="549"/>
      <c r="FJ11" s="549"/>
      <c r="FK11" s="549"/>
      <c r="FL11" s="549"/>
      <c r="FM11" s="549"/>
      <c r="FN11" s="549"/>
      <c r="FO11" s="549"/>
      <c r="FP11" s="549"/>
      <c r="FQ11" s="549"/>
      <c r="FR11" s="549"/>
      <c r="FS11" s="549"/>
      <c r="FT11" s="549"/>
      <c r="FU11" s="549"/>
      <c r="FV11" s="549"/>
      <c r="FW11" s="549"/>
      <c r="FX11" s="549"/>
      <c r="FY11" s="549"/>
      <c r="FZ11" s="549"/>
      <c r="GA11" s="549"/>
      <c r="GB11" s="549"/>
      <c r="GC11" s="549"/>
      <c r="GD11" s="549"/>
      <c r="GE11" s="549"/>
      <c r="GF11" s="549"/>
      <c r="GG11" s="549"/>
      <c r="GH11" s="549"/>
      <c r="GI11" s="549"/>
      <c r="GJ11" s="549"/>
      <c r="GK11" s="549"/>
      <c r="GL11" s="549"/>
      <c r="GM11" s="549"/>
      <c r="GN11" s="549"/>
      <c r="GO11" s="549"/>
      <c r="GP11" s="549"/>
      <c r="GQ11" s="549"/>
      <c r="GR11" s="549"/>
      <c r="GS11" s="549"/>
      <c r="GT11" s="549"/>
      <c r="GU11" s="549"/>
      <c r="GV11" s="549"/>
      <c r="GW11" s="549"/>
      <c r="GX11" s="549"/>
      <c r="GY11" s="549"/>
      <c r="GZ11" s="549"/>
      <c r="HA11" s="549"/>
      <c r="HB11" s="549"/>
      <c r="HC11" s="549"/>
      <c r="HD11" s="549"/>
      <c r="HE11" s="549"/>
      <c r="HF11" s="549"/>
      <c r="HG11" s="549"/>
      <c r="HH11" s="549"/>
      <c r="HI11" s="549"/>
      <c r="HJ11" s="549"/>
      <c r="HK11" s="549"/>
      <c r="HL11" s="549"/>
      <c r="HM11" s="549"/>
      <c r="HN11" s="549"/>
      <c r="HO11" s="549"/>
      <c r="HP11" s="549"/>
      <c r="HQ11" s="549"/>
      <c r="HR11" s="549"/>
      <c r="HS11" s="549"/>
      <c r="HT11" s="549"/>
      <c r="HU11" s="549"/>
      <c r="HV11" s="549"/>
      <c r="HW11" s="549"/>
      <c r="HX11" s="549"/>
      <c r="HY11" s="549"/>
      <c r="HZ11" s="549"/>
      <c r="IA11" s="549"/>
      <c r="IB11" s="549"/>
      <c r="IC11" s="549"/>
      <c r="ID11" s="549"/>
      <c r="IE11" s="549"/>
      <c r="IF11" s="549"/>
      <c r="IG11" s="549"/>
      <c r="IH11" s="549"/>
      <c r="II11" s="549"/>
      <c r="IJ11" s="549"/>
      <c r="IK11" s="549"/>
      <c r="IL11" s="549"/>
      <c r="IM11" s="549"/>
      <c r="IN11" s="549"/>
      <c r="IO11" s="549"/>
      <c r="IP11" s="549"/>
      <c r="IQ11" s="549"/>
      <c r="IR11" s="549"/>
      <c r="IS11" s="549"/>
      <c r="IT11" s="549"/>
      <c r="IU11" s="549"/>
      <c r="IV11" s="549"/>
      <c r="IW11" s="549"/>
      <c r="IX11" s="549"/>
      <c r="IY11" s="549"/>
      <c r="IZ11" s="549"/>
      <c r="JA11" s="549"/>
      <c r="JB11" s="549"/>
      <c r="JC11" s="549"/>
      <c r="JD11" s="549"/>
      <c r="JE11" s="549"/>
      <c r="JF11" s="549"/>
      <c r="JG11" s="549"/>
      <c r="JH11" s="549"/>
      <c r="JI11" s="549"/>
      <c r="JJ11" s="549"/>
      <c r="JK11" s="549"/>
      <c r="JL11" s="549"/>
      <c r="JM11" s="549"/>
      <c r="JN11" s="549"/>
      <c r="JO11" s="549"/>
      <c r="JP11" s="549"/>
      <c r="JQ11" s="549"/>
      <c r="JR11" s="549"/>
      <c r="JS11" s="549"/>
      <c r="JT11" s="549"/>
      <c r="JU11" s="549"/>
      <c r="JV11" s="549"/>
      <c r="JW11" s="549"/>
      <c r="JX11" s="549"/>
      <c r="JY11" s="549"/>
      <c r="JZ11" s="549"/>
      <c r="KA11" s="549"/>
      <c r="KB11" s="549"/>
      <c r="KC11" s="549"/>
      <c r="KD11" s="549"/>
      <c r="KE11" s="549"/>
      <c r="KF11" s="549"/>
      <c r="KG11" s="549"/>
      <c r="KH11" s="549"/>
      <c r="KI11" s="549"/>
      <c r="KJ11" s="549"/>
      <c r="KK11" s="549"/>
      <c r="KL11" s="549"/>
      <c r="KM11" s="549"/>
      <c r="KN11" s="549"/>
      <c r="KO11" s="549"/>
      <c r="KP11" s="549"/>
      <c r="KQ11" s="549"/>
      <c r="KR11" s="549"/>
      <c r="KS11" s="549"/>
      <c r="KT11" s="549"/>
      <c r="KU11" s="549"/>
      <c r="KV11" s="549"/>
      <c r="KW11" s="549"/>
      <c r="KX11" s="549"/>
      <c r="KY11" s="549"/>
      <c r="KZ11" s="549"/>
      <c r="LA11" s="549"/>
      <c r="LB11" s="549"/>
      <c r="LC11" s="549"/>
      <c r="LD11" s="549"/>
      <c r="LE11" s="549"/>
      <c r="LF11" s="549"/>
      <c r="LG11" s="549"/>
      <c r="LH11" s="549"/>
      <c r="LI11" s="549"/>
      <c r="LJ11" s="549"/>
      <c r="LK11" s="549"/>
      <c r="LL11" s="549"/>
      <c r="LM11" s="549"/>
      <c r="LN11" s="549"/>
      <c r="LO11" s="549"/>
      <c r="LP11" s="549"/>
      <c r="LQ11" s="549"/>
      <c r="LR11" s="549"/>
      <c r="LS11" s="549"/>
      <c r="LT11" s="549"/>
      <c r="LU11" s="549"/>
      <c r="LV11" s="549"/>
      <c r="LW11" s="549"/>
      <c r="LX11" s="549"/>
      <c r="LY11" s="549"/>
      <c r="LZ11" s="549"/>
      <c r="MA11" s="549"/>
      <c r="MB11" s="549"/>
      <c r="MC11" s="549"/>
      <c r="MD11" s="549"/>
      <c r="ME11" s="549"/>
      <c r="MF11" s="549"/>
      <c r="MG11" s="549"/>
      <c r="MH11" s="549"/>
      <c r="MI11" s="549"/>
      <c r="MJ11" s="549"/>
      <c r="MK11" s="549"/>
      <c r="ML11" s="549"/>
      <c r="MM11" s="549"/>
      <c r="MN11" s="549"/>
      <c r="MO11" s="549"/>
      <c r="MP11" s="549"/>
      <c r="MQ11" s="549"/>
      <c r="MR11" s="549"/>
      <c r="MS11" s="549"/>
      <c r="MT11" s="549"/>
      <c r="MU11" s="549"/>
      <c r="MV11" s="549"/>
      <c r="MW11" s="549"/>
      <c r="MX11" s="549"/>
      <c r="MY11" s="549"/>
      <c r="MZ11" s="549"/>
      <c r="NA11" s="549"/>
      <c r="NB11" s="549"/>
      <c r="NC11" s="549"/>
      <c r="ND11" s="549"/>
      <c r="NE11" s="549"/>
      <c r="NF11" s="549"/>
      <c r="NG11" s="549"/>
      <c r="NH11" s="549"/>
      <c r="NI11" s="549"/>
      <c r="NJ11" s="549"/>
      <c r="NK11" s="549"/>
      <c r="NL11" s="549"/>
      <c r="NM11" s="549"/>
      <c r="NN11" s="549"/>
      <c r="NO11" s="549"/>
      <c r="NP11" s="549"/>
      <c r="NQ11" s="549"/>
      <c r="NR11" s="549"/>
      <c r="NS11" s="549"/>
      <c r="NT11" s="549"/>
      <c r="NU11" s="549"/>
      <c r="NV11" s="549"/>
      <c r="NW11" s="549"/>
      <c r="NX11" s="549"/>
      <c r="NY11" s="549"/>
      <c r="NZ11" s="549"/>
      <c r="OA11" s="549"/>
      <c r="OB11" s="549"/>
      <c r="OC11" s="549"/>
      <c r="OD11" s="549"/>
      <c r="OE11" s="549"/>
      <c r="OF11" s="549"/>
      <c r="OG11" s="549"/>
      <c r="OH11" s="549"/>
      <c r="OI11" s="549"/>
      <c r="OJ11" s="549"/>
      <c r="OK11" s="549"/>
      <c r="OL11" s="549"/>
      <c r="OM11" s="549"/>
      <c r="ON11" s="549"/>
      <c r="OO11" s="549"/>
      <c r="OP11" s="549"/>
      <c r="OQ11" s="549"/>
      <c r="OR11" s="549"/>
      <c r="OS11" s="549"/>
      <c r="OT11" s="549"/>
      <c r="OU11" s="549"/>
      <c r="OV11" s="549"/>
      <c r="OW11" s="549"/>
      <c r="OX11" s="549"/>
      <c r="OY11" s="549"/>
      <c r="OZ11" s="549"/>
      <c r="PA11" s="549"/>
      <c r="PB11" s="549"/>
      <c r="PC11" s="549"/>
      <c r="PD11" s="549"/>
      <c r="PE11" s="549"/>
      <c r="PF11" s="549"/>
      <c r="PG11" s="549"/>
      <c r="PH11" s="549"/>
      <c r="PI11" s="549"/>
      <c r="PJ11" s="549"/>
      <c r="PK11" s="549"/>
      <c r="PL11" s="549"/>
      <c r="PM11" s="549"/>
      <c r="PN11" s="549"/>
      <c r="PO11" s="549"/>
      <c r="PP11" s="549"/>
      <c r="PQ11" s="549"/>
      <c r="PR11" s="549"/>
      <c r="PS11" s="549"/>
      <c r="PT11" s="549"/>
      <c r="PU11" s="549"/>
      <c r="PV11" s="549"/>
      <c r="PW11" s="549"/>
      <c r="PX11" s="549"/>
      <c r="PY11" s="549"/>
      <c r="PZ11" s="549"/>
      <c r="QA11" s="549"/>
      <c r="QB11" s="549"/>
      <c r="QC11" s="549"/>
      <c r="QD11" s="549"/>
      <c r="QE11" s="549"/>
      <c r="QF11" s="549"/>
      <c r="QG11" s="549"/>
      <c r="QH11" s="549"/>
      <c r="QI11" s="549"/>
      <c r="QJ11" s="549"/>
      <c r="QK11" s="549"/>
      <c r="QL11" s="549"/>
      <c r="QM11" s="549"/>
      <c r="QN11" s="549"/>
      <c r="QO11" s="549"/>
      <c r="QP11" s="549"/>
      <c r="QQ11" s="549"/>
      <c r="QR11" s="549"/>
      <c r="QS11" s="549"/>
      <c r="QT11" s="549"/>
      <c r="QU11" s="549"/>
      <c r="QV11" s="549"/>
      <c r="QW11" s="549"/>
      <c r="QX11" s="549"/>
      <c r="QY11" s="549"/>
      <c r="QZ11" s="549"/>
      <c r="RA11" s="549"/>
      <c r="RB11" s="549"/>
      <c r="RC11" s="549"/>
      <c r="RD11" s="549"/>
      <c r="RE11" s="549"/>
      <c r="RF11" s="549"/>
      <c r="RG11" s="549"/>
      <c r="RH11" s="549"/>
      <c r="RI11" s="549"/>
      <c r="RJ11" s="549"/>
      <c r="RK11" s="549"/>
      <c r="RL11" s="549"/>
      <c r="RM11" s="549"/>
      <c r="RN11" s="549"/>
      <c r="RO11" s="549"/>
      <c r="RP11" s="549"/>
      <c r="RQ11" s="549"/>
      <c r="RR11" s="549"/>
      <c r="RS11" s="549"/>
      <c r="RT11" s="549"/>
      <c r="RU11" s="549"/>
      <c r="RV11" s="549"/>
      <c r="RW11" s="549"/>
      <c r="RX11" s="549"/>
    </row>
    <row r="12" spans="1:492" s="550" customFormat="1" ht="20.100000000000001" customHeight="1">
      <c r="A12" s="569" t="s">
        <v>115</v>
      </c>
      <c r="B12" s="594" t="s">
        <v>116</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83"/>
      <c r="AN12" s="552"/>
      <c r="AO12" s="552"/>
      <c r="AP12" s="552"/>
      <c r="AQ12" s="584"/>
      <c r="AR12" s="553"/>
      <c r="AS12" s="553"/>
      <c r="AT12" s="553"/>
      <c r="AU12" s="553"/>
      <c r="AV12" s="553"/>
      <c r="AW12" s="552"/>
      <c r="AX12" s="552"/>
      <c r="AY12" s="552"/>
      <c r="AZ12" s="552"/>
      <c r="BA12" s="552"/>
      <c r="BB12" s="590">
        <v>147.1</v>
      </c>
      <c r="BC12" s="554">
        <v>122.29999999999998</v>
      </c>
      <c r="BD12" s="554">
        <v>135.20000000000005</v>
      </c>
      <c r="BE12" s="554">
        <v>201.6</v>
      </c>
      <c r="BF12" s="579">
        <f t="shared" ref="BF12" si="11">SUM(BB12:BE12)</f>
        <v>606.20000000000005</v>
      </c>
      <c r="BG12" s="554">
        <v>146.1</v>
      </c>
      <c r="BH12" s="554">
        <v>189.1</v>
      </c>
      <c r="BI12" s="554">
        <v>117.9</v>
      </c>
      <c r="BJ12" s="554">
        <f>629.3-SUM(BG12:BI12)</f>
        <v>176.19999999999993</v>
      </c>
      <c r="BK12" s="598">
        <f t="shared" ref="BK12:BK16" si="12">SUM(BG12:BJ12)</f>
        <v>629.29999999999995</v>
      </c>
      <c r="BL12" s="554">
        <v>96.6</v>
      </c>
      <c r="BM12" s="796">
        <f>239-BL12</f>
        <v>142.4</v>
      </c>
      <c r="BN12" s="554"/>
      <c r="BO12" s="554"/>
      <c r="BP12" s="598">
        <f t="shared" ref="BP12:BP17" si="13">SUM(BL12:BO12)</f>
        <v>239</v>
      </c>
      <c r="BQ12" s="549"/>
      <c r="BR12" s="549"/>
      <c r="BS12" s="549"/>
      <c r="BT12" s="549"/>
      <c r="BU12" s="549"/>
      <c r="BV12" s="549"/>
      <c r="BW12" s="549"/>
      <c r="BX12" s="549"/>
      <c r="BY12" s="549"/>
      <c r="BZ12" s="549"/>
      <c r="CA12" s="549"/>
      <c r="CB12" s="549"/>
      <c r="CC12" s="549"/>
      <c r="CD12" s="549"/>
      <c r="CE12" s="549"/>
      <c r="CF12" s="549"/>
      <c r="CG12" s="549"/>
      <c r="CH12" s="549"/>
      <c r="CI12" s="549"/>
      <c r="CJ12" s="549"/>
      <c r="CK12" s="549"/>
      <c r="CL12" s="549"/>
      <c r="CM12" s="549"/>
      <c r="CN12" s="549"/>
      <c r="CO12" s="549"/>
      <c r="CP12" s="549"/>
      <c r="CQ12" s="549"/>
      <c r="CR12" s="549"/>
      <c r="CS12" s="549"/>
      <c r="CT12" s="549"/>
      <c r="CU12" s="549"/>
      <c r="CV12" s="549"/>
      <c r="CW12" s="549"/>
      <c r="CX12" s="549"/>
      <c r="CY12" s="549"/>
      <c r="CZ12" s="549"/>
      <c r="DA12" s="549"/>
      <c r="DB12" s="549"/>
      <c r="DC12" s="549"/>
      <c r="DD12" s="549"/>
      <c r="DE12" s="549"/>
      <c r="DF12" s="549"/>
      <c r="DG12" s="549"/>
      <c r="DH12" s="549"/>
      <c r="DI12" s="549"/>
      <c r="DJ12" s="549"/>
      <c r="DK12" s="549"/>
      <c r="DL12" s="549"/>
      <c r="DM12" s="549"/>
      <c r="DN12" s="549"/>
      <c r="DO12" s="549"/>
      <c r="DP12" s="549"/>
      <c r="DQ12" s="549"/>
      <c r="DR12" s="549"/>
      <c r="DS12" s="549"/>
      <c r="DT12" s="549"/>
      <c r="DU12" s="549"/>
      <c r="DV12" s="549"/>
      <c r="DW12" s="549"/>
      <c r="DX12" s="549"/>
      <c r="DY12" s="549"/>
      <c r="DZ12" s="549"/>
      <c r="EA12" s="549"/>
      <c r="EB12" s="549"/>
      <c r="EC12" s="549"/>
      <c r="ED12" s="549"/>
      <c r="EE12" s="549"/>
      <c r="EF12" s="549"/>
      <c r="EG12" s="549"/>
      <c r="EH12" s="549"/>
      <c r="EI12" s="549"/>
      <c r="EJ12" s="549"/>
      <c r="EK12" s="549"/>
      <c r="EL12" s="549"/>
      <c r="EM12" s="549"/>
      <c r="EN12" s="549"/>
      <c r="EO12" s="549"/>
      <c r="EP12" s="549"/>
      <c r="EQ12" s="549"/>
      <c r="ER12" s="549"/>
      <c r="ES12" s="549"/>
      <c r="ET12" s="549"/>
      <c r="EU12" s="549"/>
      <c r="EV12" s="549"/>
      <c r="EW12" s="549"/>
      <c r="EX12" s="549"/>
      <c r="EY12" s="549"/>
      <c r="EZ12" s="549"/>
      <c r="FA12" s="549"/>
      <c r="FB12" s="549"/>
      <c r="FC12" s="549"/>
      <c r="FD12" s="549"/>
      <c r="FE12" s="549"/>
      <c r="FF12" s="549"/>
      <c r="FG12" s="549"/>
      <c r="FH12" s="549"/>
      <c r="FI12" s="549"/>
      <c r="FJ12" s="549"/>
      <c r="FK12" s="549"/>
      <c r="FL12" s="549"/>
      <c r="FM12" s="549"/>
      <c r="FN12" s="549"/>
      <c r="FO12" s="549"/>
      <c r="FP12" s="549"/>
      <c r="FQ12" s="549"/>
      <c r="FR12" s="549"/>
      <c r="FS12" s="549"/>
      <c r="FT12" s="549"/>
      <c r="FU12" s="549"/>
      <c r="FV12" s="549"/>
      <c r="FW12" s="549"/>
      <c r="FX12" s="549"/>
      <c r="FY12" s="549"/>
      <c r="FZ12" s="549"/>
      <c r="GA12" s="549"/>
      <c r="GB12" s="549"/>
      <c r="GC12" s="549"/>
      <c r="GD12" s="549"/>
      <c r="GE12" s="549"/>
      <c r="GF12" s="549"/>
      <c r="GG12" s="549"/>
      <c r="GH12" s="549"/>
      <c r="GI12" s="549"/>
      <c r="GJ12" s="549"/>
      <c r="GK12" s="549"/>
      <c r="GL12" s="549"/>
      <c r="GM12" s="549"/>
      <c r="GN12" s="549"/>
      <c r="GO12" s="549"/>
      <c r="GP12" s="549"/>
      <c r="GQ12" s="549"/>
      <c r="GR12" s="549"/>
      <c r="GS12" s="549"/>
      <c r="GT12" s="549"/>
      <c r="GU12" s="549"/>
      <c r="GV12" s="549"/>
      <c r="GW12" s="549"/>
      <c r="GX12" s="549"/>
      <c r="GY12" s="549"/>
      <c r="GZ12" s="549"/>
      <c r="HA12" s="549"/>
      <c r="HB12" s="549"/>
      <c r="HC12" s="549"/>
      <c r="HD12" s="549"/>
      <c r="HE12" s="549"/>
      <c r="HF12" s="549"/>
      <c r="HG12" s="549"/>
      <c r="HH12" s="549"/>
      <c r="HI12" s="549"/>
      <c r="HJ12" s="549"/>
      <c r="HK12" s="549"/>
      <c r="HL12" s="549"/>
      <c r="HM12" s="549"/>
      <c r="HN12" s="549"/>
      <c r="HO12" s="549"/>
      <c r="HP12" s="549"/>
      <c r="HQ12" s="549"/>
      <c r="HR12" s="549"/>
      <c r="HS12" s="549"/>
      <c r="HT12" s="549"/>
      <c r="HU12" s="549"/>
      <c r="HV12" s="549"/>
      <c r="HW12" s="549"/>
      <c r="HX12" s="549"/>
      <c r="HY12" s="549"/>
      <c r="HZ12" s="549"/>
      <c r="IA12" s="549"/>
      <c r="IB12" s="549"/>
      <c r="IC12" s="549"/>
      <c r="ID12" s="549"/>
      <c r="IE12" s="549"/>
      <c r="IF12" s="549"/>
      <c r="IG12" s="549"/>
      <c r="IH12" s="549"/>
      <c r="II12" s="549"/>
      <c r="IJ12" s="549"/>
      <c r="IK12" s="549"/>
      <c r="IL12" s="549"/>
      <c r="IM12" s="549"/>
      <c r="IN12" s="549"/>
      <c r="IO12" s="549"/>
      <c r="IP12" s="549"/>
      <c r="IQ12" s="549"/>
      <c r="IR12" s="549"/>
      <c r="IS12" s="549"/>
      <c r="IT12" s="549"/>
      <c r="IU12" s="549"/>
      <c r="IV12" s="549"/>
      <c r="IW12" s="549"/>
      <c r="IX12" s="549"/>
      <c r="IY12" s="549"/>
      <c r="IZ12" s="549"/>
      <c r="JA12" s="549"/>
      <c r="JB12" s="549"/>
      <c r="JC12" s="549"/>
      <c r="JD12" s="549"/>
      <c r="JE12" s="549"/>
      <c r="JF12" s="549"/>
      <c r="JG12" s="549"/>
      <c r="JH12" s="549"/>
      <c r="JI12" s="549"/>
      <c r="JJ12" s="549"/>
      <c r="JK12" s="549"/>
      <c r="JL12" s="549"/>
      <c r="JM12" s="549"/>
      <c r="JN12" s="549"/>
      <c r="JO12" s="549"/>
      <c r="JP12" s="549"/>
      <c r="JQ12" s="549"/>
      <c r="JR12" s="549"/>
      <c r="JS12" s="549"/>
      <c r="JT12" s="549"/>
      <c r="JU12" s="549"/>
      <c r="JV12" s="549"/>
      <c r="JW12" s="549"/>
      <c r="JX12" s="549"/>
      <c r="JY12" s="549"/>
      <c r="JZ12" s="549"/>
      <c r="KA12" s="549"/>
      <c r="KB12" s="549"/>
      <c r="KC12" s="549"/>
      <c r="KD12" s="549"/>
      <c r="KE12" s="549"/>
      <c r="KF12" s="549"/>
      <c r="KG12" s="549"/>
      <c r="KH12" s="549"/>
      <c r="KI12" s="549"/>
      <c r="KJ12" s="549"/>
      <c r="KK12" s="549"/>
      <c r="KL12" s="549"/>
      <c r="KM12" s="549"/>
      <c r="KN12" s="549"/>
      <c r="KO12" s="549"/>
      <c r="KP12" s="549"/>
      <c r="KQ12" s="549"/>
      <c r="KR12" s="549"/>
      <c r="KS12" s="549"/>
      <c r="KT12" s="549"/>
      <c r="KU12" s="549"/>
      <c r="KV12" s="549"/>
      <c r="KW12" s="549"/>
      <c r="KX12" s="549"/>
      <c r="KY12" s="549"/>
      <c r="KZ12" s="549"/>
      <c r="LA12" s="549"/>
      <c r="LB12" s="549"/>
      <c r="LC12" s="549"/>
      <c r="LD12" s="549"/>
      <c r="LE12" s="549"/>
      <c r="LF12" s="549"/>
      <c r="LG12" s="549"/>
      <c r="LH12" s="549"/>
      <c r="LI12" s="549"/>
      <c r="LJ12" s="549"/>
      <c r="LK12" s="549"/>
      <c r="LL12" s="549"/>
      <c r="LM12" s="549"/>
      <c r="LN12" s="549"/>
      <c r="LO12" s="549"/>
      <c r="LP12" s="549"/>
      <c r="LQ12" s="549"/>
      <c r="LR12" s="549"/>
      <c r="LS12" s="549"/>
      <c r="LT12" s="549"/>
      <c r="LU12" s="549"/>
      <c r="LV12" s="549"/>
      <c r="LW12" s="549"/>
      <c r="LX12" s="549"/>
      <c r="LY12" s="549"/>
      <c r="LZ12" s="549"/>
      <c r="MA12" s="549"/>
      <c r="MB12" s="549"/>
      <c r="MC12" s="549"/>
      <c r="MD12" s="549"/>
      <c r="ME12" s="549"/>
      <c r="MF12" s="549"/>
      <c r="MG12" s="549"/>
      <c r="MH12" s="549"/>
      <c r="MI12" s="549"/>
      <c r="MJ12" s="549"/>
      <c r="MK12" s="549"/>
      <c r="ML12" s="549"/>
      <c r="MM12" s="549"/>
      <c r="MN12" s="549"/>
      <c r="MO12" s="549"/>
      <c r="MP12" s="549"/>
      <c r="MQ12" s="549"/>
      <c r="MR12" s="549"/>
      <c r="MS12" s="549"/>
      <c r="MT12" s="549"/>
      <c r="MU12" s="549"/>
      <c r="MV12" s="549"/>
      <c r="MW12" s="549"/>
      <c r="MX12" s="549"/>
      <c r="MY12" s="549"/>
      <c r="MZ12" s="549"/>
      <c r="NA12" s="549"/>
      <c r="NB12" s="549"/>
      <c r="NC12" s="549"/>
      <c r="ND12" s="549"/>
      <c r="NE12" s="549"/>
      <c r="NF12" s="549"/>
      <c r="NG12" s="549"/>
      <c r="NH12" s="549"/>
      <c r="NI12" s="549"/>
      <c r="NJ12" s="549"/>
      <c r="NK12" s="549"/>
      <c r="NL12" s="549"/>
      <c r="NM12" s="549"/>
      <c r="NN12" s="549"/>
      <c r="NO12" s="549"/>
      <c r="NP12" s="549"/>
      <c r="NQ12" s="549"/>
      <c r="NR12" s="549"/>
      <c r="NS12" s="549"/>
      <c r="NT12" s="549"/>
      <c r="NU12" s="549"/>
      <c r="NV12" s="549"/>
      <c r="NW12" s="549"/>
      <c r="NX12" s="549"/>
      <c r="NY12" s="549"/>
      <c r="NZ12" s="549"/>
      <c r="OA12" s="549"/>
      <c r="OB12" s="549"/>
      <c r="OC12" s="549"/>
      <c r="OD12" s="549"/>
      <c r="OE12" s="549"/>
      <c r="OF12" s="549"/>
      <c r="OG12" s="549"/>
      <c r="OH12" s="549"/>
      <c r="OI12" s="549"/>
      <c r="OJ12" s="549"/>
      <c r="OK12" s="549"/>
      <c r="OL12" s="549"/>
      <c r="OM12" s="549"/>
      <c r="ON12" s="549"/>
      <c r="OO12" s="549"/>
      <c r="OP12" s="549"/>
      <c r="OQ12" s="549"/>
      <c r="OR12" s="549"/>
      <c r="OS12" s="549"/>
      <c r="OT12" s="549"/>
      <c r="OU12" s="549"/>
      <c r="OV12" s="549"/>
      <c r="OW12" s="549"/>
      <c r="OX12" s="549"/>
      <c r="OY12" s="549"/>
      <c r="OZ12" s="549"/>
      <c r="PA12" s="549"/>
      <c r="PB12" s="549"/>
      <c r="PC12" s="549"/>
      <c r="PD12" s="549"/>
      <c r="PE12" s="549"/>
      <c r="PF12" s="549"/>
      <c r="PG12" s="549"/>
      <c r="PH12" s="549"/>
      <c r="PI12" s="549"/>
      <c r="PJ12" s="549"/>
      <c r="PK12" s="549"/>
      <c r="PL12" s="549"/>
      <c r="PM12" s="549"/>
      <c r="PN12" s="549"/>
      <c r="PO12" s="549"/>
      <c r="PP12" s="549"/>
      <c r="PQ12" s="549"/>
      <c r="PR12" s="549"/>
      <c r="PS12" s="549"/>
      <c r="PT12" s="549"/>
      <c r="PU12" s="549"/>
      <c r="PV12" s="549"/>
      <c r="PW12" s="549"/>
      <c r="PX12" s="549"/>
      <c r="PY12" s="549"/>
      <c r="PZ12" s="549"/>
      <c r="QA12" s="549"/>
      <c r="QB12" s="549"/>
      <c r="QC12" s="549"/>
      <c r="QD12" s="549"/>
      <c r="QE12" s="549"/>
      <c r="QF12" s="549"/>
      <c r="QG12" s="549"/>
      <c r="QH12" s="549"/>
      <c r="QI12" s="549"/>
      <c r="QJ12" s="549"/>
      <c r="QK12" s="549"/>
      <c r="QL12" s="549"/>
      <c r="QM12" s="549"/>
      <c r="QN12" s="549"/>
      <c r="QO12" s="549"/>
      <c r="QP12" s="549"/>
      <c r="QQ12" s="549"/>
      <c r="QR12" s="549"/>
      <c r="QS12" s="549"/>
      <c r="QT12" s="549"/>
      <c r="QU12" s="549"/>
      <c r="QV12" s="549"/>
      <c r="QW12" s="549"/>
      <c r="QX12" s="549"/>
      <c r="QY12" s="549"/>
      <c r="QZ12" s="549"/>
      <c r="RA12" s="549"/>
      <c r="RB12" s="549"/>
      <c r="RC12" s="549"/>
      <c r="RD12" s="549"/>
      <c r="RE12" s="549"/>
      <c r="RF12" s="549"/>
      <c r="RG12" s="549"/>
      <c r="RH12" s="549"/>
      <c r="RI12" s="549"/>
      <c r="RJ12" s="549"/>
      <c r="RK12" s="549"/>
      <c r="RL12" s="549"/>
      <c r="RM12" s="549"/>
      <c r="RN12" s="549"/>
      <c r="RO12" s="549"/>
      <c r="RP12" s="549"/>
      <c r="RQ12" s="549"/>
      <c r="RR12" s="549"/>
      <c r="RS12" s="549"/>
      <c r="RT12" s="549"/>
      <c r="RU12" s="549"/>
      <c r="RV12" s="549"/>
      <c r="RW12" s="549"/>
      <c r="RX12" s="549"/>
    </row>
    <row r="13" spans="1:492" s="550" customFormat="1" ht="20.100000000000001" customHeight="1">
      <c r="A13" s="569" t="s">
        <v>123</v>
      </c>
      <c r="B13" s="594" t="s">
        <v>118</v>
      </c>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551"/>
      <c r="AL13" s="551"/>
      <c r="AM13" s="583"/>
      <c r="AN13" s="552"/>
      <c r="AO13" s="552"/>
      <c r="AP13" s="552"/>
      <c r="AQ13" s="584"/>
      <c r="AR13" s="553"/>
      <c r="AS13" s="553"/>
      <c r="AT13" s="553"/>
      <c r="AU13" s="553"/>
      <c r="AV13" s="553"/>
      <c r="AW13" s="552"/>
      <c r="AX13" s="552"/>
      <c r="AY13" s="552"/>
      <c r="AZ13" s="552"/>
      <c r="BA13" s="552"/>
      <c r="BB13" s="590"/>
      <c r="BC13" s="554"/>
      <c r="BD13" s="554"/>
      <c r="BE13" s="554"/>
      <c r="BF13" s="579"/>
      <c r="BG13" s="554"/>
      <c r="BH13" s="554"/>
      <c r="BI13" s="554"/>
      <c r="BJ13" s="554"/>
      <c r="BK13" s="598"/>
      <c r="BL13" s="781">
        <v>0</v>
      </c>
      <c r="BM13" s="796">
        <v>3.7</v>
      </c>
      <c r="BN13" s="554"/>
      <c r="BO13" s="554"/>
      <c r="BP13" s="598">
        <f t="shared" si="13"/>
        <v>3.7</v>
      </c>
      <c r="BQ13" s="549"/>
      <c r="BR13" s="549"/>
      <c r="BS13" s="549"/>
      <c r="BT13" s="549"/>
      <c r="BU13" s="549"/>
      <c r="BV13" s="549"/>
      <c r="BW13" s="549"/>
      <c r="BX13" s="549"/>
      <c r="BY13" s="549"/>
      <c r="BZ13" s="549"/>
      <c r="CA13" s="549"/>
      <c r="CB13" s="549"/>
      <c r="CC13" s="549"/>
      <c r="CD13" s="549"/>
      <c r="CE13" s="549"/>
      <c r="CF13" s="549"/>
      <c r="CG13" s="549"/>
      <c r="CH13" s="549"/>
      <c r="CI13" s="549"/>
      <c r="CJ13" s="549"/>
      <c r="CK13" s="549"/>
      <c r="CL13" s="549"/>
      <c r="CM13" s="549"/>
      <c r="CN13" s="549"/>
      <c r="CO13" s="549"/>
      <c r="CP13" s="549"/>
      <c r="CQ13" s="549"/>
      <c r="CR13" s="549"/>
      <c r="CS13" s="549"/>
      <c r="CT13" s="549"/>
      <c r="CU13" s="549"/>
      <c r="CV13" s="549"/>
      <c r="CW13" s="549"/>
      <c r="CX13" s="549"/>
      <c r="CY13" s="549"/>
      <c r="CZ13" s="549"/>
      <c r="DA13" s="549"/>
      <c r="DB13" s="549"/>
      <c r="DC13" s="549"/>
      <c r="DD13" s="549"/>
      <c r="DE13" s="549"/>
      <c r="DF13" s="549"/>
      <c r="DG13" s="549"/>
      <c r="DH13" s="549"/>
      <c r="DI13" s="549"/>
      <c r="DJ13" s="549"/>
      <c r="DK13" s="549"/>
      <c r="DL13" s="549"/>
      <c r="DM13" s="549"/>
      <c r="DN13" s="549"/>
      <c r="DO13" s="549"/>
      <c r="DP13" s="549"/>
      <c r="DQ13" s="549"/>
      <c r="DR13" s="549"/>
      <c r="DS13" s="549"/>
      <c r="DT13" s="549"/>
      <c r="DU13" s="549"/>
      <c r="DV13" s="549"/>
      <c r="DW13" s="549"/>
      <c r="DX13" s="549"/>
      <c r="DY13" s="549"/>
      <c r="DZ13" s="549"/>
      <c r="EA13" s="549"/>
      <c r="EB13" s="549"/>
      <c r="EC13" s="549"/>
      <c r="ED13" s="549"/>
      <c r="EE13" s="549"/>
      <c r="EF13" s="549"/>
      <c r="EG13" s="549"/>
      <c r="EH13" s="549"/>
      <c r="EI13" s="549"/>
      <c r="EJ13" s="549"/>
      <c r="EK13" s="549"/>
      <c r="EL13" s="549"/>
      <c r="EM13" s="549"/>
      <c r="EN13" s="549"/>
      <c r="EO13" s="549"/>
      <c r="EP13" s="549"/>
      <c r="EQ13" s="549"/>
      <c r="ER13" s="549"/>
      <c r="ES13" s="549"/>
      <c r="ET13" s="549"/>
      <c r="EU13" s="549"/>
      <c r="EV13" s="549"/>
      <c r="EW13" s="549"/>
      <c r="EX13" s="549"/>
      <c r="EY13" s="549"/>
      <c r="EZ13" s="549"/>
      <c r="FA13" s="549"/>
      <c r="FB13" s="549"/>
      <c r="FC13" s="549"/>
      <c r="FD13" s="549"/>
      <c r="FE13" s="549"/>
      <c r="FF13" s="549"/>
      <c r="FG13" s="549"/>
      <c r="FH13" s="549"/>
      <c r="FI13" s="549"/>
      <c r="FJ13" s="549"/>
      <c r="FK13" s="549"/>
      <c r="FL13" s="549"/>
      <c r="FM13" s="549"/>
      <c r="FN13" s="549"/>
      <c r="FO13" s="549"/>
      <c r="FP13" s="549"/>
      <c r="FQ13" s="549"/>
      <c r="FR13" s="549"/>
      <c r="FS13" s="549"/>
      <c r="FT13" s="549"/>
      <c r="FU13" s="549"/>
      <c r="FV13" s="549"/>
      <c r="FW13" s="549"/>
      <c r="FX13" s="549"/>
      <c r="FY13" s="549"/>
      <c r="FZ13" s="549"/>
      <c r="GA13" s="549"/>
      <c r="GB13" s="549"/>
      <c r="GC13" s="549"/>
      <c r="GD13" s="549"/>
      <c r="GE13" s="549"/>
      <c r="GF13" s="549"/>
      <c r="GG13" s="549"/>
      <c r="GH13" s="549"/>
      <c r="GI13" s="549"/>
      <c r="GJ13" s="549"/>
      <c r="GK13" s="549"/>
      <c r="GL13" s="549"/>
      <c r="GM13" s="549"/>
      <c r="GN13" s="549"/>
      <c r="GO13" s="549"/>
      <c r="GP13" s="549"/>
      <c r="GQ13" s="549"/>
      <c r="GR13" s="549"/>
      <c r="GS13" s="549"/>
      <c r="GT13" s="549"/>
      <c r="GU13" s="549"/>
      <c r="GV13" s="549"/>
      <c r="GW13" s="549"/>
      <c r="GX13" s="549"/>
      <c r="GY13" s="549"/>
      <c r="GZ13" s="549"/>
      <c r="HA13" s="549"/>
      <c r="HB13" s="549"/>
      <c r="HC13" s="549"/>
      <c r="HD13" s="549"/>
      <c r="HE13" s="549"/>
      <c r="HF13" s="549"/>
      <c r="HG13" s="549"/>
      <c r="HH13" s="549"/>
      <c r="HI13" s="549"/>
      <c r="HJ13" s="549"/>
      <c r="HK13" s="549"/>
      <c r="HL13" s="549"/>
      <c r="HM13" s="549"/>
      <c r="HN13" s="549"/>
      <c r="HO13" s="549"/>
      <c r="HP13" s="549"/>
      <c r="HQ13" s="549"/>
      <c r="HR13" s="549"/>
      <c r="HS13" s="549"/>
      <c r="HT13" s="549"/>
      <c r="HU13" s="549"/>
      <c r="HV13" s="549"/>
      <c r="HW13" s="549"/>
      <c r="HX13" s="549"/>
      <c r="HY13" s="549"/>
      <c r="HZ13" s="549"/>
      <c r="IA13" s="549"/>
      <c r="IB13" s="549"/>
      <c r="IC13" s="549"/>
      <c r="ID13" s="549"/>
      <c r="IE13" s="549"/>
      <c r="IF13" s="549"/>
      <c r="IG13" s="549"/>
      <c r="IH13" s="549"/>
      <c r="II13" s="549"/>
      <c r="IJ13" s="549"/>
      <c r="IK13" s="549"/>
      <c r="IL13" s="549"/>
      <c r="IM13" s="549"/>
      <c r="IN13" s="549"/>
      <c r="IO13" s="549"/>
      <c r="IP13" s="549"/>
      <c r="IQ13" s="549"/>
      <c r="IR13" s="549"/>
      <c r="IS13" s="549"/>
      <c r="IT13" s="549"/>
      <c r="IU13" s="549"/>
      <c r="IV13" s="549"/>
      <c r="IW13" s="549"/>
      <c r="IX13" s="549"/>
      <c r="IY13" s="549"/>
      <c r="IZ13" s="549"/>
      <c r="JA13" s="549"/>
      <c r="JB13" s="549"/>
      <c r="JC13" s="549"/>
      <c r="JD13" s="549"/>
      <c r="JE13" s="549"/>
      <c r="JF13" s="549"/>
      <c r="JG13" s="549"/>
      <c r="JH13" s="549"/>
      <c r="JI13" s="549"/>
      <c r="JJ13" s="549"/>
      <c r="JK13" s="549"/>
      <c r="JL13" s="549"/>
      <c r="JM13" s="549"/>
      <c r="JN13" s="549"/>
      <c r="JO13" s="549"/>
      <c r="JP13" s="549"/>
      <c r="JQ13" s="549"/>
      <c r="JR13" s="549"/>
      <c r="JS13" s="549"/>
      <c r="JT13" s="549"/>
      <c r="JU13" s="549"/>
      <c r="JV13" s="549"/>
      <c r="JW13" s="549"/>
      <c r="JX13" s="549"/>
      <c r="JY13" s="549"/>
      <c r="JZ13" s="549"/>
      <c r="KA13" s="549"/>
      <c r="KB13" s="549"/>
      <c r="KC13" s="549"/>
      <c r="KD13" s="549"/>
      <c r="KE13" s="549"/>
      <c r="KF13" s="549"/>
      <c r="KG13" s="549"/>
      <c r="KH13" s="549"/>
      <c r="KI13" s="549"/>
      <c r="KJ13" s="549"/>
      <c r="KK13" s="549"/>
      <c r="KL13" s="549"/>
      <c r="KM13" s="549"/>
      <c r="KN13" s="549"/>
      <c r="KO13" s="549"/>
      <c r="KP13" s="549"/>
      <c r="KQ13" s="549"/>
      <c r="KR13" s="549"/>
      <c r="KS13" s="549"/>
      <c r="KT13" s="549"/>
      <c r="KU13" s="549"/>
      <c r="KV13" s="549"/>
      <c r="KW13" s="549"/>
      <c r="KX13" s="549"/>
      <c r="KY13" s="549"/>
      <c r="KZ13" s="549"/>
      <c r="LA13" s="549"/>
      <c r="LB13" s="549"/>
      <c r="LC13" s="549"/>
      <c r="LD13" s="549"/>
      <c r="LE13" s="549"/>
      <c r="LF13" s="549"/>
      <c r="LG13" s="549"/>
      <c r="LH13" s="549"/>
      <c r="LI13" s="549"/>
      <c r="LJ13" s="549"/>
      <c r="LK13" s="549"/>
      <c r="LL13" s="549"/>
      <c r="LM13" s="549"/>
      <c r="LN13" s="549"/>
      <c r="LO13" s="549"/>
      <c r="LP13" s="549"/>
      <c r="LQ13" s="549"/>
      <c r="LR13" s="549"/>
      <c r="LS13" s="549"/>
      <c r="LT13" s="549"/>
      <c r="LU13" s="549"/>
      <c r="LV13" s="549"/>
      <c r="LW13" s="549"/>
      <c r="LX13" s="549"/>
      <c r="LY13" s="549"/>
      <c r="LZ13" s="549"/>
      <c r="MA13" s="549"/>
      <c r="MB13" s="549"/>
      <c r="MC13" s="549"/>
      <c r="MD13" s="549"/>
      <c r="ME13" s="549"/>
      <c r="MF13" s="549"/>
      <c r="MG13" s="549"/>
      <c r="MH13" s="549"/>
      <c r="MI13" s="549"/>
      <c r="MJ13" s="549"/>
      <c r="MK13" s="549"/>
      <c r="ML13" s="549"/>
      <c r="MM13" s="549"/>
      <c r="MN13" s="549"/>
      <c r="MO13" s="549"/>
      <c r="MP13" s="549"/>
      <c r="MQ13" s="549"/>
      <c r="MR13" s="549"/>
      <c r="MS13" s="549"/>
      <c r="MT13" s="549"/>
      <c r="MU13" s="549"/>
      <c r="MV13" s="549"/>
      <c r="MW13" s="549"/>
      <c r="MX13" s="549"/>
      <c r="MY13" s="549"/>
      <c r="MZ13" s="549"/>
      <c r="NA13" s="549"/>
      <c r="NB13" s="549"/>
      <c r="NC13" s="549"/>
      <c r="ND13" s="549"/>
      <c r="NE13" s="549"/>
      <c r="NF13" s="549"/>
      <c r="NG13" s="549"/>
      <c r="NH13" s="549"/>
      <c r="NI13" s="549"/>
      <c r="NJ13" s="549"/>
      <c r="NK13" s="549"/>
      <c r="NL13" s="549"/>
      <c r="NM13" s="549"/>
      <c r="NN13" s="549"/>
      <c r="NO13" s="549"/>
      <c r="NP13" s="549"/>
      <c r="NQ13" s="549"/>
      <c r="NR13" s="549"/>
      <c r="NS13" s="549"/>
      <c r="NT13" s="549"/>
      <c r="NU13" s="549"/>
      <c r="NV13" s="549"/>
      <c r="NW13" s="549"/>
      <c r="NX13" s="549"/>
      <c r="NY13" s="549"/>
      <c r="NZ13" s="549"/>
      <c r="OA13" s="549"/>
      <c r="OB13" s="549"/>
      <c r="OC13" s="549"/>
      <c r="OD13" s="549"/>
      <c r="OE13" s="549"/>
      <c r="OF13" s="549"/>
      <c r="OG13" s="549"/>
      <c r="OH13" s="549"/>
      <c r="OI13" s="549"/>
      <c r="OJ13" s="549"/>
      <c r="OK13" s="549"/>
      <c r="OL13" s="549"/>
      <c r="OM13" s="549"/>
      <c r="ON13" s="549"/>
      <c r="OO13" s="549"/>
      <c r="OP13" s="549"/>
      <c r="OQ13" s="549"/>
      <c r="OR13" s="549"/>
      <c r="OS13" s="549"/>
      <c r="OT13" s="549"/>
      <c r="OU13" s="549"/>
      <c r="OV13" s="549"/>
      <c r="OW13" s="549"/>
      <c r="OX13" s="549"/>
      <c r="OY13" s="549"/>
      <c r="OZ13" s="549"/>
      <c r="PA13" s="549"/>
      <c r="PB13" s="549"/>
      <c r="PC13" s="549"/>
      <c r="PD13" s="549"/>
      <c r="PE13" s="549"/>
      <c r="PF13" s="549"/>
      <c r="PG13" s="549"/>
      <c r="PH13" s="549"/>
      <c r="PI13" s="549"/>
      <c r="PJ13" s="549"/>
      <c r="PK13" s="549"/>
      <c r="PL13" s="549"/>
      <c r="PM13" s="549"/>
      <c r="PN13" s="549"/>
      <c r="PO13" s="549"/>
      <c r="PP13" s="549"/>
      <c r="PQ13" s="549"/>
      <c r="PR13" s="549"/>
      <c r="PS13" s="549"/>
      <c r="PT13" s="549"/>
      <c r="PU13" s="549"/>
      <c r="PV13" s="549"/>
      <c r="PW13" s="549"/>
      <c r="PX13" s="549"/>
      <c r="PY13" s="549"/>
      <c r="PZ13" s="549"/>
      <c r="QA13" s="549"/>
      <c r="QB13" s="549"/>
      <c r="QC13" s="549"/>
      <c r="QD13" s="549"/>
      <c r="QE13" s="549"/>
      <c r="QF13" s="549"/>
      <c r="QG13" s="549"/>
      <c r="QH13" s="549"/>
      <c r="QI13" s="549"/>
      <c r="QJ13" s="549"/>
      <c r="QK13" s="549"/>
      <c r="QL13" s="549"/>
      <c r="QM13" s="549"/>
      <c r="QN13" s="549"/>
      <c r="QO13" s="549"/>
      <c r="QP13" s="549"/>
      <c r="QQ13" s="549"/>
      <c r="QR13" s="549"/>
      <c r="QS13" s="549"/>
      <c r="QT13" s="549"/>
      <c r="QU13" s="549"/>
      <c r="QV13" s="549"/>
      <c r="QW13" s="549"/>
      <c r="QX13" s="549"/>
      <c r="QY13" s="549"/>
      <c r="QZ13" s="549"/>
      <c r="RA13" s="549"/>
      <c r="RB13" s="549"/>
      <c r="RC13" s="549"/>
      <c r="RD13" s="549"/>
      <c r="RE13" s="549"/>
      <c r="RF13" s="549"/>
      <c r="RG13" s="549"/>
      <c r="RH13" s="549"/>
      <c r="RI13" s="549"/>
      <c r="RJ13" s="549"/>
      <c r="RK13" s="549"/>
      <c r="RL13" s="549"/>
      <c r="RM13" s="549"/>
      <c r="RN13" s="549"/>
      <c r="RO13" s="549"/>
      <c r="RP13" s="549"/>
      <c r="RQ13" s="549"/>
      <c r="RR13" s="549"/>
      <c r="RS13" s="549"/>
      <c r="RT13" s="549"/>
      <c r="RU13" s="549"/>
      <c r="RV13" s="549"/>
      <c r="RW13" s="549"/>
      <c r="RX13" s="549"/>
    </row>
    <row r="14" spans="1:492" s="550" customFormat="1" ht="20.100000000000001" customHeight="1">
      <c r="A14" s="569" t="s">
        <v>119</v>
      </c>
      <c r="B14" s="594" t="s">
        <v>120</v>
      </c>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83"/>
      <c r="AN14" s="552"/>
      <c r="AO14" s="552"/>
      <c r="AP14" s="552"/>
      <c r="AQ14" s="584"/>
      <c r="AR14" s="553"/>
      <c r="AS14" s="553"/>
      <c r="AT14" s="553"/>
      <c r="AU14" s="553"/>
      <c r="AV14" s="553"/>
      <c r="AW14" s="552"/>
      <c r="AX14" s="552"/>
      <c r="AY14" s="552"/>
      <c r="AZ14" s="552"/>
      <c r="BA14" s="552"/>
      <c r="BB14" s="590"/>
      <c r="BC14" s="554"/>
      <c r="BD14" s="554"/>
      <c r="BE14" s="554"/>
      <c r="BF14" s="579"/>
      <c r="BG14" s="554"/>
      <c r="BH14" s="554"/>
      <c r="BI14" s="554"/>
      <c r="BJ14" s="554"/>
      <c r="BK14" s="598"/>
      <c r="BL14" s="781"/>
      <c r="BM14" s="797">
        <v>-2.2000000000000002</v>
      </c>
      <c r="BN14" s="554"/>
      <c r="BO14" s="554"/>
      <c r="BP14" s="598">
        <f t="shared" si="13"/>
        <v>-2.2000000000000002</v>
      </c>
      <c r="BQ14" s="549"/>
      <c r="BR14" s="549"/>
      <c r="BS14" s="549"/>
      <c r="BT14" s="549"/>
      <c r="BU14" s="549"/>
      <c r="BV14" s="549"/>
      <c r="BW14" s="549"/>
      <c r="BX14" s="549"/>
      <c r="BY14" s="549"/>
      <c r="BZ14" s="549"/>
      <c r="CA14" s="549"/>
      <c r="CB14" s="549"/>
      <c r="CC14" s="549"/>
      <c r="CD14" s="549"/>
      <c r="CE14" s="549"/>
      <c r="CF14" s="549"/>
      <c r="CG14" s="549"/>
      <c r="CH14" s="549"/>
      <c r="CI14" s="549"/>
      <c r="CJ14" s="549"/>
      <c r="CK14" s="549"/>
      <c r="CL14" s="549"/>
      <c r="CM14" s="549"/>
      <c r="CN14" s="549"/>
      <c r="CO14" s="549"/>
      <c r="CP14" s="549"/>
      <c r="CQ14" s="549"/>
      <c r="CR14" s="549"/>
      <c r="CS14" s="549"/>
      <c r="CT14" s="549"/>
      <c r="CU14" s="549"/>
      <c r="CV14" s="549"/>
      <c r="CW14" s="549"/>
      <c r="CX14" s="549"/>
      <c r="CY14" s="549"/>
      <c r="CZ14" s="549"/>
      <c r="DA14" s="549"/>
      <c r="DB14" s="549"/>
      <c r="DC14" s="549"/>
      <c r="DD14" s="549"/>
      <c r="DE14" s="549"/>
      <c r="DF14" s="549"/>
      <c r="DG14" s="549"/>
      <c r="DH14" s="549"/>
      <c r="DI14" s="549"/>
      <c r="DJ14" s="549"/>
      <c r="DK14" s="549"/>
      <c r="DL14" s="549"/>
      <c r="DM14" s="549"/>
      <c r="DN14" s="549"/>
      <c r="DO14" s="549"/>
      <c r="DP14" s="549"/>
      <c r="DQ14" s="549"/>
      <c r="DR14" s="549"/>
      <c r="DS14" s="549"/>
      <c r="DT14" s="549"/>
      <c r="DU14" s="549"/>
      <c r="DV14" s="549"/>
      <c r="DW14" s="549"/>
      <c r="DX14" s="549"/>
      <c r="DY14" s="549"/>
      <c r="DZ14" s="549"/>
      <c r="EA14" s="549"/>
      <c r="EB14" s="549"/>
      <c r="EC14" s="549"/>
      <c r="ED14" s="549"/>
      <c r="EE14" s="549"/>
      <c r="EF14" s="549"/>
      <c r="EG14" s="549"/>
      <c r="EH14" s="549"/>
      <c r="EI14" s="549"/>
      <c r="EJ14" s="549"/>
      <c r="EK14" s="549"/>
      <c r="EL14" s="549"/>
      <c r="EM14" s="549"/>
      <c r="EN14" s="549"/>
      <c r="EO14" s="549"/>
      <c r="EP14" s="549"/>
      <c r="EQ14" s="549"/>
      <c r="ER14" s="549"/>
      <c r="ES14" s="549"/>
      <c r="ET14" s="549"/>
      <c r="EU14" s="549"/>
      <c r="EV14" s="549"/>
      <c r="EW14" s="549"/>
      <c r="EX14" s="549"/>
      <c r="EY14" s="549"/>
      <c r="EZ14" s="549"/>
      <c r="FA14" s="549"/>
      <c r="FB14" s="549"/>
      <c r="FC14" s="549"/>
      <c r="FD14" s="549"/>
      <c r="FE14" s="549"/>
      <c r="FF14" s="549"/>
      <c r="FG14" s="549"/>
      <c r="FH14" s="549"/>
      <c r="FI14" s="549"/>
      <c r="FJ14" s="549"/>
      <c r="FK14" s="549"/>
      <c r="FL14" s="549"/>
      <c r="FM14" s="549"/>
      <c r="FN14" s="549"/>
      <c r="FO14" s="549"/>
      <c r="FP14" s="549"/>
      <c r="FQ14" s="549"/>
      <c r="FR14" s="549"/>
      <c r="FS14" s="549"/>
      <c r="FT14" s="549"/>
      <c r="FU14" s="549"/>
      <c r="FV14" s="549"/>
      <c r="FW14" s="549"/>
      <c r="FX14" s="549"/>
      <c r="FY14" s="549"/>
      <c r="FZ14" s="549"/>
      <c r="GA14" s="549"/>
      <c r="GB14" s="549"/>
      <c r="GC14" s="549"/>
      <c r="GD14" s="549"/>
      <c r="GE14" s="549"/>
      <c r="GF14" s="549"/>
      <c r="GG14" s="549"/>
      <c r="GH14" s="549"/>
      <c r="GI14" s="549"/>
      <c r="GJ14" s="549"/>
      <c r="GK14" s="549"/>
      <c r="GL14" s="549"/>
      <c r="GM14" s="549"/>
      <c r="GN14" s="549"/>
      <c r="GO14" s="549"/>
      <c r="GP14" s="549"/>
      <c r="GQ14" s="549"/>
      <c r="GR14" s="549"/>
      <c r="GS14" s="549"/>
      <c r="GT14" s="549"/>
      <c r="GU14" s="549"/>
      <c r="GV14" s="549"/>
      <c r="GW14" s="549"/>
      <c r="GX14" s="549"/>
      <c r="GY14" s="549"/>
      <c r="GZ14" s="549"/>
      <c r="HA14" s="549"/>
      <c r="HB14" s="549"/>
      <c r="HC14" s="549"/>
      <c r="HD14" s="549"/>
      <c r="HE14" s="549"/>
      <c r="HF14" s="549"/>
      <c r="HG14" s="549"/>
      <c r="HH14" s="549"/>
      <c r="HI14" s="549"/>
      <c r="HJ14" s="549"/>
      <c r="HK14" s="549"/>
      <c r="HL14" s="549"/>
      <c r="HM14" s="549"/>
      <c r="HN14" s="549"/>
      <c r="HO14" s="549"/>
      <c r="HP14" s="549"/>
      <c r="HQ14" s="549"/>
      <c r="HR14" s="549"/>
      <c r="HS14" s="549"/>
      <c r="HT14" s="549"/>
      <c r="HU14" s="549"/>
      <c r="HV14" s="549"/>
      <c r="HW14" s="549"/>
      <c r="HX14" s="549"/>
      <c r="HY14" s="549"/>
      <c r="HZ14" s="549"/>
      <c r="IA14" s="549"/>
      <c r="IB14" s="549"/>
      <c r="IC14" s="549"/>
      <c r="ID14" s="549"/>
      <c r="IE14" s="549"/>
      <c r="IF14" s="549"/>
      <c r="IG14" s="549"/>
      <c r="IH14" s="549"/>
      <c r="II14" s="549"/>
      <c r="IJ14" s="549"/>
      <c r="IK14" s="549"/>
      <c r="IL14" s="549"/>
      <c r="IM14" s="549"/>
      <c r="IN14" s="549"/>
      <c r="IO14" s="549"/>
      <c r="IP14" s="549"/>
      <c r="IQ14" s="549"/>
      <c r="IR14" s="549"/>
      <c r="IS14" s="549"/>
      <c r="IT14" s="549"/>
      <c r="IU14" s="549"/>
      <c r="IV14" s="549"/>
      <c r="IW14" s="549"/>
      <c r="IX14" s="549"/>
      <c r="IY14" s="549"/>
      <c r="IZ14" s="549"/>
      <c r="JA14" s="549"/>
      <c r="JB14" s="549"/>
      <c r="JC14" s="549"/>
      <c r="JD14" s="549"/>
      <c r="JE14" s="549"/>
      <c r="JF14" s="549"/>
      <c r="JG14" s="549"/>
      <c r="JH14" s="549"/>
      <c r="JI14" s="549"/>
      <c r="JJ14" s="549"/>
      <c r="JK14" s="549"/>
      <c r="JL14" s="549"/>
      <c r="JM14" s="549"/>
      <c r="JN14" s="549"/>
      <c r="JO14" s="549"/>
      <c r="JP14" s="549"/>
      <c r="JQ14" s="549"/>
      <c r="JR14" s="549"/>
      <c r="JS14" s="549"/>
      <c r="JT14" s="549"/>
      <c r="JU14" s="549"/>
      <c r="JV14" s="549"/>
      <c r="JW14" s="549"/>
      <c r="JX14" s="549"/>
      <c r="JY14" s="549"/>
      <c r="JZ14" s="549"/>
      <c r="KA14" s="549"/>
      <c r="KB14" s="549"/>
      <c r="KC14" s="549"/>
      <c r="KD14" s="549"/>
      <c r="KE14" s="549"/>
      <c r="KF14" s="549"/>
      <c r="KG14" s="549"/>
      <c r="KH14" s="549"/>
      <c r="KI14" s="549"/>
      <c r="KJ14" s="549"/>
      <c r="KK14" s="549"/>
      <c r="KL14" s="549"/>
      <c r="KM14" s="549"/>
      <c r="KN14" s="549"/>
      <c r="KO14" s="549"/>
      <c r="KP14" s="549"/>
      <c r="KQ14" s="549"/>
      <c r="KR14" s="549"/>
      <c r="KS14" s="549"/>
      <c r="KT14" s="549"/>
      <c r="KU14" s="549"/>
      <c r="KV14" s="549"/>
      <c r="KW14" s="549"/>
      <c r="KX14" s="549"/>
      <c r="KY14" s="549"/>
      <c r="KZ14" s="549"/>
      <c r="LA14" s="549"/>
      <c r="LB14" s="549"/>
      <c r="LC14" s="549"/>
      <c r="LD14" s="549"/>
      <c r="LE14" s="549"/>
      <c r="LF14" s="549"/>
      <c r="LG14" s="549"/>
      <c r="LH14" s="549"/>
      <c r="LI14" s="549"/>
      <c r="LJ14" s="549"/>
      <c r="LK14" s="549"/>
      <c r="LL14" s="549"/>
      <c r="LM14" s="549"/>
      <c r="LN14" s="549"/>
      <c r="LO14" s="549"/>
      <c r="LP14" s="549"/>
      <c r="LQ14" s="549"/>
      <c r="LR14" s="549"/>
      <c r="LS14" s="549"/>
      <c r="LT14" s="549"/>
      <c r="LU14" s="549"/>
      <c r="LV14" s="549"/>
      <c r="LW14" s="549"/>
      <c r="LX14" s="549"/>
      <c r="LY14" s="549"/>
      <c r="LZ14" s="549"/>
      <c r="MA14" s="549"/>
      <c r="MB14" s="549"/>
      <c r="MC14" s="549"/>
      <c r="MD14" s="549"/>
      <c r="ME14" s="549"/>
      <c r="MF14" s="549"/>
      <c r="MG14" s="549"/>
      <c r="MH14" s="549"/>
      <c r="MI14" s="549"/>
      <c r="MJ14" s="549"/>
      <c r="MK14" s="549"/>
      <c r="ML14" s="549"/>
      <c r="MM14" s="549"/>
      <c r="MN14" s="549"/>
      <c r="MO14" s="549"/>
      <c r="MP14" s="549"/>
      <c r="MQ14" s="549"/>
      <c r="MR14" s="549"/>
      <c r="MS14" s="549"/>
      <c r="MT14" s="549"/>
      <c r="MU14" s="549"/>
      <c r="MV14" s="549"/>
      <c r="MW14" s="549"/>
      <c r="MX14" s="549"/>
      <c r="MY14" s="549"/>
      <c r="MZ14" s="549"/>
      <c r="NA14" s="549"/>
      <c r="NB14" s="549"/>
      <c r="NC14" s="549"/>
      <c r="ND14" s="549"/>
      <c r="NE14" s="549"/>
      <c r="NF14" s="549"/>
      <c r="NG14" s="549"/>
      <c r="NH14" s="549"/>
      <c r="NI14" s="549"/>
      <c r="NJ14" s="549"/>
      <c r="NK14" s="549"/>
      <c r="NL14" s="549"/>
      <c r="NM14" s="549"/>
      <c r="NN14" s="549"/>
      <c r="NO14" s="549"/>
      <c r="NP14" s="549"/>
      <c r="NQ14" s="549"/>
      <c r="NR14" s="549"/>
      <c r="NS14" s="549"/>
      <c r="NT14" s="549"/>
      <c r="NU14" s="549"/>
      <c r="NV14" s="549"/>
      <c r="NW14" s="549"/>
      <c r="NX14" s="549"/>
      <c r="NY14" s="549"/>
      <c r="NZ14" s="549"/>
      <c r="OA14" s="549"/>
      <c r="OB14" s="549"/>
      <c r="OC14" s="549"/>
      <c r="OD14" s="549"/>
      <c r="OE14" s="549"/>
      <c r="OF14" s="549"/>
      <c r="OG14" s="549"/>
      <c r="OH14" s="549"/>
      <c r="OI14" s="549"/>
      <c r="OJ14" s="549"/>
      <c r="OK14" s="549"/>
      <c r="OL14" s="549"/>
      <c r="OM14" s="549"/>
      <c r="ON14" s="549"/>
      <c r="OO14" s="549"/>
      <c r="OP14" s="549"/>
      <c r="OQ14" s="549"/>
      <c r="OR14" s="549"/>
      <c r="OS14" s="549"/>
      <c r="OT14" s="549"/>
      <c r="OU14" s="549"/>
      <c r="OV14" s="549"/>
      <c r="OW14" s="549"/>
      <c r="OX14" s="549"/>
      <c r="OY14" s="549"/>
      <c r="OZ14" s="549"/>
      <c r="PA14" s="549"/>
      <c r="PB14" s="549"/>
      <c r="PC14" s="549"/>
      <c r="PD14" s="549"/>
      <c r="PE14" s="549"/>
      <c r="PF14" s="549"/>
      <c r="PG14" s="549"/>
      <c r="PH14" s="549"/>
      <c r="PI14" s="549"/>
      <c r="PJ14" s="549"/>
      <c r="PK14" s="549"/>
      <c r="PL14" s="549"/>
      <c r="PM14" s="549"/>
      <c r="PN14" s="549"/>
      <c r="PO14" s="549"/>
      <c r="PP14" s="549"/>
      <c r="PQ14" s="549"/>
      <c r="PR14" s="549"/>
      <c r="PS14" s="549"/>
      <c r="PT14" s="549"/>
      <c r="PU14" s="549"/>
      <c r="PV14" s="549"/>
      <c r="PW14" s="549"/>
      <c r="PX14" s="549"/>
      <c r="PY14" s="549"/>
      <c r="PZ14" s="549"/>
      <c r="QA14" s="549"/>
      <c r="QB14" s="549"/>
      <c r="QC14" s="549"/>
      <c r="QD14" s="549"/>
      <c r="QE14" s="549"/>
      <c r="QF14" s="549"/>
      <c r="QG14" s="549"/>
      <c r="QH14" s="549"/>
      <c r="QI14" s="549"/>
      <c r="QJ14" s="549"/>
      <c r="QK14" s="549"/>
      <c r="QL14" s="549"/>
      <c r="QM14" s="549"/>
      <c r="QN14" s="549"/>
      <c r="QO14" s="549"/>
      <c r="QP14" s="549"/>
      <c r="QQ14" s="549"/>
      <c r="QR14" s="549"/>
      <c r="QS14" s="549"/>
      <c r="QT14" s="549"/>
      <c r="QU14" s="549"/>
      <c r="QV14" s="549"/>
      <c r="QW14" s="549"/>
      <c r="QX14" s="549"/>
      <c r="QY14" s="549"/>
      <c r="QZ14" s="549"/>
      <c r="RA14" s="549"/>
      <c r="RB14" s="549"/>
      <c r="RC14" s="549"/>
      <c r="RD14" s="549"/>
      <c r="RE14" s="549"/>
      <c r="RF14" s="549"/>
      <c r="RG14" s="549"/>
      <c r="RH14" s="549"/>
      <c r="RI14" s="549"/>
      <c r="RJ14" s="549"/>
      <c r="RK14" s="549"/>
      <c r="RL14" s="549"/>
      <c r="RM14" s="549"/>
      <c r="RN14" s="549"/>
      <c r="RO14" s="549"/>
      <c r="RP14" s="549"/>
      <c r="RQ14" s="549"/>
      <c r="RR14" s="549"/>
      <c r="RS14" s="549"/>
      <c r="RT14" s="549"/>
      <c r="RU14" s="549"/>
      <c r="RV14" s="549"/>
      <c r="RW14" s="549"/>
      <c r="RX14" s="549"/>
    </row>
    <row r="15" spans="1:492" s="550" customFormat="1" ht="20.100000000000001" customHeight="1">
      <c r="A15" s="569" t="s">
        <v>124</v>
      </c>
      <c r="B15" s="594" t="s">
        <v>125</v>
      </c>
      <c r="C15" s="555"/>
      <c r="D15" s="555"/>
      <c r="E15" s="555"/>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83"/>
      <c r="AN15" s="552"/>
      <c r="AO15" s="552"/>
      <c r="AP15" s="552"/>
      <c r="AQ15" s="584"/>
      <c r="AR15" s="553"/>
      <c r="AS15" s="553"/>
      <c r="AT15" s="553"/>
      <c r="AU15" s="553"/>
      <c r="AV15" s="553"/>
      <c r="AW15" s="552"/>
      <c r="AX15" s="552"/>
      <c r="AY15" s="552"/>
      <c r="AZ15" s="552"/>
      <c r="BA15" s="552"/>
      <c r="BB15" s="590">
        <v>0</v>
      </c>
      <c r="BC15" s="554">
        <v>-41.5</v>
      </c>
      <c r="BD15" s="554">
        <v>-3.3</v>
      </c>
      <c r="BE15" s="554">
        <v>-1.1000000000000001</v>
      </c>
      <c r="BF15" s="589">
        <f t="shared" ref="BF15" si="14">SUM(BB15:BE15)</f>
        <v>-45.9</v>
      </c>
      <c r="BG15" s="552"/>
      <c r="BH15" s="552"/>
      <c r="BI15" s="560">
        <v>0</v>
      </c>
      <c r="BJ15" s="560">
        <v>0</v>
      </c>
      <c r="BK15" s="598">
        <f t="shared" ref="BK15" si="15">SUM(BG15:BJ15)</f>
        <v>0</v>
      </c>
      <c r="BL15" s="781">
        <v>0</v>
      </c>
      <c r="BM15" s="798">
        <v>0</v>
      </c>
      <c r="BN15" s="560"/>
      <c r="BO15" s="560"/>
      <c r="BP15" s="598">
        <f t="shared" si="13"/>
        <v>0</v>
      </c>
      <c r="BQ15" s="549"/>
      <c r="BR15" s="549"/>
      <c r="BS15" s="549"/>
      <c r="BT15" s="549"/>
      <c r="BU15" s="549"/>
      <c r="BV15" s="549"/>
      <c r="BW15" s="549"/>
      <c r="BX15" s="549"/>
      <c r="BY15" s="549"/>
      <c r="BZ15" s="549"/>
      <c r="CA15" s="549"/>
      <c r="CB15" s="549"/>
      <c r="CC15" s="549"/>
      <c r="CD15" s="549"/>
      <c r="CE15" s="549"/>
      <c r="CF15" s="549"/>
      <c r="CG15" s="549"/>
      <c r="CH15" s="549"/>
      <c r="CI15" s="549"/>
      <c r="CJ15" s="549"/>
      <c r="CK15" s="549"/>
      <c r="CL15" s="549"/>
      <c r="CM15" s="549"/>
      <c r="CN15" s="549"/>
      <c r="CO15" s="549"/>
      <c r="CP15" s="549"/>
      <c r="CQ15" s="549"/>
      <c r="CR15" s="549"/>
      <c r="CS15" s="549"/>
      <c r="CT15" s="549"/>
      <c r="CU15" s="549"/>
      <c r="CV15" s="549"/>
      <c r="CW15" s="549"/>
      <c r="CX15" s="549"/>
      <c r="CY15" s="549"/>
      <c r="CZ15" s="549"/>
      <c r="DA15" s="549"/>
      <c r="DB15" s="549"/>
      <c r="DC15" s="549"/>
      <c r="DD15" s="549"/>
      <c r="DE15" s="549"/>
      <c r="DF15" s="549"/>
      <c r="DG15" s="549"/>
      <c r="DH15" s="549"/>
      <c r="DI15" s="549"/>
      <c r="DJ15" s="549"/>
      <c r="DK15" s="549"/>
      <c r="DL15" s="549"/>
      <c r="DM15" s="549"/>
      <c r="DN15" s="549"/>
      <c r="DO15" s="549"/>
      <c r="DP15" s="549"/>
      <c r="DQ15" s="549"/>
      <c r="DR15" s="549"/>
      <c r="DS15" s="549"/>
      <c r="DT15" s="549"/>
      <c r="DU15" s="549"/>
      <c r="DV15" s="549"/>
      <c r="DW15" s="549"/>
      <c r="DX15" s="549"/>
      <c r="DY15" s="549"/>
      <c r="DZ15" s="549"/>
      <c r="EA15" s="549"/>
      <c r="EB15" s="549"/>
      <c r="EC15" s="549"/>
      <c r="ED15" s="549"/>
      <c r="EE15" s="549"/>
      <c r="EF15" s="549"/>
      <c r="EG15" s="549"/>
      <c r="EH15" s="549"/>
      <c r="EI15" s="549"/>
      <c r="EJ15" s="549"/>
      <c r="EK15" s="549"/>
      <c r="EL15" s="549"/>
      <c r="EM15" s="549"/>
      <c r="EN15" s="549"/>
      <c r="EO15" s="549"/>
      <c r="EP15" s="549"/>
      <c r="EQ15" s="549"/>
      <c r="ER15" s="549"/>
      <c r="ES15" s="549"/>
      <c r="ET15" s="549"/>
      <c r="EU15" s="549"/>
      <c r="EV15" s="549"/>
      <c r="EW15" s="549"/>
      <c r="EX15" s="549"/>
      <c r="EY15" s="549"/>
      <c r="EZ15" s="549"/>
      <c r="FA15" s="549"/>
      <c r="FB15" s="549"/>
      <c r="FC15" s="549"/>
      <c r="FD15" s="549"/>
      <c r="FE15" s="549"/>
      <c r="FF15" s="549"/>
      <c r="FG15" s="549"/>
      <c r="FH15" s="549"/>
      <c r="FI15" s="549"/>
      <c r="FJ15" s="549"/>
      <c r="FK15" s="549"/>
      <c r="FL15" s="549"/>
      <c r="FM15" s="549"/>
      <c r="FN15" s="549"/>
      <c r="FO15" s="549"/>
      <c r="FP15" s="549"/>
      <c r="FQ15" s="549"/>
      <c r="FR15" s="549"/>
      <c r="FS15" s="549"/>
      <c r="FT15" s="549"/>
      <c r="FU15" s="549"/>
      <c r="FV15" s="549"/>
      <c r="FW15" s="549"/>
      <c r="FX15" s="549"/>
      <c r="FY15" s="549"/>
      <c r="FZ15" s="549"/>
      <c r="GA15" s="549"/>
      <c r="GB15" s="549"/>
      <c r="GC15" s="549"/>
      <c r="GD15" s="549"/>
      <c r="GE15" s="549"/>
      <c r="GF15" s="549"/>
      <c r="GG15" s="549"/>
      <c r="GH15" s="549"/>
      <c r="GI15" s="549"/>
      <c r="GJ15" s="549"/>
      <c r="GK15" s="549"/>
      <c r="GL15" s="549"/>
      <c r="GM15" s="549"/>
      <c r="GN15" s="549"/>
      <c r="GO15" s="549"/>
      <c r="GP15" s="549"/>
      <c r="GQ15" s="549"/>
      <c r="GR15" s="549"/>
      <c r="GS15" s="549"/>
      <c r="GT15" s="549"/>
      <c r="GU15" s="549"/>
      <c r="GV15" s="549"/>
      <c r="GW15" s="549"/>
      <c r="GX15" s="549"/>
      <c r="GY15" s="549"/>
      <c r="GZ15" s="549"/>
      <c r="HA15" s="549"/>
      <c r="HB15" s="549"/>
      <c r="HC15" s="549"/>
      <c r="HD15" s="549"/>
      <c r="HE15" s="549"/>
      <c r="HF15" s="549"/>
      <c r="HG15" s="549"/>
      <c r="HH15" s="549"/>
      <c r="HI15" s="549"/>
      <c r="HJ15" s="549"/>
      <c r="HK15" s="549"/>
      <c r="HL15" s="549"/>
      <c r="HM15" s="549"/>
      <c r="HN15" s="549"/>
      <c r="HO15" s="549"/>
      <c r="HP15" s="549"/>
      <c r="HQ15" s="549"/>
      <c r="HR15" s="549"/>
      <c r="HS15" s="549"/>
      <c r="HT15" s="549"/>
      <c r="HU15" s="549"/>
      <c r="HV15" s="549"/>
      <c r="HW15" s="549"/>
      <c r="HX15" s="549"/>
      <c r="HY15" s="549"/>
      <c r="HZ15" s="549"/>
      <c r="IA15" s="549"/>
      <c r="IB15" s="549"/>
      <c r="IC15" s="549"/>
      <c r="ID15" s="549"/>
      <c r="IE15" s="549"/>
      <c r="IF15" s="549"/>
      <c r="IG15" s="549"/>
      <c r="IH15" s="549"/>
      <c r="II15" s="549"/>
      <c r="IJ15" s="549"/>
      <c r="IK15" s="549"/>
      <c r="IL15" s="549"/>
      <c r="IM15" s="549"/>
      <c r="IN15" s="549"/>
      <c r="IO15" s="549"/>
      <c r="IP15" s="549"/>
      <c r="IQ15" s="549"/>
      <c r="IR15" s="549"/>
      <c r="IS15" s="549"/>
      <c r="IT15" s="549"/>
      <c r="IU15" s="549"/>
      <c r="IV15" s="549"/>
      <c r="IW15" s="549"/>
      <c r="IX15" s="549"/>
      <c r="IY15" s="549"/>
      <c r="IZ15" s="549"/>
      <c r="JA15" s="549"/>
      <c r="JB15" s="549"/>
      <c r="JC15" s="549"/>
      <c r="JD15" s="549"/>
      <c r="JE15" s="549"/>
      <c r="JF15" s="549"/>
      <c r="JG15" s="549"/>
      <c r="JH15" s="549"/>
      <c r="JI15" s="549"/>
      <c r="JJ15" s="549"/>
      <c r="JK15" s="549"/>
      <c r="JL15" s="549"/>
      <c r="JM15" s="549"/>
      <c r="JN15" s="549"/>
      <c r="JO15" s="549"/>
      <c r="JP15" s="549"/>
      <c r="JQ15" s="549"/>
      <c r="JR15" s="549"/>
      <c r="JS15" s="549"/>
      <c r="JT15" s="549"/>
      <c r="JU15" s="549"/>
      <c r="JV15" s="549"/>
      <c r="JW15" s="549"/>
      <c r="JX15" s="549"/>
      <c r="JY15" s="549"/>
      <c r="JZ15" s="549"/>
      <c r="KA15" s="549"/>
      <c r="KB15" s="549"/>
      <c r="KC15" s="549"/>
      <c r="KD15" s="549"/>
      <c r="KE15" s="549"/>
      <c r="KF15" s="549"/>
      <c r="KG15" s="549"/>
      <c r="KH15" s="549"/>
      <c r="KI15" s="549"/>
      <c r="KJ15" s="549"/>
      <c r="KK15" s="549"/>
      <c r="KL15" s="549"/>
      <c r="KM15" s="549"/>
      <c r="KN15" s="549"/>
      <c r="KO15" s="549"/>
      <c r="KP15" s="549"/>
      <c r="KQ15" s="549"/>
      <c r="KR15" s="549"/>
      <c r="KS15" s="549"/>
      <c r="KT15" s="549"/>
      <c r="KU15" s="549"/>
      <c r="KV15" s="549"/>
      <c r="KW15" s="549"/>
      <c r="KX15" s="549"/>
      <c r="KY15" s="549"/>
      <c r="KZ15" s="549"/>
      <c r="LA15" s="549"/>
      <c r="LB15" s="549"/>
      <c r="LC15" s="549"/>
      <c r="LD15" s="549"/>
      <c r="LE15" s="549"/>
      <c r="LF15" s="549"/>
      <c r="LG15" s="549"/>
      <c r="LH15" s="549"/>
      <c r="LI15" s="549"/>
      <c r="LJ15" s="549"/>
      <c r="LK15" s="549"/>
      <c r="LL15" s="549"/>
      <c r="LM15" s="549"/>
      <c r="LN15" s="549"/>
      <c r="LO15" s="549"/>
      <c r="LP15" s="549"/>
      <c r="LQ15" s="549"/>
      <c r="LR15" s="549"/>
      <c r="LS15" s="549"/>
      <c r="LT15" s="549"/>
      <c r="LU15" s="549"/>
      <c r="LV15" s="549"/>
      <c r="LW15" s="549"/>
      <c r="LX15" s="549"/>
      <c r="LY15" s="549"/>
      <c r="LZ15" s="549"/>
      <c r="MA15" s="549"/>
      <c r="MB15" s="549"/>
      <c r="MC15" s="549"/>
      <c r="MD15" s="549"/>
      <c r="ME15" s="549"/>
      <c r="MF15" s="549"/>
      <c r="MG15" s="549"/>
      <c r="MH15" s="549"/>
      <c r="MI15" s="549"/>
      <c r="MJ15" s="549"/>
      <c r="MK15" s="549"/>
      <c r="ML15" s="549"/>
      <c r="MM15" s="549"/>
      <c r="MN15" s="549"/>
      <c r="MO15" s="549"/>
      <c r="MP15" s="549"/>
      <c r="MQ15" s="549"/>
      <c r="MR15" s="549"/>
      <c r="MS15" s="549"/>
      <c r="MT15" s="549"/>
      <c r="MU15" s="549"/>
      <c r="MV15" s="549"/>
      <c r="MW15" s="549"/>
      <c r="MX15" s="549"/>
      <c r="MY15" s="549"/>
      <c r="MZ15" s="549"/>
      <c r="NA15" s="549"/>
      <c r="NB15" s="549"/>
      <c r="NC15" s="549"/>
      <c r="ND15" s="549"/>
      <c r="NE15" s="549"/>
      <c r="NF15" s="549"/>
      <c r="NG15" s="549"/>
      <c r="NH15" s="549"/>
      <c r="NI15" s="549"/>
      <c r="NJ15" s="549"/>
      <c r="NK15" s="549"/>
      <c r="NL15" s="549"/>
      <c r="NM15" s="549"/>
      <c r="NN15" s="549"/>
      <c r="NO15" s="549"/>
      <c r="NP15" s="549"/>
      <c r="NQ15" s="549"/>
      <c r="NR15" s="549"/>
      <c r="NS15" s="549"/>
      <c r="NT15" s="549"/>
      <c r="NU15" s="549"/>
      <c r="NV15" s="549"/>
      <c r="NW15" s="549"/>
      <c r="NX15" s="549"/>
      <c r="NY15" s="549"/>
      <c r="NZ15" s="549"/>
      <c r="OA15" s="549"/>
      <c r="OB15" s="549"/>
      <c r="OC15" s="549"/>
      <c r="OD15" s="549"/>
      <c r="OE15" s="549"/>
      <c r="OF15" s="549"/>
      <c r="OG15" s="549"/>
      <c r="OH15" s="549"/>
      <c r="OI15" s="549"/>
      <c r="OJ15" s="549"/>
      <c r="OK15" s="549"/>
      <c r="OL15" s="549"/>
      <c r="OM15" s="549"/>
      <c r="ON15" s="549"/>
      <c r="OO15" s="549"/>
      <c r="OP15" s="549"/>
      <c r="OQ15" s="549"/>
      <c r="OR15" s="549"/>
      <c r="OS15" s="549"/>
      <c r="OT15" s="549"/>
      <c r="OU15" s="549"/>
      <c r="OV15" s="549"/>
      <c r="OW15" s="549"/>
      <c r="OX15" s="549"/>
      <c r="OY15" s="549"/>
      <c r="OZ15" s="549"/>
      <c r="PA15" s="549"/>
      <c r="PB15" s="549"/>
      <c r="PC15" s="549"/>
      <c r="PD15" s="549"/>
      <c r="PE15" s="549"/>
      <c r="PF15" s="549"/>
      <c r="PG15" s="549"/>
      <c r="PH15" s="549"/>
      <c r="PI15" s="549"/>
      <c r="PJ15" s="549"/>
      <c r="PK15" s="549"/>
      <c r="PL15" s="549"/>
      <c r="PM15" s="549"/>
      <c r="PN15" s="549"/>
      <c r="PO15" s="549"/>
      <c r="PP15" s="549"/>
      <c r="PQ15" s="549"/>
      <c r="PR15" s="549"/>
      <c r="PS15" s="549"/>
      <c r="PT15" s="549"/>
      <c r="PU15" s="549"/>
      <c r="PV15" s="549"/>
      <c r="PW15" s="549"/>
      <c r="PX15" s="549"/>
      <c r="PY15" s="549"/>
      <c r="PZ15" s="549"/>
      <c r="QA15" s="549"/>
      <c r="QB15" s="549"/>
      <c r="QC15" s="549"/>
      <c r="QD15" s="549"/>
      <c r="QE15" s="549"/>
      <c r="QF15" s="549"/>
      <c r="QG15" s="549"/>
      <c r="QH15" s="549"/>
      <c r="QI15" s="549"/>
      <c r="QJ15" s="549"/>
      <c r="QK15" s="549"/>
      <c r="QL15" s="549"/>
      <c r="QM15" s="549"/>
      <c r="QN15" s="549"/>
      <c r="QO15" s="549"/>
      <c r="QP15" s="549"/>
      <c r="QQ15" s="549"/>
      <c r="QR15" s="549"/>
      <c r="QS15" s="549"/>
      <c r="QT15" s="549"/>
      <c r="QU15" s="549"/>
      <c r="QV15" s="549"/>
      <c r="QW15" s="549"/>
      <c r="QX15" s="549"/>
      <c r="QY15" s="549"/>
      <c r="QZ15" s="549"/>
      <c r="RA15" s="549"/>
      <c r="RB15" s="549"/>
      <c r="RC15" s="549"/>
      <c r="RD15" s="549"/>
      <c r="RE15" s="549"/>
      <c r="RF15" s="549"/>
      <c r="RG15" s="549"/>
      <c r="RH15" s="549"/>
      <c r="RI15" s="549"/>
      <c r="RJ15" s="549"/>
      <c r="RK15" s="549"/>
      <c r="RL15" s="549"/>
      <c r="RM15" s="549"/>
      <c r="RN15" s="549"/>
      <c r="RO15" s="549"/>
      <c r="RP15" s="549"/>
      <c r="RQ15" s="549"/>
      <c r="RR15" s="549"/>
      <c r="RS15" s="549"/>
      <c r="RT15" s="549"/>
      <c r="RU15" s="549"/>
      <c r="RV15" s="549"/>
      <c r="RW15" s="549"/>
      <c r="RX15" s="549"/>
    </row>
    <row r="16" spans="1:492" s="550" customFormat="1" ht="20.100000000000001" customHeight="1">
      <c r="A16" s="569" t="s">
        <v>126</v>
      </c>
      <c r="B16" s="594" t="s">
        <v>127</v>
      </c>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83"/>
      <c r="AN16" s="552"/>
      <c r="AO16" s="552"/>
      <c r="AP16" s="552"/>
      <c r="AQ16" s="584"/>
      <c r="AR16" s="553"/>
      <c r="AS16" s="553"/>
      <c r="AT16" s="553"/>
      <c r="AU16" s="553"/>
      <c r="AV16" s="553"/>
      <c r="AW16" s="552"/>
      <c r="AX16" s="552"/>
      <c r="AY16" s="552"/>
      <c r="AZ16" s="552"/>
      <c r="BA16" s="552"/>
      <c r="BB16" s="590"/>
      <c r="BC16" s="554"/>
      <c r="BD16" s="554"/>
      <c r="BE16" s="554"/>
      <c r="BF16" s="589"/>
      <c r="BG16" s="552"/>
      <c r="BH16" s="552"/>
      <c r="BI16" s="560">
        <v>3690.8</v>
      </c>
      <c r="BJ16" s="560">
        <f>3680.6-SUM(BG16:BI16)</f>
        <v>-10.200000000000273</v>
      </c>
      <c r="BK16" s="598">
        <f t="shared" si="12"/>
        <v>3680.6</v>
      </c>
      <c r="BL16" s="781">
        <v>0</v>
      </c>
      <c r="BM16" s="798">
        <v>0</v>
      </c>
      <c r="BN16" s="560"/>
      <c r="BO16" s="560"/>
      <c r="BP16" s="598">
        <f t="shared" si="13"/>
        <v>0</v>
      </c>
    </row>
    <row r="17" spans="1:492" s="550" customFormat="1" ht="20.100000000000001" customHeight="1" thickBot="1">
      <c r="A17" s="569" t="s">
        <v>87</v>
      </c>
      <c r="B17" s="594" t="s">
        <v>88</v>
      </c>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83"/>
      <c r="AN17" s="552"/>
      <c r="AO17" s="552"/>
      <c r="AP17" s="552"/>
      <c r="AQ17" s="584"/>
      <c r="AR17" s="552"/>
      <c r="AS17" s="552"/>
      <c r="AT17" s="552"/>
      <c r="AU17" s="552"/>
      <c r="AV17" s="553"/>
      <c r="AW17" s="552"/>
      <c r="AX17" s="552"/>
      <c r="AY17" s="552"/>
      <c r="AZ17" s="552"/>
      <c r="BA17" s="552"/>
      <c r="BB17" s="590"/>
      <c r="BC17" s="554"/>
      <c r="BD17" s="554"/>
      <c r="BE17" s="554"/>
      <c r="BF17" s="589"/>
      <c r="BG17" s="552"/>
      <c r="BH17" s="552"/>
      <c r="BI17" s="560"/>
      <c r="BJ17" s="560"/>
      <c r="BK17" s="598"/>
      <c r="BL17" s="560">
        <v>-34.1</v>
      </c>
      <c r="BM17" s="797">
        <v>0</v>
      </c>
      <c r="BN17" s="560"/>
      <c r="BO17" s="560"/>
      <c r="BP17" s="598">
        <f t="shared" si="13"/>
        <v>-34.1</v>
      </c>
    </row>
    <row r="18" spans="1:492" s="65" customFormat="1" ht="20.25" customHeight="1" thickBot="1">
      <c r="A18" s="568" t="s">
        <v>128</v>
      </c>
      <c r="B18" s="593" t="s">
        <v>129</v>
      </c>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581">
        <f>SUM(AM19:AM20)</f>
        <v>890</v>
      </c>
      <c r="AN18" s="431">
        <f t="shared" ref="AN18:AQ18" si="16">SUM(AN19:AN20)</f>
        <v>946.40000000000009</v>
      </c>
      <c r="AO18" s="431">
        <f t="shared" si="16"/>
        <v>920</v>
      </c>
      <c r="AP18" s="431">
        <f t="shared" si="16"/>
        <v>941.3</v>
      </c>
      <c r="AQ18" s="582">
        <f t="shared" si="16"/>
        <v>3697.7</v>
      </c>
      <c r="AR18" s="431"/>
      <c r="AS18" s="431"/>
      <c r="AT18" s="431"/>
      <c r="AU18" s="431"/>
      <c r="AV18" s="432"/>
      <c r="AW18" s="431">
        <f t="shared" ref="AW18:BE18" si="17">SUM(AW19:AW20)</f>
        <v>1038.3</v>
      </c>
      <c r="AX18" s="431">
        <f t="shared" si="17"/>
        <v>1076.0999999999999</v>
      </c>
      <c r="AY18" s="431">
        <f t="shared" si="17"/>
        <v>1020.4999999999999</v>
      </c>
      <c r="AZ18" s="431">
        <f t="shared" si="17"/>
        <v>1061.8000000000004</v>
      </c>
      <c r="BA18" s="573">
        <f t="shared" si="17"/>
        <v>4196.7</v>
      </c>
      <c r="BB18" s="581">
        <f t="shared" si="17"/>
        <v>1026.7</v>
      </c>
      <c r="BC18" s="431">
        <f t="shared" si="17"/>
        <v>960</v>
      </c>
      <c r="BD18" s="431">
        <f t="shared" si="17"/>
        <v>1078.9000000000001</v>
      </c>
      <c r="BE18" s="431">
        <f t="shared" si="17"/>
        <v>1126.3</v>
      </c>
      <c r="BF18" s="582">
        <f>SUM(BF19:BF20)</f>
        <v>4191.9000000000005</v>
      </c>
      <c r="BG18" s="431">
        <f>SUM(BG19:BG20)</f>
        <v>1082.7</v>
      </c>
      <c r="BH18" s="431">
        <f t="shared" ref="BH18:BJ18" si="18">SUM(BH19:BH20)</f>
        <v>1140.9000000000001</v>
      </c>
      <c r="BI18" s="431">
        <f t="shared" si="18"/>
        <v>4594.9999999999991</v>
      </c>
      <c r="BJ18" s="431">
        <f t="shared" si="18"/>
        <v>881.00000000000011</v>
      </c>
      <c r="BK18" s="582">
        <f>SUM(BK19:BK20)</f>
        <v>7699.6</v>
      </c>
      <c r="BL18" s="431">
        <f>SUM(BL19:BL21)</f>
        <v>766.6</v>
      </c>
      <c r="BM18" s="795">
        <f>SUM(BM19:BM22)</f>
        <v>893.3</v>
      </c>
      <c r="BN18" s="431">
        <f t="shared" ref="BN18:BO18" si="19">SUM(BN19:BN21)</f>
        <v>0</v>
      </c>
      <c r="BO18" s="431">
        <f t="shared" si="19"/>
        <v>0</v>
      </c>
      <c r="BP18" s="582">
        <f>SUM(BP19:BP22)</f>
        <v>1659.9</v>
      </c>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row>
    <row r="19" spans="1:492" s="550" customFormat="1" ht="20.100000000000001" customHeight="1">
      <c r="A19" s="567" t="s">
        <v>113</v>
      </c>
      <c r="B19" s="592" t="s">
        <v>114</v>
      </c>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78">
        <v>755</v>
      </c>
      <c r="AN19" s="548">
        <v>795.2</v>
      </c>
      <c r="AO19" s="548">
        <v>825.7</v>
      </c>
      <c r="AP19" s="548">
        <v>769</v>
      </c>
      <c r="AQ19" s="579">
        <f>SUM(AM19:AP19)</f>
        <v>3144.9</v>
      </c>
      <c r="AR19" s="548"/>
      <c r="AS19" s="548"/>
      <c r="AT19" s="548"/>
      <c r="AU19" s="548"/>
      <c r="AV19" s="543"/>
      <c r="AW19" s="548">
        <v>892.6</v>
      </c>
      <c r="AX19" s="548">
        <v>914.49999999999989</v>
      </c>
      <c r="AY19" s="548">
        <v>925.59999999999991</v>
      </c>
      <c r="AZ19" s="548">
        <v>867.10000000000036</v>
      </c>
      <c r="BA19" s="554">
        <f>SUM(AW19:AZ19)</f>
        <v>3599.8</v>
      </c>
      <c r="BB19" s="578">
        <v>879.6</v>
      </c>
      <c r="BC19" s="548">
        <v>841.4</v>
      </c>
      <c r="BD19" s="548">
        <v>943.80000000000018</v>
      </c>
      <c r="BE19" s="548">
        <v>925</v>
      </c>
      <c r="BF19" s="579">
        <f>SUM(BB19:BE19)</f>
        <v>3589.8</v>
      </c>
      <c r="BG19" s="548">
        <v>936.6</v>
      </c>
      <c r="BH19" s="548">
        <v>951.80000000000007</v>
      </c>
      <c r="BI19" s="548">
        <v>4477.0999999999995</v>
      </c>
      <c r="BJ19" s="548">
        <f>7070.3-SUM(BG19:BI19)</f>
        <v>704.80000000000018</v>
      </c>
      <c r="BK19" s="579">
        <f>SUM(BG19:BJ19)</f>
        <v>7070.3</v>
      </c>
      <c r="BL19" s="548">
        <v>671.1</v>
      </c>
      <c r="BM19" s="542">
        <f>1420.5-BL19</f>
        <v>749.4</v>
      </c>
      <c r="BN19" s="548"/>
      <c r="BO19" s="548"/>
      <c r="BP19" s="579">
        <f>SUM(BL19:BO19)</f>
        <v>1420.5</v>
      </c>
      <c r="BQ19" s="549"/>
      <c r="BR19" s="549"/>
      <c r="BS19" s="549"/>
      <c r="BT19" s="549"/>
      <c r="BU19" s="549"/>
      <c r="BV19" s="549"/>
      <c r="BW19" s="549"/>
      <c r="BX19" s="549"/>
      <c r="BY19" s="549"/>
      <c r="BZ19" s="549"/>
      <c r="CA19" s="549"/>
      <c r="CB19" s="549"/>
      <c r="CC19" s="549"/>
      <c r="CD19" s="549"/>
      <c r="CE19" s="549"/>
      <c r="CF19" s="549"/>
      <c r="CG19" s="549"/>
      <c r="CH19" s="549"/>
      <c r="CI19" s="549"/>
      <c r="CJ19" s="549"/>
      <c r="CK19" s="549"/>
      <c r="CL19" s="549"/>
      <c r="CM19" s="549"/>
      <c r="CN19" s="549"/>
      <c r="CO19" s="549"/>
      <c r="CP19" s="549"/>
      <c r="CQ19" s="549"/>
      <c r="CR19" s="549"/>
      <c r="CS19" s="549"/>
      <c r="CT19" s="549"/>
      <c r="CU19" s="549"/>
      <c r="CV19" s="549"/>
      <c r="CW19" s="549"/>
      <c r="CX19" s="549"/>
      <c r="CY19" s="549"/>
      <c r="CZ19" s="549"/>
      <c r="DA19" s="549"/>
      <c r="DB19" s="549"/>
      <c r="DC19" s="549"/>
      <c r="DD19" s="549"/>
      <c r="DE19" s="549"/>
      <c r="DF19" s="549"/>
      <c r="DG19" s="549"/>
      <c r="DH19" s="549"/>
      <c r="DI19" s="549"/>
      <c r="DJ19" s="549"/>
      <c r="DK19" s="549"/>
      <c r="DL19" s="549"/>
      <c r="DM19" s="549"/>
      <c r="DN19" s="549"/>
      <c r="DO19" s="549"/>
      <c r="DP19" s="549"/>
      <c r="DQ19" s="549"/>
      <c r="DR19" s="549"/>
      <c r="DS19" s="549"/>
      <c r="DT19" s="549"/>
      <c r="DU19" s="549"/>
      <c r="DV19" s="549"/>
      <c r="DW19" s="549"/>
      <c r="DX19" s="549"/>
      <c r="DY19" s="549"/>
      <c r="DZ19" s="549"/>
      <c r="EA19" s="549"/>
      <c r="EB19" s="549"/>
      <c r="EC19" s="549"/>
      <c r="ED19" s="549"/>
      <c r="EE19" s="549"/>
      <c r="EF19" s="549"/>
      <c r="EG19" s="549"/>
      <c r="EH19" s="549"/>
      <c r="EI19" s="549"/>
      <c r="EJ19" s="549"/>
      <c r="EK19" s="549"/>
      <c r="EL19" s="549"/>
      <c r="EM19" s="549"/>
      <c r="EN19" s="549"/>
      <c r="EO19" s="549"/>
      <c r="EP19" s="549"/>
      <c r="EQ19" s="549"/>
      <c r="ER19" s="549"/>
      <c r="ES19" s="549"/>
      <c r="ET19" s="549"/>
      <c r="EU19" s="549"/>
      <c r="EV19" s="549"/>
      <c r="EW19" s="549"/>
      <c r="EX19" s="549"/>
      <c r="EY19" s="549"/>
      <c r="EZ19" s="549"/>
      <c r="FA19" s="549"/>
      <c r="FB19" s="549"/>
      <c r="FC19" s="549"/>
      <c r="FD19" s="549"/>
      <c r="FE19" s="549"/>
      <c r="FF19" s="549"/>
      <c r="FG19" s="549"/>
      <c r="FH19" s="549"/>
      <c r="FI19" s="549"/>
      <c r="FJ19" s="549"/>
      <c r="FK19" s="549"/>
      <c r="FL19" s="549"/>
      <c r="FM19" s="549"/>
      <c r="FN19" s="549"/>
      <c r="FO19" s="549"/>
      <c r="FP19" s="549"/>
      <c r="FQ19" s="549"/>
      <c r="FR19" s="549"/>
      <c r="FS19" s="549"/>
      <c r="FT19" s="549"/>
      <c r="FU19" s="549"/>
      <c r="FV19" s="549"/>
      <c r="FW19" s="549"/>
      <c r="FX19" s="549"/>
      <c r="FY19" s="549"/>
      <c r="FZ19" s="549"/>
      <c r="GA19" s="549"/>
      <c r="GB19" s="549"/>
      <c r="GC19" s="549"/>
      <c r="GD19" s="549"/>
      <c r="GE19" s="549"/>
      <c r="GF19" s="549"/>
      <c r="GG19" s="549"/>
      <c r="GH19" s="549"/>
      <c r="GI19" s="549"/>
      <c r="GJ19" s="549"/>
      <c r="GK19" s="549"/>
      <c r="GL19" s="549"/>
      <c r="GM19" s="549"/>
      <c r="GN19" s="549"/>
      <c r="GO19" s="549"/>
      <c r="GP19" s="549"/>
      <c r="GQ19" s="549"/>
      <c r="GR19" s="549"/>
      <c r="GS19" s="549"/>
      <c r="GT19" s="549"/>
      <c r="GU19" s="549"/>
      <c r="GV19" s="549"/>
      <c r="GW19" s="549"/>
      <c r="GX19" s="549"/>
      <c r="GY19" s="549"/>
      <c r="GZ19" s="549"/>
      <c r="HA19" s="549"/>
      <c r="HB19" s="549"/>
      <c r="HC19" s="549"/>
      <c r="HD19" s="549"/>
      <c r="HE19" s="549"/>
      <c r="HF19" s="549"/>
      <c r="HG19" s="549"/>
      <c r="HH19" s="549"/>
      <c r="HI19" s="549"/>
      <c r="HJ19" s="549"/>
      <c r="HK19" s="549"/>
      <c r="HL19" s="549"/>
      <c r="HM19" s="549"/>
      <c r="HN19" s="549"/>
      <c r="HO19" s="549"/>
      <c r="HP19" s="549"/>
      <c r="HQ19" s="549"/>
      <c r="HR19" s="549"/>
      <c r="HS19" s="549"/>
      <c r="HT19" s="549"/>
      <c r="HU19" s="549"/>
      <c r="HV19" s="549"/>
      <c r="HW19" s="549"/>
      <c r="HX19" s="549"/>
      <c r="HY19" s="549"/>
      <c r="HZ19" s="549"/>
      <c r="IA19" s="549"/>
      <c r="IB19" s="549"/>
      <c r="IC19" s="549"/>
      <c r="ID19" s="549"/>
      <c r="IE19" s="549"/>
      <c r="IF19" s="549"/>
      <c r="IG19" s="549"/>
      <c r="IH19" s="549"/>
      <c r="II19" s="549"/>
      <c r="IJ19" s="549"/>
      <c r="IK19" s="549"/>
      <c r="IL19" s="549"/>
      <c r="IM19" s="549"/>
      <c r="IN19" s="549"/>
      <c r="IO19" s="549"/>
      <c r="IP19" s="549"/>
      <c r="IQ19" s="549"/>
      <c r="IR19" s="549"/>
      <c r="IS19" s="549"/>
      <c r="IT19" s="549"/>
      <c r="IU19" s="549"/>
      <c r="IV19" s="549"/>
      <c r="IW19" s="549"/>
      <c r="IX19" s="549"/>
      <c r="IY19" s="549"/>
      <c r="IZ19" s="549"/>
      <c r="JA19" s="549"/>
      <c r="JB19" s="549"/>
      <c r="JC19" s="549"/>
      <c r="JD19" s="549"/>
      <c r="JE19" s="549"/>
      <c r="JF19" s="549"/>
      <c r="JG19" s="549"/>
      <c r="JH19" s="549"/>
      <c r="JI19" s="549"/>
      <c r="JJ19" s="549"/>
      <c r="JK19" s="549"/>
      <c r="JL19" s="549"/>
      <c r="JM19" s="549"/>
      <c r="JN19" s="549"/>
      <c r="JO19" s="549"/>
      <c r="JP19" s="549"/>
      <c r="JQ19" s="549"/>
      <c r="JR19" s="549"/>
      <c r="JS19" s="549"/>
      <c r="JT19" s="549"/>
      <c r="JU19" s="549"/>
      <c r="JV19" s="549"/>
      <c r="JW19" s="549"/>
      <c r="JX19" s="549"/>
      <c r="JY19" s="549"/>
      <c r="JZ19" s="549"/>
      <c r="KA19" s="549"/>
      <c r="KB19" s="549"/>
      <c r="KC19" s="549"/>
      <c r="KD19" s="549"/>
      <c r="KE19" s="549"/>
      <c r="KF19" s="549"/>
      <c r="KG19" s="549"/>
      <c r="KH19" s="549"/>
      <c r="KI19" s="549"/>
      <c r="KJ19" s="549"/>
      <c r="KK19" s="549"/>
      <c r="KL19" s="549"/>
      <c r="KM19" s="549"/>
      <c r="KN19" s="549"/>
      <c r="KO19" s="549"/>
      <c r="KP19" s="549"/>
      <c r="KQ19" s="549"/>
      <c r="KR19" s="549"/>
      <c r="KS19" s="549"/>
      <c r="KT19" s="549"/>
      <c r="KU19" s="549"/>
      <c r="KV19" s="549"/>
      <c r="KW19" s="549"/>
      <c r="KX19" s="549"/>
      <c r="KY19" s="549"/>
      <c r="KZ19" s="549"/>
      <c r="LA19" s="549"/>
      <c r="LB19" s="549"/>
      <c r="LC19" s="549"/>
      <c r="LD19" s="549"/>
      <c r="LE19" s="549"/>
      <c r="LF19" s="549"/>
      <c r="LG19" s="549"/>
      <c r="LH19" s="549"/>
      <c r="LI19" s="549"/>
      <c r="LJ19" s="549"/>
      <c r="LK19" s="549"/>
      <c r="LL19" s="549"/>
      <c r="LM19" s="549"/>
      <c r="LN19" s="549"/>
      <c r="LO19" s="549"/>
      <c r="LP19" s="549"/>
      <c r="LQ19" s="549"/>
      <c r="LR19" s="549"/>
      <c r="LS19" s="549"/>
      <c r="LT19" s="549"/>
      <c r="LU19" s="549"/>
      <c r="LV19" s="549"/>
      <c r="LW19" s="549"/>
      <c r="LX19" s="549"/>
      <c r="LY19" s="549"/>
      <c r="LZ19" s="549"/>
      <c r="MA19" s="549"/>
      <c r="MB19" s="549"/>
      <c r="MC19" s="549"/>
      <c r="MD19" s="549"/>
      <c r="ME19" s="549"/>
      <c r="MF19" s="549"/>
      <c r="MG19" s="549"/>
      <c r="MH19" s="549"/>
      <c r="MI19" s="549"/>
      <c r="MJ19" s="549"/>
      <c r="MK19" s="549"/>
      <c r="ML19" s="549"/>
      <c r="MM19" s="549"/>
      <c r="MN19" s="549"/>
      <c r="MO19" s="549"/>
      <c r="MP19" s="549"/>
      <c r="MQ19" s="549"/>
      <c r="MR19" s="549"/>
      <c r="MS19" s="549"/>
      <c r="MT19" s="549"/>
      <c r="MU19" s="549"/>
      <c r="MV19" s="549"/>
      <c r="MW19" s="549"/>
      <c r="MX19" s="549"/>
      <c r="MY19" s="549"/>
      <c r="MZ19" s="549"/>
      <c r="NA19" s="549"/>
      <c r="NB19" s="549"/>
      <c r="NC19" s="549"/>
      <c r="ND19" s="549"/>
      <c r="NE19" s="549"/>
      <c r="NF19" s="549"/>
      <c r="NG19" s="549"/>
      <c r="NH19" s="549"/>
      <c r="NI19" s="549"/>
      <c r="NJ19" s="549"/>
      <c r="NK19" s="549"/>
      <c r="NL19" s="549"/>
      <c r="NM19" s="549"/>
      <c r="NN19" s="549"/>
      <c r="NO19" s="549"/>
      <c r="NP19" s="549"/>
      <c r="NQ19" s="549"/>
      <c r="NR19" s="549"/>
      <c r="NS19" s="549"/>
      <c r="NT19" s="549"/>
      <c r="NU19" s="549"/>
      <c r="NV19" s="549"/>
      <c r="NW19" s="549"/>
      <c r="NX19" s="549"/>
      <c r="NY19" s="549"/>
      <c r="NZ19" s="549"/>
      <c r="OA19" s="549"/>
      <c r="OB19" s="549"/>
      <c r="OC19" s="549"/>
      <c r="OD19" s="549"/>
      <c r="OE19" s="549"/>
      <c r="OF19" s="549"/>
      <c r="OG19" s="549"/>
      <c r="OH19" s="549"/>
      <c r="OI19" s="549"/>
      <c r="OJ19" s="549"/>
      <c r="OK19" s="549"/>
      <c r="OL19" s="549"/>
      <c r="OM19" s="549"/>
      <c r="ON19" s="549"/>
      <c r="OO19" s="549"/>
      <c r="OP19" s="549"/>
      <c r="OQ19" s="549"/>
      <c r="OR19" s="549"/>
      <c r="OS19" s="549"/>
      <c r="OT19" s="549"/>
      <c r="OU19" s="549"/>
      <c r="OV19" s="549"/>
      <c r="OW19" s="549"/>
      <c r="OX19" s="549"/>
      <c r="OY19" s="549"/>
      <c r="OZ19" s="549"/>
      <c r="PA19" s="549"/>
      <c r="PB19" s="549"/>
      <c r="PC19" s="549"/>
      <c r="PD19" s="549"/>
      <c r="PE19" s="549"/>
      <c r="PF19" s="549"/>
      <c r="PG19" s="549"/>
      <c r="PH19" s="549"/>
      <c r="PI19" s="549"/>
      <c r="PJ19" s="549"/>
      <c r="PK19" s="549"/>
      <c r="PL19" s="549"/>
      <c r="PM19" s="549"/>
      <c r="PN19" s="549"/>
      <c r="PO19" s="549"/>
      <c r="PP19" s="549"/>
      <c r="PQ19" s="549"/>
      <c r="PR19" s="549"/>
      <c r="PS19" s="549"/>
      <c r="PT19" s="549"/>
      <c r="PU19" s="549"/>
      <c r="PV19" s="549"/>
      <c r="PW19" s="549"/>
      <c r="PX19" s="549"/>
      <c r="PY19" s="549"/>
      <c r="PZ19" s="549"/>
      <c r="QA19" s="549"/>
      <c r="QB19" s="549"/>
      <c r="QC19" s="549"/>
      <c r="QD19" s="549"/>
      <c r="QE19" s="549"/>
      <c r="QF19" s="549"/>
      <c r="QG19" s="549"/>
      <c r="QH19" s="549"/>
      <c r="QI19" s="549"/>
      <c r="QJ19" s="549"/>
      <c r="QK19" s="549"/>
      <c r="QL19" s="549"/>
      <c r="QM19" s="549"/>
      <c r="QN19" s="549"/>
      <c r="QO19" s="549"/>
      <c r="QP19" s="549"/>
      <c r="QQ19" s="549"/>
      <c r="QR19" s="549"/>
      <c r="QS19" s="549"/>
      <c r="QT19" s="549"/>
      <c r="QU19" s="549"/>
      <c r="QV19" s="549"/>
      <c r="QW19" s="549"/>
      <c r="QX19" s="549"/>
      <c r="QY19" s="549"/>
      <c r="QZ19" s="549"/>
      <c r="RA19" s="549"/>
      <c r="RB19" s="549"/>
      <c r="RC19" s="549"/>
      <c r="RD19" s="549"/>
      <c r="RE19" s="549"/>
      <c r="RF19" s="549"/>
      <c r="RG19" s="549"/>
      <c r="RH19" s="549"/>
      <c r="RI19" s="549"/>
      <c r="RJ19" s="549"/>
      <c r="RK19" s="549"/>
      <c r="RL19" s="549"/>
      <c r="RM19" s="549"/>
      <c r="RN19" s="549"/>
      <c r="RO19" s="549"/>
      <c r="RP19" s="549"/>
      <c r="RQ19" s="549"/>
      <c r="RR19" s="549"/>
      <c r="RS19" s="549"/>
      <c r="RT19" s="549"/>
      <c r="RU19" s="549"/>
      <c r="RV19" s="549"/>
      <c r="RW19" s="549"/>
      <c r="RX19" s="549"/>
    </row>
    <row r="20" spans="1:492" s="550" customFormat="1" ht="20.100000000000001" customHeight="1">
      <c r="A20" s="567" t="s">
        <v>115</v>
      </c>
      <c r="B20" s="592" t="s">
        <v>116</v>
      </c>
      <c r="C20" s="547"/>
      <c r="D20" s="547"/>
      <c r="E20" s="547"/>
      <c r="F20" s="547"/>
      <c r="G20" s="547"/>
      <c r="H20" s="547"/>
      <c r="I20" s="547"/>
      <c r="J20" s="547"/>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547"/>
      <c r="AK20" s="547"/>
      <c r="AL20" s="547"/>
      <c r="AM20" s="578">
        <v>135</v>
      </c>
      <c r="AN20" s="548">
        <v>151.19999999999999</v>
      </c>
      <c r="AO20" s="548">
        <v>94.300000000000011</v>
      </c>
      <c r="AP20" s="548">
        <v>172.29999999999995</v>
      </c>
      <c r="AQ20" s="579">
        <f>SUM(AM20:AP20)</f>
        <v>552.79999999999995</v>
      </c>
      <c r="AR20" s="548"/>
      <c r="AS20" s="548"/>
      <c r="AT20" s="548"/>
      <c r="AU20" s="548"/>
      <c r="AV20" s="543"/>
      <c r="AW20" s="548">
        <v>145.69999999999999</v>
      </c>
      <c r="AX20" s="548">
        <v>161.60000000000002</v>
      </c>
      <c r="AY20" s="548">
        <v>94.899999999999977</v>
      </c>
      <c r="AZ20" s="548">
        <v>194.7</v>
      </c>
      <c r="BA20" s="554">
        <f>SUM(AW20:AZ20)</f>
        <v>596.9</v>
      </c>
      <c r="BB20" s="578">
        <v>147.1</v>
      </c>
      <c r="BC20" s="548">
        <v>118.6</v>
      </c>
      <c r="BD20" s="548">
        <v>135.10000000000002</v>
      </c>
      <c r="BE20" s="548">
        <v>201.3</v>
      </c>
      <c r="BF20" s="579">
        <f>SUM(BB20:BE20)</f>
        <v>602.1</v>
      </c>
      <c r="BG20" s="548">
        <v>146.1</v>
      </c>
      <c r="BH20" s="548">
        <v>189.1</v>
      </c>
      <c r="BI20" s="548">
        <v>117.9</v>
      </c>
      <c r="BJ20" s="548">
        <f>629.3-SUM(BG20:BI20)</f>
        <v>176.19999999999993</v>
      </c>
      <c r="BK20" s="579">
        <f>SUM(BG20:BJ20)</f>
        <v>629.29999999999995</v>
      </c>
      <c r="BL20" s="548">
        <v>95.5</v>
      </c>
      <c r="BM20" s="542">
        <f>237.9-BL20</f>
        <v>142.4</v>
      </c>
      <c r="BN20" s="548"/>
      <c r="BO20" s="548"/>
      <c r="BP20" s="579">
        <f>SUM(BL20:BO20)</f>
        <v>237.9</v>
      </c>
      <c r="BQ20" s="549"/>
      <c r="BR20" s="549"/>
      <c r="BS20" s="549"/>
      <c r="BT20" s="549"/>
      <c r="BU20" s="549"/>
      <c r="BV20" s="549"/>
      <c r="BW20" s="549"/>
      <c r="BX20" s="549"/>
      <c r="BY20" s="549"/>
      <c r="BZ20" s="549"/>
      <c r="CA20" s="549"/>
      <c r="CB20" s="549"/>
      <c r="CC20" s="549"/>
      <c r="CD20" s="549"/>
      <c r="CE20" s="549"/>
      <c r="CF20" s="549"/>
      <c r="CG20" s="549"/>
      <c r="CH20" s="549"/>
      <c r="CI20" s="549"/>
      <c r="CJ20" s="549"/>
      <c r="CK20" s="549"/>
      <c r="CL20" s="549"/>
      <c r="CM20" s="549"/>
      <c r="CN20" s="549"/>
      <c r="CO20" s="549"/>
      <c r="CP20" s="549"/>
      <c r="CQ20" s="549"/>
      <c r="CR20" s="549"/>
      <c r="CS20" s="549"/>
      <c r="CT20" s="549"/>
      <c r="CU20" s="549"/>
      <c r="CV20" s="549"/>
      <c r="CW20" s="549"/>
      <c r="CX20" s="549"/>
      <c r="CY20" s="549"/>
      <c r="CZ20" s="549"/>
      <c r="DA20" s="549"/>
      <c r="DB20" s="549"/>
      <c r="DC20" s="549"/>
      <c r="DD20" s="549"/>
      <c r="DE20" s="549"/>
      <c r="DF20" s="549"/>
      <c r="DG20" s="549"/>
      <c r="DH20" s="549"/>
      <c r="DI20" s="549"/>
      <c r="DJ20" s="549"/>
      <c r="DK20" s="549"/>
      <c r="DL20" s="549"/>
      <c r="DM20" s="549"/>
      <c r="DN20" s="549"/>
      <c r="DO20" s="549"/>
      <c r="DP20" s="549"/>
      <c r="DQ20" s="549"/>
      <c r="DR20" s="549"/>
      <c r="DS20" s="549"/>
      <c r="DT20" s="549"/>
      <c r="DU20" s="549"/>
      <c r="DV20" s="549"/>
      <c r="DW20" s="549"/>
      <c r="DX20" s="549"/>
      <c r="DY20" s="549"/>
      <c r="DZ20" s="549"/>
      <c r="EA20" s="549"/>
      <c r="EB20" s="549"/>
      <c r="EC20" s="549"/>
      <c r="ED20" s="549"/>
      <c r="EE20" s="549"/>
      <c r="EF20" s="549"/>
      <c r="EG20" s="549"/>
      <c r="EH20" s="549"/>
      <c r="EI20" s="549"/>
      <c r="EJ20" s="549"/>
      <c r="EK20" s="549"/>
      <c r="EL20" s="549"/>
      <c r="EM20" s="549"/>
      <c r="EN20" s="549"/>
      <c r="EO20" s="549"/>
      <c r="EP20" s="549"/>
      <c r="EQ20" s="549"/>
      <c r="ER20" s="549"/>
      <c r="ES20" s="549"/>
      <c r="ET20" s="549"/>
      <c r="EU20" s="549"/>
      <c r="EV20" s="549"/>
      <c r="EW20" s="549"/>
      <c r="EX20" s="549"/>
      <c r="EY20" s="549"/>
      <c r="EZ20" s="549"/>
      <c r="FA20" s="549"/>
      <c r="FB20" s="549"/>
      <c r="FC20" s="549"/>
      <c r="FD20" s="549"/>
      <c r="FE20" s="549"/>
      <c r="FF20" s="549"/>
      <c r="FG20" s="549"/>
      <c r="FH20" s="549"/>
      <c r="FI20" s="549"/>
      <c r="FJ20" s="549"/>
      <c r="FK20" s="549"/>
      <c r="FL20" s="549"/>
      <c r="FM20" s="549"/>
      <c r="FN20" s="549"/>
      <c r="FO20" s="549"/>
      <c r="FP20" s="549"/>
      <c r="FQ20" s="549"/>
      <c r="FR20" s="549"/>
      <c r="FS20" s="549"/>
      <c r="FT20" s="549"/>
      <c r="FU20" s="549"/>
      <c r="FV20" s="549"/>
      <c r="FW20" s="549"/>
      <c r="FX20" s="549"/>
      <c r="FY20" s="549"/>
      <c r="FZ20" s="549"/>
      <c r="GA20" s="549"/>
      <c r="GB20" s="549"/>
      <c r="GC20" s="549"/>
      <c r="GD20" s="549"/>
      <c r="GE20" s="549"/>
      <c r="GF20" s="549"/>
      <c r="GG20" s="549"/>
      <c r="GH20" s="549"/>
      <c r="GI20" s="549"/>
      <c r="GJ20" s="549"/>
      <c r="GK20" s="549"/>
      <c r="GL20" s="549"/>
      <c r="GM20" s="549"/>
      <c r="GN20" s="549"/>
      <c r="GO20" s="549"/>
      <c r="GP20" s="549"/>
      <c r="GQ20" s="549"/>
      <c r="GR20" s="549"/>
      <c r="GS20" s="549"/>
      <c r="GT20" s="549"/>
      <c r="GU20" s="549"/>
      <c r="GV20" s="549"/>
      <c r="GW20" s="549"/>
      <c r="GX20" s="549"/>
      <c r="GY20" s="549"/>
      <c r="GZ20" s="549"/>
      <c r="HA20" s="549"/>
      <c r="HB20" s="549"/>
      <c r="HC20" s="549"/>
      <c r="HD20" s="549"/>
      <c r="HE20" s="549"/>
      <c r="HF20" s="549"/>
      <c r="HG20" s="549"/>
      <c r="HH20" s="549"/>
      <c r="HI20" s="549"/>
      <c r="HJ20" s="549"/>
      <c r="HK20" s="549"/>
      <c r="HL20" s="549"/>
      <c r="HM20" s="549"/>
      <c r="HN20" s="549"/>
      <c r="HO20" s="549"/>
      <c r="HP20" s="549"/>
      <c r="HQ20" s="549"/>
      <c r="HR20" s="549"/>
      <c r="HS20" s="549"/>
      <c r="HT20" s="549"/>
      <c r="HU20" s="549"/>
      <c r="HV20" s="549"/>
      <c r="HW20" s="549"/>
      <c r="HX20" s="549"/>
      <c r="HY20" s="549"/>
      <c r="HZ20" s="549"/>
      <c r="IA20" s="549"/>
      <c r="IB20" s="549"/>
      <c r="IC20" s="549"/>
      <c r="ID20" s="549"/>
      <c r="IE20" s="549"/>
      <c r="IF20" s="549"/>
      <c r="IG20" s="549"/>
      <c r="IH20" s="549"/>
      <c r="II20" s="549"/>
      <c r="IJ20" s="549"/>
      <c r="IK20" s="549"/>
      <c r="IL20" s="549"/>
      <c r="IM20" s="549"/>
      <c r="IN20" s="549"/>
      <c r="IO20" s="549"/>
      <c r="IP20" s="549"/>
      <c r="IQ20" s="549"/>
      <c r="IR20" s="549"/>
      <c r="IS20" s="549"/>
      <c r="IT20" s="549"/>
      <c r="IU20" s="549"/>
      <c r="IV20" s="549"/>
      <c r="IW20" s="549"/>
      <c r="IX20" s="549"/>
      <c r="IY20" s="549"/>
      <c r="IZ20" s="549"/>
      <c r="JA20" s="549"/>
      <c r="JB20" s="549"/>
      <c r="JC20" s="549"/>
      <c r="JD20" s="549"/>
      <c r="JE20" s="549"/>
      <c r="JF20" s="549"/>
      <c r="JG20" s="549"/>
      <c r="JH20" s="549"/>
      <c r="JI20" s="549"/>
      <c r="JJ20" s="549"/>
      <c r="JK20" s="549"/>
      <c r="JL20" s="549"/>
      <c r="JM20" s="549"/>
      <c r="JN20" s="549"/>
      <c r="JO20" s="549"/>
      <c r="JP20" s="549"/>
      <c r="JQ20" s="549"/>
      <c r="JR20" s="549"/>
      <c r="JS20" s="549"/>
      <c r="JT20" s="549"/>
      <c r="JU20" s="549"/>
      <c r="JV20" s="549"/>
      <c r="JW20" s="549"/>
      <c r="JX20" s="549"/>
      <c r="JY20" s="549"/>
      <c r="JZ20" s="549"/>
      <c r="KA20" s="549"/>
      <c r="KB20" s="549"/>
      <c r="KC20" s="549"/>
      <c r="KD20" s="549"/>
      <c r="KE20" s="549"/>
      <c r="KF20" s="549"/>
      <c r="KG20" s="549"/>
      <c r="KH20" s="549"/>
      <c r="KI20" s="549"/>
      <c r="KJ20" s="549"/>
      <c r="KK20" s="549"/>
      <c r="KL20" s="549"/>
      <c r="KM20" s="549"/>
      <c r="KN20" s="549"/>
      <c r="KO20" s="549"/>
      <c r="KP20" s="549"/>
      <c r="KQ20" s="549"/>
      <c r="KR20" s="549"/>
      <c r="KS20" s="549"/>
      <c r="KT20" s="549"/>
      <c r="KU20" s="549"/>
      <c r="KV20" s="549"/>
      <c r="KW20" s="549"/>
      <c r="KX20" s="549"/>
      <c r="KY20" s="549"/>
      <c r="KZ20" s="549"/>
      <c r="LA20" s="549"/>
      <c r="LB20" s="549"/>
      <c r="LC20" s="549"/>
      <c r="LD20" s="549"/>
      <c r="LE20" s="549"/>
      <c r="LF20" s="549"/>
      <c r="LG20" s="549"/>
      <c r="LH20" s="549"/>
      <c r="LI20" s="549"/>
      <c r="LJ20" s="549"/>
      <c r="LK20" s="549"/>
      <c r="LL20" s="549"/>
      <c r="LM20" s="549"/>
      <c r="LN20" s="549"/>
      <c r="LO20" s="549"/>
      <c r="LP20" s="549"/>
      <c r="LQ20" s="549"/>
      <c r="LR20" s="549"/>
      <c r="LS20" s="549"/>
      <c r="LT20" s="549"/>
      <c r="LU20" s="549"/>
      <c r="LV20" s="549"/>
      <c r="LW20" s="549"/>
      <c r="LX20" s="549"/>
      <c r="LY20" s="549"/>
      <c r="LZ20" s="549"/>
      <c r="MA20" s="549"/>
      <c r="MB20" s="549"/>
      <c r="MC20" s="549"/>
      <c r="MD20" s="549"/>
      <c r="ME20" s="549"/>
      <c r="MF20" s="549"/>
      <c r="MG20" s="549"/>
      <c r="MH20" s="549"/>
      <c r="MI20" s="549"/>
      <c r="MJ20" s="549"/>
      <c r="MK20" s="549"/>
      <c r="ML20" s="549"/>
      <c r="MM20" s="549"/>
      <c r="MN20" s="549"/>
      <c r="MO20" s="549"/>
      <c r="MP20" s="549"/>
      <c r="MQ20" s="549"/>
      <c r="MR20" s="549"/>
      <c r="MS20" s="549"/>
      <c r="MT20" s="549"/>
      <c r="MU20" s="549"/>
      <c r="MV20" s="549"/>
      <c r="MW20" s="549"/>
      <c r="MX20" s="549"/>
      <c r="MY20" s="549"/>
      <c r="MZ20" s="549"/>
      <c r="NA20" s="549"/>
      <c r="NB20" s="549"/>
      <c r="NC20" s="549"/>
      <c r="ND20" s="549"/>
      <c r="NE20" s="549"/>
      <c r="NF20" s="549"/>
      <c r="NG20" s="549"/>
      <c r="NH20" s="549"/>
      <c r="NI20" s="549"/>
      <c r="NJ20" s="549"/>
      <c r="NK20" s="549"/>
      <c r="NL20" s="549"/>
      <c r="NM20" s="549"/>
      <c r="NN20" s="549"/>
      <c r="NO20" s="549"/>
      <c r="NP20" s="549"/>
      <c r="NQ20" s="549"/>
      <c r="NR20" s="549"/>
      <c r="NS20" s="549"/>
      <c r="NT20" s="549"/>
      <c r="NU20" s="549"/>
      <c r="NV20" s="549"/>
      <c r="NW20" s="549"/>
      <c r="NX20" s="549"/>
      <c r="NY20" s="549"/>
      <c r="NZ20" s="549"/>
      <c r="OA20" s="549"/>
      <c r="OB20" s="549"/>
      <c r="OC20" s="549"/>
      <c r="OD20" s="549"/>
      <c r="OE20" s="549"/>
      <c r="OF20" s="549"/>
      <c r="OG20" s="549"/>
      <c r="OH20" s="549"/>
      <c r="OI20" s="549"/>
      <c r="OJ20" s="549"/>
      <c r="OK20" s="549"/>
      <c r="OL20" s="549"/>
      <c r="OM20" s="549"/>
      <c r="ON20" s="549"/>
      <c r="OO20" s="549"/>
      <c r="OP20" s="549"/>
      <c r="OQ20" s="549"/>
      <c r="OR20" s="549"/>
      <c r="OS20" s="549"/>
      <c r="OT20" s="549"/>
      <c r="OU20" s="549"/>
      <c r="OV20" s="549"/>
      <c r="OW20" s="549"/>
      <c r="OX20" s="549"/>
      <c r="OY20" s="549"/>
      <c r="OZ20" s="549"/>
      <c r="PA20" s="549"/>
      <c r="PB20" s="549"/>
      <c r="PC20" s="549"/>
      <c r="PD20" s="549"/>
      <c r="PE20" s="549"/>
      <c r="PF20" s="549"/>
      <c r="PG20" s="549"/>
      <c r="PH20" s="549"/>
      <c r="PI20" s="549"/>
      <c r="PJ20" s="549"/>
      <c r="PK20" s="549"/>
      <c r="PL20" s="549"/>
      <c r="PM20" s="549"/>
      <c r="PN20" s="549"/>
      <c r="PO20" s="549"/>
      <c r="PP20" s="549"/>
      <c r="PQ20" s="549"/>
      <c r="PR20" s="549"/>
      <c r="PS20" s="549"/>
      <c r="PT20" s="549"/>
      <c r="PU20" s="549"/>
      <c r="PV20" s="549"/>
      <c r="PW20" s="549"/>
      <c r="PX20" s="549"/>
      <c r="PY20" s="549"/>
      <c r="PZ20" s="549"/>
      <c r="QA20" s="549"/>
      <c r="QB20" s="549"/>
      <c r="QC20" s="549"/>
      <c r="QD20" s="549"/>
      <c r="QE20" s="549"/>
      <c r="QF20" s="549"/>
      <c r="QG20" s="549"/>
      <c r="QH20" s="549"/>
      <c r="QI20" s="549"/>
      <c r="QJ20" s="549"/>
      <c r="QK20" s="549"/>
      <c r="QL20" s="549"/>
      <c r="QM20" s="549"/>
      <c r="QN20" s="549"/>
      <c r="QO20" s="549"/>
      <c r="QP20" s="549"/>
      <c r="QQ20" s="549"/>
      <c r="QR20" s="549"/>
      <c r="QS20" s="549"/>
      <c r="QT20" s="549"/>
      <c r="QU20" s="549"/>
      <c r="QV20" s="549"/>
      <c r="QW20" s="549"/>
      <c r="QX20" s="549"/>
      <c r="QY20" s="549"/>
      <c r="QZ20" s="549"/>
      <c r="RA20" s="549"/>
      <c r="RB20" s="549"/>
      <c r="RC20" s="549"/>
      <c r="RD20" s="549"/>
      <c r="RE20" s="549"/>
      <c r="RF20" s="549"/>
      <c r="RG20" s="549"/>
      <c r="RH20" s="549"/>
      <c r="RI20" s="549"/>
      <c r="RJ20" s="549"/>
      <c r="RK20" s="549"/>
      <c r="RL20" s="549"/>
      <c r="RM20" s="549"/>
      <c r="RN20" s="549"/>
      <c r="RO20" s="549"/>
      <c r="RP20" s="549"/>
      <c r="RQ20" s="549"/>
      <c r="RR20" s="549"/>
      <c r="RS20" s="549"/>
      <c r="RT20" s="549"/>
      <c r="RU20" s="549"/>
      <c r="RV20" s="549"/>
      <c r="RW20" s="549"/>
      <c r="RX20" s="549"/>
    </row>
    <row r="21" spans="1:492" s="550" customFormat="1" ht="20.100000000000001" customHeight="1">
      <c r="A21" s="567" t="s">
        <v>123</v>
      </c>
      <c r="B21" s="592" t="s">
        <v>118</v>
      </c>
      <c r="C21" s="547"/>
      <c r="D21" s="547"/>
      <c r="E21" s="547"/>
      <c r="F21" s="547"/>
      <c r="G21" s="547"/>
      <c r="H21" s="547"/>
      <c r="I21" s="547"/>
      <c r="J21" s="547"/>
      <c r="K21" s="547"/>
      <c r="L21" s="547"/>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78"/>
      <c r="AN21" s="548"/>
      <c r="AO21" s="548"/>
      <c r="AP21" s="548"/>
      <c r="AQ21" s="579"/>
      <c r="AR21" s="548"/>
      <c r="AS21" s="548"/>
      <c r="AT21" s="548"/>
      <c r="AU21" s="548"/>
      <c r="AV21" s="543"/>
      <c r="AW21" s="548"/>
      <c r="AX21" s="548"/>
      <c r="AY21" s="548"/>
      <c r="AZ21" s="548"/>
      <c r="BA21" s="554"/>
      <c r="BB21" s="578"/>
      <c r="BC21" s="548"/>
      <c r="BD21" s="548"/>
      <c r="BE21" s="548"/>
      <c r="BF21" s="579"/>
      <c r="BG21" s="548"/>
      <c r="BH21" s="548"/>
      <c r="BI21" s="548"/>
      <c r="BJ21" s="548"/>
      <c r="BK21" s="579"/>
      <c r="BL21" s="548"/>
      <c r="BM21" s="542">
        <v>3.7</v>
      </c>
      <c r="BN21" s="548"/>
      <c r="BO21" s="548"/>
      <c r="BP21" s="579">
        <f>SUM(BL21:BO21)</f>
        <v>3.7</v>
      </c>
      <c r="BQ21" s="549"/>
      <c r="BR21" s="549"/>
      <c r="BS21" s="549"/>
      <c r="BT21" s="549"/>
      <c r="BU21" s="549"/>
      <c r="BV21" s="549"/>
      <c r="BW21" s="549"/>
      <c r="BX21" s="549"/>
      <c r="BY21" s="549"/>
      <c r="BZ21" s="549"/>
      <c r="CA21" s="549"/>
      <c r="CB21" s="549"/>
      <c r="CC21" s="549"/>
      <c r="CD21" s="549"/>
      <c r="CE21" s="549"/>
      <c r="CF21" s="549"/>
      <c r="CG21" s="549"/>
      <c r="CH21" s="549"/>
      <c r="CI21" s="549"/>
      <c r="CJ21" s="549"/>
      <c r="CK21" s="549"/>
      <c r="CL21" s="549"/>
      <c r="CM21" s="549"/>
      <c r="CN21" s="549"/>
      <c r="CO21" s="549"/>
      <c r="CP21" s="549"/>
      <c r="CQ21" s="549"/>
      <c r="CR21" s="549"/>
      <c r="CS21" s="549"/>
      <c r="CT21" s="549"/>
      <c r="CU21" s="549"/>
      <c r="CV21" s="549"/>
      <c r="CW21" s="549"/>
      <c r="CX21" s="549"/>
      <c r="CY21" s="549"/>
      <c r="CZ21" s="549"/>
      <c r="DA21" s="549"/>
      <c r="DB21" s="549"/>
      <c r="DC21" s="549"/>
      <c r="DD21" s="549"/>
      <c r="DE21" s="549"/>
      <c r="DF21" s="549"/>
      <c r="DG21" s="549"/>
      <c r="DH21" s="549"/>
      <c r="DI21" s="549"/>
      <c r="DJ21" s="549"/>
      <c r="DK21" s="549"/>
      <c r="DL21" s="549"/>
      <c r="DM21" s="549"/>
      <c r="DN21" s="549"/>
      <c r="DO21" s="549"/>
      <c r="DP21" s="549"/>
      <c r="DQ21" s="549"/>
      <c r="DR21" s="549"/>
      <c r="DS21" s="549"/>
      <c r="DT21" s="549"/>
      <c r="DU21" s="549"/>
      <c r="DV21" s="549"/>
      <c r="DW21" s="549"/>
      <c r="DX21" s="549"/>
      <c r="DY21" s="549"/>
      <c r="DZ21" s="549"/>
      <c r="EA21" s="549"/>
      <c r="EB21" s="549"/>
      <c r="EC21" s="549"/>
      <c r="ED21" s="549"/>
      <c r="EE21" s="549"/>
      <c r="EF21" s="549"/>
      <c r="EG21" s="549"/>
      <c r="EH21" s="549"/>
      <c r="EI21" s="549"/>
      <c r="EJ21" s="549"/>
      <c r="EK21" s="549"/>
      <c r="EL21" s="549"/>
      <c r="EM21" s="549"/>
      <c r="EN21" s="549"/>
      <c r="EO21" s="549"/>
      <c r="EP21" s="549"/>
      <c r="EQ21" s="549"/>
      <c r="ER21" s="549"/>
      <c r="ES21" s="549"/>
      <c r="ET21" s="549"/>
      <c r="EU21" s="549"/>
      <c r="EV21" s="549"/>
      <c r="EW21" s="549"/>
      <c r="EX21" s="549"/>
      <c r="EY21" s="549"/>
      <c r="EZ21" s="549"/>
      <c r="FA21" s="549"/>
      <c r="FB21" s="549"/>
      <c r="FC21" s="549"/>
      <c r="FD21" s="549"/>
      <c r="FE21" s="549"/>
      <c r="FF21" s="549"/>
      <c r="FG21" s="549"/>
      <c r="FH21" s="549"/>
      <c r="FI21" s="549"/>
      <c r="FJ21" s="549"/>
      <c r="FK21" s="549"/>
      <c r="FL21" s="549"/>
      <c r="FM21" s="549"/>
      <c r="FN21" s="549"/>
      <c r="FO21" s="549"/>
      <c r="FP21" s="549"/>
      <c r="FQ21" s="549"/>
      <c r="FR21" s="549"/>
      <c r="FS21" s="549"/>
      <c r="FT21" s="549"/>
      <c r="FU21" s="549"/>
      <c r="FV21" s="549"/>
      <c r="FW21" s="549"/>
      <c r="FX21" s="549"/>
      <c r="FY21" s="549"/>
      <c r="FZ21" s="549"/>
      <c r="GA21" s="549"/>
      <c r="GB21" s="549"/>
      <c r="GC21" s="549"/>
      <c r="GD21" s="549"/>
      <c r="GE21" s="549"/>
      <c r="GF21" s="549"/>
      <c r="GG21" s="549"/>
      <c r="GH21" s="549"/>
      <c r="GI21" s="549"/>
      <c r="GJ21" s="549"/>
      <c r="GK21" s="549"/>
      <c r="GL21" s="549"/>
      <c r="GM21" s="549"/>
      <c r="GN21" s="549"/>
      <c r="GO21" s="549"/>
      <c r="GP21" s="549"/>
      <c r="GQ21" s="549"/>
      <c r="GR21" s="549"/>
      <c r="GS21" s="549"/>
      <c r="GT21" s="549"/>
      <c r="GU21" s="549"/>
      <c r="GV21" s="549"/>
      <c r="GW21" s="549"/>
      <c r="GX21" s="549"/>
      <c r="GY21" s="549"/>
      <c r="GZ21" s="549"/>
      <c r="HA21" s="549"/>
      <c r="HB21" s="549"/>
      <c r="HC21" s="549"/>
      <c r="HD21" s="549"/>
      <c r="HE21" s="549"/>
      <c r="HF21" s="549"/>
      <c r="HG21" s="549"/>
      <c r="HH21" s="549"/>
      <c r="HI21" s="549"/>
      <c r="HJ21" s="549"/>
      <c r="HK21" s="549"/>
      <c r="HL21" s="549"/>
      <c r="HM21" s="549"/>
      <c r="HN21" s="549"/>
      <c r="HO21" s="549"/>
      <c r="HP21" s="549"/>
      <c r="HQ21" s="549"/>
      <c r="HR21" s="549"/>
      <c r="HS21" s="549"/>
      <c r="HT21" s="549"/>
      <c r="HU21" s="549"/>
      <c r="HV21" s="549"/>
      <c r="HW21" s="549"/>
      <c r="HX21" s="549"/>
      <c r="HY21" s="549"/>
      <c r="HZ21" s="549"/>
      <c r="IA21" s="549"/>
      <c r="IB21" s="549"/>
      <c r="IC21" s="549"/>
      <c r="ID21" s="549"/>
      <c r="IE21" s="549"/>
      <c r="IF21" s="549"/>
      <c r="IG21" s="549"/>
      <c r="IH21" s="549"/>
      <c r="II21" s="549"/>
      <c r="IJ21" s="549"/>
      <c r="IK21" s="549"/>
      <c r="IL21" s="549"/>
      <c r="IM21" s="549"/>
      <c r="IN21" s="549"/>
      <c r="IO21" s="549"/>
      <c r="IP21" s="549"/>
      <c r="IQ21" s="549"/>
      <c r="IR21" s="549"/>
      <c r="IS21" s="549"/>
      <c r="IT21" s="549"/>
      <c r="IU21" s="549"/>
      <c r="IV21" s="549"/>
      <c r="IW21" s="549"/>
      <c r="IX21" s="549"/>
      <c r="IY21" s="549"/>
      <c r="IZ21" s="549"/>
      <c r="JA21" s="549"/>
      <c r="JB21" s="549"/>
      <c r="JC21" s="549"/>
      <c r="JD21" s="549"/>
      <c r="JE21" s="549"/>
      <c r="JF21" s="549"/>
      <c r="JG21" s="549"/>
      <c r="JH21" s="549"/>
      <c r="JI21" s="549"/>
      <c r="JJ21" s="549"/>
      <c r="JK21" s="549"/>
      <c r="JL21" s="549"/>
      <c r="JM21" s="549"/>
      <c r="JN21" s="549"/>
      <c r="JO21" s="549"/>
      <c r="JP21" s="549"/>
      <c r="JQ21" s="549"/>
      <c r="JR21" s="549"/>
      <c r="JS21" s="549"/>
      <c r="JT21" s="549"/>
      <c r="JU21" s="549"/>
      <c r="JV21" s="549"/>
      <c r="JW21" s="549"/>
      <c r="JX21" s="549"/>
      <c r="JY21" s="549"/>
      <c r="JZ21" s="549"/>
      <c r="KA21" s="549"/>
      <c r="KB21" s="549"/>
      <c r="KC21" s="549"/>
      <c r="KD21" s="549"/>
      <c r="KE21" s="549"/>
      <c r="KF21" s="549"/>
      <c r="KG21" s="549"/>
      <c r="KH21" s="549"/>
      <c r="KI21" s="549"/>
      <c r="KJ21" s="549"/>
      <c r="KK21" s="549"/>
      <c r="KL21" s="549"/>
      <c r="KM21" s="549"/>
      <c r="KN21" s="549"/>
      <c r="KO21" s="549"/>
      <c r="KP21" s="549"/>
      <c r="KQ21" s="549"/>
      <c r="KR21" s="549"/>
      <c r="KS21" s="549"/>
      <c r="KT21" s="549"/>
      <c r="KU21" s="549"/>
      <c r="KV21" s="549"/>
      <c r="KW21" s="549"/>
      <c r="KX21" s="549"/>
      <c r="KY21" s="549"/>
      <c r="KZ21" s="549"/>
      <c r="LA21" s="549"/>
      <c r="LB21" s="549"/>
      <c r="LC21" s="549"/>
      <c r="LD21" s="549"/>
      <c r="LE21" s="549"/>
      <c r="LF21" s="549"/>
      <c r="LG21" s="549"/>
      <c r="LH21" s="549"/>
      <c r="LI21" s="549"/>
      <c r="LJ21" s="549"/>
      <c r="LK21" s="549"/>
      <c r="LL21" s="549"/>
      <c r="LM21" s="549"/>
      <c r="LN21" s="549"/>
      <c r="LO21" s="549"/>
      <c r="LP21" s="549"/>
      <c r="LQ21" s="549"/>
      <c r="LR21" s="549"/>
      <c r="LS21" s="549"/>
      <c r="LT21" s="549"/>
      <c r="LU21" s="549"/>
      <c r="LV21" s="549"/>
      <c r="LW21" s="549"/>
      <c r="LX21" s="549"/>
      <c r="LY21" s="549"/>
      <c r="LZ21" s="549"/>
      <c r="MA21" s="549"/>
      <c r="MB21" s="549"/>
      <c r="MC21" s="549"/>
      <c r="MD21" s="549"/>
      <c r="ME21" s="549"/>
      <c r="MF21" s="549"/>
      <c r="MG21" s="549"/>
      <c r="MH21" s="549"/>
      <c r="MI21" s="549"/>
      <c r="MJ21" s="549"/>
      <c r="MK21" s="549"/>
      <c r="ML21" s="549"/>
      <c r="MM21" s="549"/>
      <c r="MN21" s="549"/>
      <c r="MO21" s="549"/>
      <c r="MP21" s="549"/>
      <c r="MQ21" s="549"/>
      <c r="MR21" s="549"/>
      <c r="MS21" s="549"/>
      <c r="MT21" s="549"/>
      <c r="MU21" s="549"/>
      <c r="MV21" s="549"/>
      <c r="MW21" s="549"/>
      <c r="MX21" s="549"/>
      <c r="MY21" s="549"/>
      <c r="MZ21" s="549"/>
      <c r="NA21" s="549"/>
      <c r="NB21" s="549"/>
      <c r="NC21" s="549"/>
      <c r="ND21" s="549"/>
      <c r="NE21" s="549"/>
      <c r="NF21" s="549"/>
      <c r="NG21" s="549"/>
      <c r="NH21" s="549"/>
      <c r="NI21" s="549"/>
      <c r="NJ21" s="549"/>
      <c r="NK21" s="549"/>
      <c r="NL21" s="549"/>
      <c r="NM21" s="549"/>
      <c r="NN21" s="549"/>
      <c r="NO21" s="549"/>
      <c r="NP21" s="549"/>
      <c r="NQ21" s="549"/>
      <c r="NR21" s="549"/>
      <c r="NS21" s="549"/>
      <c r="NT21" s="549"/>
      <c r="NU21" s="549"/>
      <c r="NV21" s="549"/>
      <c r="NW21" s="549"/>
      <c r="NX21" s="549"/>
      <c r="NY21" s="549"/>
      <c r="NZ21" s="549"/>
      <c r="OA21" s="549"/>
      <c r="OB21" s="549"/>
      <c r="OC21" s="549"/>
      <c r="OD21" s="549"/>
      <c r="OE21" s="549"/>
      <c r="OF21" s="549"/>
      <c r="OG21" s="549"/>
      <c r="OH21" s="549"/>
      <c r="OI21" s="549"/>
      <c r="OJ21" s="549"/>
      <c r="OK21" s="549"/>
      <c r="OL21" s="549"/>
      <c r="OM21" s="549"/>
      <c r="ON21" s="549"/>
      <c r="OO21" s="549"/>
      <c r="OP21" s="549"/>
      <c r="OQ21" s="549"/>
      <c r="OR21" s="549"/>
      <c r="OS21" s="549"/>
      <c r="OT21" s="549"/>
      <c r="OU21" s="549"/>
      <c r="OV21" s="549"/>
      <c r="OW21" s="549"/>
      <c r="OX21" s="549"/>
      <c r="OY21" s="549"/>
      <c r="OZ21" s="549"/>
      <c r="PA21" s="549"/>
      <c r="PB21" s="549"/>
      <c r="PC21" s="549"/>
      <c r="PD21" s="549"/>
      <c r="PE21" s="549"/>
      <c r="PF21" s="549"/>
      <c r="PG21" s="549"/>
      <c r="PH21" s="549"/>
      <c r="PI21" s="549"/>
      <c r="PJ21" s="549"/>
      <c r="PK21" s="549"/>
      <c r="PL21" s="549"/>
      <c r="PM21" s="549"/>
      <c r="PN21" s="549"/>
      <c r="PO21" s="549"/>
      <c r="PP21" s="549"/>
      <c r="PQ21" s="549"/>
      <c r="PR21" s="549"/>
      <c r="PS21" s="549"/>
      <c r="PT21" s="549"/>
      <c r="PU21" s="549"/>
      <c r="PV21" s="549"/>
      <c r="PW21" s="549"/>
      <c r="PX21" s="549"/>
      <c r="PY21" s="549"/>
      <c r="PZ21" s="549"/>
      <c r="QA21" s="549"/>
      <c r="QB21" s="549"/>
      <c r="QC21" s="549"/>
      <c r="QD21" s="549"/>
      <c r="QE21" s="549"/>
      <c r="QF21" s="549"/>
      <c r="QG21" s="549"/>
      <c r="QH21" s="549"/>
      <c r="QI21" s="549"/>
      <c r="QJ21" s="549"/>
      <c r="QK21" s="549"/>
      <c r="QL21" s="549"/>
      <c r="QM21" s="549"/>
      <c r="QN21" s="549"/>
      <c r="QO21" s="549"/>
      <c r="QP21" s="549"/>
      <c r="QQ21" s="549"/>
      <c r="QR21" s="549"/>
      <c r="QS21" s="549"/>
      <c r="QT21" s="549"/>
      <c r="QU21" s="549"/>
      <c r="QV21" s="549"/>
      <c r="QW21" s="549"/>
      <c r="QX21" s="549"/>
      <c r="QY21" s="549"/>
      <c r="QZ21" s="549"/>
      <c r="RA21" s="549"/>
      <c r="RB21" s="549"/>
      <c r="RC21" s="549"/>
      <c r="RD21" s="549"/>
      <c r="RE21" s="549"/>
      <c r="RF21" s="549"/>
      <c r="RG21" s="549"/>
      <c r="RH21" s="549"/>
      <c r="RI21" s="549"/>
      <c r="RJ21" s="549"/>
      <c r="RK21" s="549"/>
      <c r="RL21" s="549"/>
      <c r="RM21" s="549"/>
      <c r="RN21" s="549"/>
      <c r="RO21" s="549"/>
      <c r="RP21" s="549"/>
      <c r="RQ21" s="549"/>
      <c r="RR21" s="549"/>
      <c r="RS21" s="549"/>
      <c r="RT21" s="549"/>
      <c r="RU21" s="549"/>
      <c r="RV21" s="549"/>
      <c r="RW21" s="549"/>
      <c r="RX21" s="549"/>
    </row>
    <row r="22" spans="1:492" s="550" customFormat="1" ht="20.100000000000001" customHeight="1" thickBot="1">
      <c r="A22" s="567" t="s">
        <v>119</v>
      </c>
      <c r="B22" s="592" t="s">
        <v>120</v>
      </c>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78"/>
      <c r="AN22" s="548"/>
      <c r="AO22" s="548"/>
      <c r="AP22" s="548"/>
      <c r="AQ22" s="579"/>
      <c r="AR22" s="548"/>
      <c r="AS22" s="548"/>
      <c r="AT22" s="548"/>
      <c r="AU22" s="548"/>
      <c r="AV22" s="543"/>
      <c r="AW22" s="548"/>
      <c r="AX22" s="548"/>
      <c r="AY22" s="548"/>
      <c r="AZ22" s="548"/>
      <c r="BA22" s="554"/>
      <c r="BB22" s="578"/>
      <c r="BC22" s="548"/>
      <c r="BD22" s="548"/>
      <c r="BE22" s="548"/>
      <c r="BF22" s="579"/>
      <c r="BG22" s="548"/>
      <c r="BH22" s="548"/>
      <c r="BI22" s="548"/>
      <c r="BJ22" s="548"/>
      <c r="BK22" s="579"/>
      <c r="BL22" s="548"/>
      <c r="BM22" s="794">
        <v>-2.2000000000000002</v>
      </c>
      <c r="BN22" s="548"/>
      <c r="BO22" s="548"/>
      <c r="BP22" s="598">
        <f>SUM(BL22:BO22)</f>
        <v>-2.2000000000000002</v>
      </c>
      <c r="BQ22" s="549"/>
      <c r="BR22" s="549"/>
      <c r="BS22" s="549"/>
      <c r="BT22" s="549"/>
      <c r="BU22" s="549"/>
      <c r="BV22" s="549"/>
      <c r="BW22" s="549"/>
      <c r="BX22" s="549"/>
      <c r="BY22" s="549"/>
      <c r="BZ22" s="549"/>
      <c r="CA22" s="549"/>
      <c r="CB22" s="549"/>
      <c r="CC22" s="549"/>
      <c r="CD22" s="549"/>
      <c r="CE22" s="549"/>
      <c r="CF22" s="549"/>
      <c r="CG22" s="549"/>
      <c r="CH22" s="549"/>
      <c r="CI22" s="549"/>
      <c r="CJ22" s="549"/>
      <c r="CK22" s="549"/>
      <c r="CL22" s="549"/>
      <c r="CM22" s="549"/>
      <c r="CN22" s="549"/>
      <c r="CO22" s="549"/>
      <c r="CP22" s="549"/>
      <c r="CQ22" s="549"/>
      <c r="CR22" s="549"/>
      <c r="CS22" s="549"/>
      <c r="CT22" s="549"/>
      <c r="CU22" s="549"/>
      <c r="CV22" s="549"/>
      <c r="CW22" s="549"/>
      <c r="CX22" s="549"/>
      <c r="CY22" s="549"/>
      <c r="CZ22" s="549"/>
      <c r="DA22" s="549"/>
      <c r="DB22" s="549"/>
      <c r="DC22" s="549"/>
      <c r="DD22" s="549"/>
      <c r="DE22" s="549"/>
      <c r="DF22" s="549"/>
      <c r="DG22" s="549"/>
      <c r="DH22" s="549"/>
      <c r="DI22" s="549"/>
      <c r="DJ22" s="549"/>
      <c r="DK22" s="549"/>
      <c r="DL22" s="549"/>
      <c r="DM22" s="549"/>
      <c r="DN22" s="549"/>
      <c r="DO22" s="549"/>
      <c r="DP22" s="549"/>
      <c r="DQ22" s="549"/>
      <c r="DR22" s="549"/>
      <c r="DS22" s="549"/>
      <c r="DT22" s="549"/>
      <c r="DU22" s="549"/>
      <c r="DV22" s="549"/>
      <c r="DW22" s="549"/>
      <c r="DX22" s="549"/>
      <c r="DY22" s="549"/>
      <c r="DZ22" s="549"/>
      <c r="EA22" s="549"/>
      <c r="EB22" s="549"/>
      <c r="EC22" s="549"/>
      <c r="ED22" s="549"/>
      <c r="EE22" s="549"/>
      <c r="EF22" s="549"/>
      <c r="EG22" s="549"/>
      <c r="EH22" s="549"/>
      <c r="EI22" s="549"/>
      <c r="EJ22" s="549"/>
      <c r="EK22" s="549"/>
      <c r="EL22" s="549"/>
      <c r="EM22" s="549"/>
      <c r="EN22" s="549"/>
      <c r="EO22" s="549"/>
      <c r="EP22" s="549"/>
      <c r="EQ22" s="549"/>
      <c r="ER22" s="549"/>
      <c r="ES22" s="549"/>
      <c r="ET22" s="549"/>
      <c r="EU22" s="549"/>
      <c r="EV22" s="549"/>
      <c r="EW22" s="549"/>
      <c r="EX22" s="549"/>
      <c r="EY22" s="549"/>
      <c r="EZ22" s="549"/>
      <c r="FA22" s="549"/>
      <c r="FB22" s="549"/>
      <c r="FC22" s="549"/>
      <c r="FD22" s="549"/>
      <c r="FE22" s="549"/>
      <c r="FF22" s="549"/>
      <c r="FG22" s="549"/>
      <c r="FH22" s="549"/>
      <c r="FI22" s="549"/>
      <c r="FJ22" s="549"/>
      <c r="FK22" s="549"/>
      <c r="FL22" s="549"/>
      <c r="FM22" s="549"/>
      <c r="FN22" s="549"/>
      <c r="FO22" s="549"/>
      <c r="FP22" s="549"/>
      <c r="FQ22" s="549"/>
      <c r="FR22" s="549"/>
      <c r="FS22" s="549"/>
      <c r="FT22" s="549"/>
      <c r="FU22" s="549"/>
      <c r="FV22" s="549"/>
      <c r="FW22" s="549"/>
      <c r="FX22" s="549"/>
      <c r="FY22" s="549"/>
      <c r="FZ22" s="549"/>
      <c r="GA22" s="549"/>
      <c r="GB22" s="549"/>
      <c r="GC22" s="549"/>
      <c r="GD22" s="549"/>
      <c r="GE22" s="549"/>
      <c r="GF22" s="549"/>
      <c r="GG22" s="549"/>
      <c r="GH22" s="549"/>
      <c r="GI22" s="549"/>
      <c r="GJ22" s="549"/>
      <c r="GK22" s="549"/>
      <c r="GL22" s="549"/>
      <c r="GM22" s="549"/>
      <c r="GN22" s="549"/>
      <c r="GO22" s="549"/>
      <c r="GP22" s="549"/>
      <c r="GQ22" s="549"/>
      <c r="GR22" s="549"/>
      <c r="GS22" s="549"/>
      <c r="GT22" s="549"/>
      <c r="GU22" s="549"/>
      <c r="GV22" s="549"/>
      <c r="GW22" s="549"/>
      <c r="GX22" s="549"/>
      <c r="GY22" s="549"/>
      <c r="GZ22" s="549"/>
      <c r="HA22" s="549"/>
      <c r="HB22" s="549"/>
      <c r="HC22" s="549"/>
      <c r="HD22" s="549"/>
      <c r="HE22" s="549"/>
      <c r="HF22" s="549"/>
      <c r="HG22" s="549"/>
      <c r="HH22" s="549"/>
      <c r="HI22" s="549"/>
      <c r="HJ22" s="549"/>
      <c r="HK22" s="549"/>
      <c r="HL22" s="549"/>
      <c r="HM22" s="549"/>
      <c r="HN22" s="549"/>
      <c r="HO22" s="549"/>
      <c r="HP22" s="549"/>
      <c r="HQ22" s="549"/>
      <c r="HR22" s="549"/>
      <c r="HS22" s="549"/>
      <c r="HT22" s="549"/>
      <c r="HU22" s="549"/>
      <c r="HV22" s="549"/>
      <c r="HW22" s="549"/>
      <c r="HX22" s="549"/>
      <c r="HY22" s="549"/>
      <c r="HZ22" s="549"/>
      <c r="IA22" s="549"/>
      <c r="IB22" s="549"/>
      <c r="IC22" s="549"/>
      <c r="ID22" s="549"/>
      <c r="IE22" s="549"/>
      <c r="IF22" s="549"/>
      <c r="IG22" s="549"/>
      <c r="IH22" s="549"/>
      <c r="II22" s="549"/>
      <c r="IJ22" s="549"/>
      <c r="IK22" s="549"/>
      <c r="IL22" s="549"/>
      <c r="IM22" s="549"/>
      <c r="IN22" s="549"/>
      <c r="IO22" s="549"/>
      <c r="IP22" s="549"/>
      <c r="IQ22" s="549"/>
      <c r="IR22" s="549"/>
      <c r="IS22" s="549"/>
      <c r="IT22" s="549"/>
      <c r="IU22" s="549"/>
      <c r="IV22" s="549"/>
      <c r="IW22" s="549"/>
      <c r="IX22" s="549"/>
      <c r="IY22" s="549"/>
      <c r="IZ22" s="549"/>
      <c r="JA22" s="549"/>
      <c r="JB22" s="549"/>
      <c r="JC22" s="549"/>
      <c r="JD22" s="549"/>
      <c r="JE22" s="549"/>
      <c r="JF22" s="549"/>
      <c r="JG22" s="549"/>
      <c r="JH22" s="549"/>
      <c r="JI22" s="549"/>
      <c r="JJ22" s="549"/>
      <c r="JK22" s="549"/>
      <c r="JL22" s="549"/>
      <c r="JM22" s="549"/>
      <c r="JN22" s="549"/>
      <c r="JO22" s="549"/>
      <c r="JP22" s="549"/>
      <c r="JQ22" s="549"/>
      <c r="JR22" s="549"/>
      <c r="JS22" s="549"/>
      <c r="JT22" s="549"/>
      <c r="JU22" s="549"/>
      <c r="JV22" s="549"/>
      <c r="JW22" s="549"/>
      <c r="JX22" s="549"/>
      <c r="JY22" s="549"/>
      <c r="JZ22" s="549"/>
      <c r="KA22" s="549"/>
      <c r="KB22" s="549"/>
      <c r="KC22" s="549"/>
      <c r="KD22" s="549"/>
      <c r="KE22" s="549"/>
      <c r="KF22" s="549"/>
      <c r="KG22" s="549"/>
      <c r="KH22" s="549"/>
      <c r="KI22" s="549"/>
      <c r="KJ22" s="549"/>
      <c r="KK22" s="549"/>
      <c r="KL22" s="549"/>
      <c r="KM22" s="549"/>
      <c r="KN22" s="549"/>
      <c r="KO22" s="549"/>
      <c r="KP22" s="549"/>
      <c r="KQ22" s="549"/>
      <c r="KR22" s="549"/>
      <c r="KS22" s="549"/>
      <c r="KT22" s="549"/>
      <c r="KU22" s="549"/>
      <c r="KV22" s="549"/>
      <c r="KW22" s="549"/>
      <c r="KX22" s="549"/>
      <c r="KY22" s="549"/>
      <c r="KZ22" s="549"/>
      <c r="LA22" s="549"/>
      <c r="LB22" s="549"/>
      <c r="LC22" s="549"/>
      <c r="LD22" s="549"/>
      <c r="LE22" s="549"/>
      <c r="LF22" s="549"/>
      <c r="LG22" s="549"/>
      <c r="LH22" s="549"/>
      <c r="LI22" s="549"/>
      <c r="LJ22" s="549"/>
      <c r="LK22" s="549"/>
      <c r="LL22" s="549"/>
      <c r="LM22" s="549"/>
      <c r="LN22" s="549"/>
      <c r="LO22" s="549"/>
      <c r="LP22" s="549"/>
      <c r="LQ22" s="549"/>
      <c r="LR22" s="549"/>
      <c r="LS22" s="549"/>
      <c r="LT22" s="549"/>
      <c r="LU22" s="549"/>
      <c r="LV22" s="549"/>
      <c r="LW22" s="549"/>
      <c r="LX22" s="549"/>
      <c r="LY22" s="549"/>
      <c r="LZ22" s="549"/>
      <c r="MA22" s="549"/>
      <c r="MB22" s="549"/>
      <c r="MC22" s="549"/>
      <c r="MD22" s="549"/>
      <c r="ME22" s="549"/>
      <c r="MF22" s="549"/>
      <c r="MG22" s="549"/>
      <c r="MH22" s="549"/>
      <c r="MI22" s="549"/>
      <c r="MJ22" s="549"/>
      <c r="MK22" s="549"/>
      <c r="ML22" s="549"/>
      <c r="MM22" s="549"/>
      <c r="MN22" s="549"/>
      <c r="MO22" s="549"/>
      <c r="MP22" s="549"/>
      <c r="MQ22" s="549"/>
      <c r="MR22" s="549"/>
      <c r="MS22" s="549"/>
      <c r="MT22" s="549"/>
      <c r="MU22" s="549"/>
      <c r="MV22" s="549"/>
      <c r="MW22" s="549"/>
      <c r="MX22" s="549"/>
      <c r="MY22" s="549"/>
      <c r="MZ22" s="549"/>
      <c r="NA22" s="549"/>
      <c r="NB22" s="549"/>
      <c r="NC22" s="549"/>
      <c r="ND22" s="549"/>
      <c r="NE22" s="549"/>
      <c r="NF22" s="549"/>
      <c r="NG22" s="549"/>
      <c r="NH22" s="549"/>
      <c r="NI22" s="549"/>
      <c r="NJ22" s="549"/>
      <c r="NK22" s="549"/>
      <c r="NL22" s="549"/>
      <c r="NM22" s="549"/>
      <c r="NN22" s="549"/>
      <c r="NO22" s="549"/>
      <c r="NP22" s="549"/>
      <c r="NQ22" s="549"/>
      <c r="NR22" s="549"/>
      <c r="NS22" s="549"/>
      <c r="NT22" s="549"/>
      <c r="NU22" s="549"/>
      <c r="NV22" s="549"/>
      <c r="NW22" s="549"/>
      <c r="NX22" s="549"/>
      <c r="NY22" s="549"/>
      <c r="NZ22" s="549"/>
      <c r="OA22" s="549"/>
      <c r="OB22" s="549"/>
      <c r="OC22" s="549"/>
      <c r="OD22" s="549"/>
      <c r="OE22" s="549"/>
      <c r="OF22" s="549"/>
      <c r="OG22" s="549"/>
      <c r="OH22" s="549"/>
      <c r="OI22" s="549"/>
      <c r="OJ22" s="549"/>
      <c r="OK22" s="549"/>
      <c r="OL22" s="549"/>
      <c r="OM22" s="549"/>
      <c r="ON22" s="549"/>
      <c r="OO22" s="549"/>
      <c r="OP22" s="549"/>
      <c r="OQ22" s="549"/>
      <c r="OR22" s="549"/>
      <c r="OS22" s="549"/>
      <c r="OT22" s="549"/>
      <c r="OU22" s="549"/>
      <c r="OV22" s="549"/>
      <c r="OW22" s="549"/>
      <c r="OX22" s="549"/>
      <c r="OY22" s="549"/>
      <c r="OZ22" s="549"/>
      <c r="PA22" s="549"/>
      <c r="PB22" s="549"/>
      <c r="PC22" s="549"/>
      <c r="PD22" s="549"/>
      <c r="PE22" s="549"/>
      <c r="PF22" s="549"/>
      <c r="PG22" s="549"/>
      <c r="PH22" s="549"/>
      <c r="PI22" s="549"/>
      <c r="PJ22" s="549"/>
      <c r="PK22" s="549"/>
      <c r="PL22" s="549"/>
      <c r="PM22" s="549"/>
      <c r="PN22" s="549"/>
      <c r="PO22" s="549"/>
      <c r="PP22" s="549"/>
      <c r="PQ22" s="549"/>
      <c r="PR22" s="549"/>
      <c r="PS22" s="549"/>
      <c r="PT22" s="549"/>
      <c r="PU22" s="549"/>
      <c r="PV22" s="549"/>
      <c r="PW22" s="549"/>
      <c r="PX22" s="549"/>
      <c r="PY22" s="549"/>
      <c r="PZ22" s="549"/>
      <c r="QA22" s="549"/>
      <c r="QB22" s="549"/>
      <c r="QC22" s="549"/>
      <c r="QD22" s="549"/>
      <c r="QE22" s="549"/>
      <c r="QF22" s="549"/>
      <c r="QG22" s="549"/>
      <c r="QH22" s="549"/>
      <c r="QI22" s="549"/>
      <c r="QJ22" s="549"/>
      <c r="QK22" s="549"/>
      <c r="QL22" s="549"/>
      <c r="QM22" s="549"/>
      <c r="QN22" s="549"/>
      <c r="QO22" s="549"/>
      <c r="QP22" s="549"/>
      <c r="QQ22" s="549"/>
      <c r="QR22" s="549"/>
      <c r="QS22" s="549"/>
      <c r="QT22" s="549"/>
      <c r="QU22" s="549"/>
      <c r="QV22" s="549"/>
      <c r="QW22" s="549"/>
      <c r="QX22" s="549"/>
      <c r="QY22" s="549"/>
      <c r="QZ22" s="549"/>
      <c r="RA22" s="549"/>
      <c r="RB22" s="549"/>
      <c r="RC22" s="549"/>
      <c r="RD22" s="549"/>
      <c r="RE22" s="549"/>
      <c r="RF22" s="549"/>
      <c r="RG22" s="549"/>
      <c r="RH22" s="549"/>
      <c r="RI22" s="549"/>
      <c r="RJ22" s="549"/>
      <c r="RK22" s="549"/>
      <c r="RL22" s="549"/>
      <c r="RM22" s="549"/>
      <c r="RN22" s="549"/>
      <c r="RO22" s="549"/>
      <c r="RP22" s="549"/>
      <c r="RQ22" s="549"/>
      <c r="RR22" s="549"/>
      <c r="RS22" s="549"/>
      <c r="RT22" s="549"/>
      <c r="RU22" s="549"/>
      <c r="RV22" s="549"/>
      <c r="RW22" s="549"/>
      <c r="RX22" s="549"/>
    </row>
    <row r="23" spans="1:492" s="65" customFormat="1" ht="20.25" customHeight="1" thickBot="1">
      <c r="A23" s="568" t="s">
        <v>130</v>
      </c>
      <c r="B23" s="593" t="s">
        <v>131</v>
      </c>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581">
        <f>SUM(AM24:AM25)</f>
        <v>435.5</v>
      </c>
      <c r="AN23" s="431">
        <f t="shared" ref="AN23:BF23" si="20">SUM(AN24:AN25)</f>
        <v>475.59999999999997</v>
      </c>
      <c r="AO23" s="431">
        <f t="shared" si="20"/>
        <v>396.5</v>
      </c>
      <c r="AP23" s="431">
        <f t="shared" si="20"/>
        <v>419.40000000000015</v>
      </c>
      <c r="AQ23" s="582">
        <f t="shared" si="20"/>
        <v>1727</v>
      </c>
      <c r="AR23" s="431">
        <f t="shared" si="20"/>
        <v>0</v>
      </c>
      <c r="AS23" s="431">
        <f t="shared" si="20"/>
        <v>0</v>
      </c>
      <c r="AT23" s="431">
        <f t="shared" si="20"/>
        <v>0</v>
      </c>
      <c r="AU23" s="431">
        <f t="shared" si="20"/>
        <v>0</v>
      </c>
      <c r="AV23" s="432">
        <f t="shared" si="20"/>
        <v>0</v>
      </c>
      <c r="AW23" s="431">
        <f t="shared" si="20"/>
        <v>491.2</v>
      </c>
      <c r="AX23" s="431">
        <f t="shared" si="20"/>
        <v>522.5</v>
      </c>
      <c r="AY23" s="431">
        <f t="shared" si="20"/>
        <v>459.00000000000006</v>
      </c>
      <c r="AZ23" s="431">
        <f t="shared" si="20"/>
        <v>494.30000000000013</v>
      </c>
      <c r="BA23" s="573">
        <f t="shared" si="20"/>
        <v>1967</v>
      </c>
      <c r="BB23" s="581">
        <f t="shared" si="20"/>
        <v>462.2</v>
      </c>
      <c r="BC23" s="431">
        <f t="shared" si="20"/>
        <v>394.1</v>
      </c>
      <c r="BD23" s="431">
        <f t="shared" si="20"/>
        <v>505.9</v>
      </c>
      <c r="BE23" s="431">
        <f t="shared" si="20"/>
        <v>524</v>
      </c>
      <c r="BF23" s="582">
        <f t="shared" si="20"/>
        <v>1886.2</v>
      </c>
      <c r="BG23" s="431">
        <f t="shared" ref="BG23:BK23" si="21">SUM(BG24:BG25)</f>
        <v>561.5</v>
      </c>
      <c r="BH23" s="431">
        <f t="shared" si="21"/>
        <v>683.7</v>
      </c>
      <c r="BI23" s="431">
        <f t="shared" si="21"/>
        <v>4131.4000000000005</v>
      </c>
      <c r="BJ23" s="431">
        <f t="shared" si="21"/>
        <v>419.80000000000018</v>
      </c>
      <c r="BK23" s="582">
        <f t="shared" si="21"/>
        <v>5796.4000000000005</v>
      </c>
      <c r="BL23" s="431">
        <f>SUM(BL24:BL26)</f>
        <v>320.3</v>
      </c>
      <c r="BM23" s="795">
        <f>SUM(BM24:BM27)</f>
        <v>425.8</v>
      </c>
      <c r="BN23" s="431">
        <f t="shared" ref="BN23:BO23" si="22">SUM(BN24:BN26)</f>
        <v>0</v>
      </c>
      <c r="BO23" s="431">
        <f t="shared" si="22"/>
        <v>0</v>
      </c>
      <c r="BP23" s="582">
        <f>SUM(BP24:BP27)</f>
        <v>746.1</v>
      </c>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row>
    <row r="24" spans="1:492" s="550" customFormat="1" ht="20.100000000000001" customHeight="1">
      <c r="A24" s="567" t="s">
        <v>113</v>
      </c>
      <c r="B24" s="592" t="s">
        <v>114</v>
      </c>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78">
        <v>310.7</v>
      </c>
      <c r="AN24" s="548">
        <v>334.7</v>
      </c>
      <c r="AO24" s="548">
        <v>312.39999999999998</v>
      </c>
      <c r="AP24" s="548">
        <v>257.10000000000014</v>
      </c>
      <c r="AQ24" s="579">
        <f t="shared" ref="AQ24:AQ30" si="23">SUM(AM24:AP24)</f>
        <v>1214.9000000000001</v>
      </c>
      <c r="AR24" s="548"/>
      <c r="AS24" s="548"/>
      <c r="AT24" s="548"/>
      <c r="AU24" s="548"/>
      <c r="AV24" s="543"/>
      <c r="AW24" s="548">
        <v>360.4</v>
      </c>
      <c r="AX24" s="548">
        <v>376.4</v>
      </c>
      <c r="AY24" s="548">
        <v>377.20000000000005</v>
      </c>
      <c r="AZ24" s="548">
        <v>314.40000000000009</v>
      </c>
      <c r="BA24" s="554">
        <f>SUM(AW24:AZ24)</f>
        <v>1428.4</v>
      </c>
      <c r="BB24" s="578">
        <v>330.2</v>
      </c>
      <c r="BC24" s="548">
        <v>290.7</v>
      </c>
      <c r="BD24" s="548">
        <v>388.1</v>
      </c>
      <c r="BE24" s="548">
        <v>342.5</v>
      </c>
      <c r="BF24" s="579">
        <f>SUM(BB24:BE24)</f>
        <v>1351.5</v>
      </c>
      <c r="BG24" s="548">
        <v>435.8</v>
      </c>
      <c r="BH24" s="548">
        <v>535.90000000000009</v>
      </c>
      <c r="BI24" s="548">
        <v>4040.3</v>
      </c>
      <c r="BJ24" s="548">
        <f>5282.8-SUM(BG24:BI24)</f>
        <v>270.80000000000018</v>
      </c>
      <c r="BK24" s="579">
        <f>SUM(BG24:BJ24)</f>
        <v>5282.8</v>
      </c>
      <c r="BL24" s="548">
        <v>252.4</v>
      </c>
      <c r="BM24" s="542">
        <f>565.5-BL24</f>
        <v>313.10000000000002</v>
      </c>
      <c r="BN24" s="548"/>
      <c r="BO24" s="548"/>
      <c r="BP24" s="579">
        <f>SUM(BL24:BO24)</f>
        <v>565.5</v>
      </c>
      <c r="BQ24" s="549"/>
      <c r="BR24" s="549"/>
      <c r="BS24" s="549"/>
      <c r="BT24" s="549"/>
      <c r="BU24" s="549"/>
      <c r="BV24" s="549"/>
      <c r="BW24" s="549"/>
      <c r="BX24" s="549"/>
      <c r="BY24" s="549"/>
      <c r="BZ24" s="549"/>
      <c r="CA24" s="549"/>
      <c r="CB24" s="549"/>
      <c r="CC24" s="549"/>
      <c r="CD24" s="549"/>
      <c r="CE24" s="549"/>
      <c r="CF24" s="549"/>
      <c r="CG24" s="549"/>
      <c r="CH24" s="549"/>
      <c r="CI24" s="549"/>
      <c r="CJ24" s="549"/>
      <c r="CK24" s="549"/>
      <c r="CL24" s="549"/>
      <c r="CM24" s="549"/>
      <c r="CN24" s="549"/>
      <c r="CO24" s="549"/>
      <c r="CP24" s="549"/>
      <c r="CQ24" s="549"/>
      <c r="CR24" s="549"/>
      <c r="CS24" s="549"/>
      <c r="CT24" s="549"/>
      <c r="CU24" s="549"/>
      <c r="CV24" s="549"/>
      <c r="CW24" s="549"/>
      <c r="CX24" s="549"/>
      <c r="CY24" s="549"/>
      <c r="CZ24" s="549"/>
      <c r="DA24" s="549"/>
      <c r="DB24" s="549"/>
      <c r="DC24" s="549"/>
      <c r="DD24" s="549"/>
      <c r="DE24" s="549"/>
      <c r="DF24" s="549"/>
      <c r="DG24" s="549"/>
      <c r="DH24" s="549"/>
      <c r="DI24" s="549"/>
      <c r="DJ24" s="549"/>
      <c r="DK24" s="549"/>
      <c r="DL24" s="549"/>
      <c r="DM24" s="549"/>
      <c r="DN24" s="549"/>
      <c r="DO24" s="549"/>
      <c r="DP24" s="549"/>
      <c r="DQ24" s="549"/>
      <c r="DR24" s="549"/>
      <c r="DS24" s="549"/>
      <c r="DT24" s="549"/>
      <c r="DU24" s="549"/>
      <c r="DV24" s="549"/>
      <c r="DW24" s="549"/>
      <c r="DX24" s="549"/>
      <c r="DY24" s="549"/>
      <c r="DZ24" s="549"/>
      <c r="EA24" s="549"/>
      <c r="EB24" s="549"/>
      <c r="EC24" s="549"/>
      <c r="ED24" s="549"/>
      <c r="EE24" s="549"/>
      <c r="EF24" s="549"/>
      <c r="EG24" s="549"/>
      <c r="EH24" s="549"/>
      <c r="EI24" s="549"/>
      <c r="EJ24" s="549"/>
      <c r="EK24" s="549"/>
      <c r="EL24" s="549"/>
      <c r="EM24" s="549"/>
      <c r="EN24" s="549"/>
      <c r="EO24" s="549"/>
      <c r="EP24" s="549"/>
      <c r="EQ24" s="549"/>
      <c r="ER24" s="549"/>
      <c r="ES24" s="549"/>
      <c r="ET24" s="549"/>
      <c r="EU24" s="549"/>
      <c r="EV24" s="549"/>
      <c r="EW24" s="549"/>
      <c r="EX24" s="549"/>
      <c r="EY24" s="549"/>
      <c r="EZ24" s="549"/>
      <c r="FA24" s="549"/>
      <c r="FB24" s="549"/>
      <c r="FC24" s="549"/>
      <c r="FD24" s="549"/>
      <c r="FE24" s="549"/>
      <c r="FF24" s="549"/>
      <c r="FG24" s="549"/>
      <c r="FH24" s="549"/>
      <c r="FI24" s="549"/>
      <c r="FJ24" s="549"/>
      <c r="FK24" s="549"/>
      <c r="FL24" s="549"/>
      <c r="FM24" s="549"/>
      <c r="FN24" s="549"/>
      <c r="FO24" s="549"/>
      <c r="FP24" s="549"/>
      <c r="FQ24" s="549"/>
      <c r="FR24" s="549"/>
      <c r="FS24" s="549"/>
      <c r="FT24" s="549"/>
      <c r="FU24" s="549"/>
      <c r="FV24" s="549"/>
      <c r="FW24" s="549"/>
      <c r="FX24" s="549"/>
      <c r="FY24" s="549"/>
      <c r="FZ24" s="549"/>
      <c r="GA24" s="549"/>
      <c r="GB24" s="549"/>
      <c r="GC24" s="549"/>
      <c r="GD24" s="549"/>
      <c r="GE24" s="549"/>
      <c r="GF24" s="549"/>
      <c r="GG24" s="549"/>
      <c r="GH24" s="549"/>
      <c r="GI24" s="549"/>
      <c r="GJ24" s="549"/>
      <c r="GK24" s="549"/>
      <c r="GL24" s="549"/>
      <c r="GM24" s="549"/>
      <c r="GN24" s="549"/>
      <c r="GO24" s="549"/>
      <c r="GP24" s="549"/>
      <c r="GQ24" s="549"/>
      <c r="GR24" s="549"/>
      <c r="GS24" s="549"/>
      <c r="GT24" s="549"/>
      <c r="GU24" s="549"/>
      <c r="GV24" s="549"/>
      <c r="GW24" s="549"/>
      <c r="GX24" s="549"/>
      <c r="GY24" s="549"/>
      <c r="GZ24" s="549"/>
      <c r="HA24" s="549"/>
      <c r="HB24" s="549"/>
      <c r="HC24" s="549"/>
      <c r="HD24" s="549"/>
      <c r="HE24" s="549"/>
      <c r="HF24" s="549"/>
      <c r="HG24" s="549"/>
      <c r="HH24" s="549"/>
      <c r="HI24" s="549"/>
      <c r="HJ24" s="549"/>
      <c r="HK24" s="549"/>
      <c r="HL24" s="549"/>
      <c r="HM24" s="549"/>
      <c r="HN24" s="549"/>
      <c r="HO24" s="549"/>
      <c r="HP24" s="549"/>
      <c r="HQ24" s="549"/>
      <c r="HR24" s="549"/>
      <c r="HS24" s="549"/>
      <c r="HT24" s="549"/>
      <c r="HU24" s="549"/>
      <c r="HV24" s="549"/>
      <c r="HW24" s="549"/>
      <c r="HX24" s="549"/>
      <c r="HY24" s="549"/>
      <c r="HZ24" s="549"/>
      <c r="IA24" s="549"/>
      <c r="IB24" s="549"/>
      <c r="IC24" s="549"/>
      <c r="ID24" s="549"/>
      <c r="IE24" s="549"/>
      <c r="IF24" s="549"/>
      <c r="IG24" s="549"/>
      <c r="IH24" s="549"/>
      <c r="II24" s="549"/>
      <c r="IJ24" s="549"/>
      <c r="IK24" s="549"/>
      <c r="IL24" s="549"/>
      <c r="IM24" s="549"/>
      <c r="IN24" s="549"/>
      <c r="IO24" s="549"/>
      <c r="IP24" s="549"/>
      <c r="IQ24" s="549"/>
      <c r="IR24" s="549"/>
      <c r="IS24" s="549"/>
      <c r="IT24" s="549"/>
      <c r="IU24" s="549"/>
      <c r="IV24" s="549"/>
      <c r="IW24" s="549"/>
      <c r="IX24" s="549"/>
      <c r="IY24" s="549"/>
      <c r="IZ24" s="549"/>
      <c r="JA24" s="549"/>
      <c r="JB24" s="549"/>
      <c r="JC24" s="549"/>
      <c r="JD24" s="549"/>
      <c r="JE24" s="549"/>
      <c r="JF24" s="549"/>
      <c r="JG24" s="549"/>
      <c r="JH24" s="549"/>
      <c r="JI24" s="549"/>
      <c r="JJ24" s="549"/>
      <c r="JK24" s="549"/>
      <c r="JL24" s="549"/>
      <c r="JM24" s="549"/>
      <c r="JN24" s="549"/>
      <c r="JO24" s="549"/>
      <c r="JP24" s="549"/>
      <c r="JQ24" s="549"/>
      <c r="JR24" s="549"/>
      <c r="JS24" s="549"/>
      <c r="JT24" s="549"/>
      <c r="JU24" s="549"/>
      <c r="JV24" s="549"/>
      <c r="JW24" s="549"/>
      <c r="JX24" s="549"/>
      <c r="JY24" s="549"/>
      <c r="JZ24" s="549"/>
      <c r="KA24" s="549"/>
      <c r="KB24" s="549"/>
      <c r="KC24" s="549"/>
      <c r="KD24" s="549"/>
      <c r="KE24" s="549"/>
      <c r="KF24" s="549"/>
      <c r="KG24" s="549"/>
      <c r="KH24" s="549"/>
      <c r="KI24" s="549"/>
      <c r="KJ24" s="549"/>
      <c r="KK24" s="549"/>
      <c r="KL24" s="549"/>
      <c r="KM24" s="549"/>
      <c r="KN24" s="549"/>
      <c r="KO24" s="549"/>
      <c r="KP24" s="549"/>
      <c r="KQ24" s="549"/>
      <c r="KR24" s="549"/>
      <c r="KS24" s="549"/>
      <c r="KT24" s="549"/>
      <c r="KU24" s="549"/>
      <c r="KV24" s="549"/>
      <c r="KW24" s="549"/>
      <c r="KX24" s="549"/>
      <c r="KY24" s="549"/>
      <c r="KZ24" s="549"/>
      <c r="LA24" s="549"/>
      <c r="LB24" s="549"/>
      <c r="LC24" s="549"/>
      <c r="LD24" s="549"/>
      <c r="LE24" s="549"/>
      <c r="LF24" s="549"/>
      <c r="LG24" s="549"/>
      <c r="LH24" s="549"/>
      <c r="LI24" s="549"/>
      <c r="LJ24" s="549"/>
      <c r="LK24" s="549"/>
      <c r="LL24" s="549"/>
      <c r="LM24" s="549"/>
      <c r="LN24" s="549"/>
      <c r="LO24" s="549"/>
      <c r="LP24" s="549"/>
      <c r="LQ24" s="549"/>
      <c r="LR24" s="549"/>
      <c r="LS24" s="549"/>
      <c r="LT24" s="549"/>
      <c r="LU24" s="549"/>
      <c r="LV24" s="549"/>
      <c r="LW24" s="549"/>
      <c r="LX24" s="549"/>
      <c r="LY24" s="549"/>
      <c r="LZ24" s="549"/>
      <c r="MA24" s="549"/>
      <c r="MB24" s="549"/>
      <c r="MC24" s="549"/>
      <c r="MD24" s="549"/>
      <c r="ME24" s="549"/>
      <c r="MF24" s="549"/>
      <c r="MG24" s="549"/>
      <c r="MH24" s="549"/>
      <c r="MI24" s="549"/>
      <c r="MJ24" s="549"/>
      <c r="MK24" s="549"/>
      <c r="ML24" s="549"/>
      <c r="MM24" s="549"/>
      <c r="MN24" s="549"/>
      <c r="MO24" s="549"/>
      <c r="MP24" s="549"/>
      <c r="MQ24" s="549"/>
      <c r="MR24" s="549"/>
      <c r="MS24" s="549"/>
      <c r="MT24" s="549"/>
      <c r="MU24" s="549"/>
      <c r="MV24" s="549"/>
      <c r="MW24" s="549"/>
      <c r="MX24" s="549"/>
      <c r="MY24" s="549"/>
      <c r="MZ24" s="549"/>
      <c r="NA24" s="549"/>
      <c r="NB24" s="549"/>
      <c r="NC24" s="549"/>
      <c r="ND24" s="549"/>
      <c r="NE24" s="549"/>
      <c r="NF24" s="549"/>
      <c r="NG24" s="549"/>
      <c r="NH24" s="549"/>
      <c r="NI24" s="549"/>
      <c r="NJ24" s="549"/>
      <c r="NK24" s="549"/>
      <c r="NL24" s="549"/>
      <c r="NM24" s="549"/>
      <c r="NN24" s="549"/>
      <c r="NO24" s="549"/>
      <c r="NP24" s="549"/>
      <c r="NQ24" s="549"/>
      <c r="NR24" s="549"/>
      <c r="NS24" s="549"/>
      <c r="NT24" s="549"/>
      <c r="NU24" s="549"/>
      <c r="NV24" s="549"/>
      <c r="NW24" s="549"/>
      <c r="NX24" s="549"/>
      <c r="NY24" s="549"/>
      <c r="NZ24" s="549"/>
      <c r="OA24" s="549"/>
      <c r="OB24" s="549"/>
      <c r="OC24" s="549"/>
      <c r="OD24" s="549"/>
      <c r="OE24" s="549"/>
      <c r="OF24" s="549"/>
      <c r="OG24" s="549"/>
      <c r="OH24" s="549"/>
      <c r="OI24" s="549"/>
      <c r="OJ24" s="549"/>
      <c r="OK24" s="549"/>
      <c r="OL24" s="549"/>
      <c r="OM24" s="549"/>
      <c r="ON24" s="549"/>
      <c r="OO24" s="549"/>
      <c r="OP24" s="549"/>
      <c r="OQ24" s="549"/>
      <c r="OR24" s="549"/>
      <c r="OS24" s="549"/>
      <c r="OT24" s="549"/>
      <c r="OU24" s="549"/>
      <c r="OV24" s="549"/>
      <c r="OW24" s="549"/>
      <c r="OX24" s="549"/>
      <c r="OY24" s="549"/>
      <c r="OZ24" s="549"/>
      <c r="PA24" s="549"/>
      <c r="PB24" s="549"/>
      <c r="PC24" s="549"/>
      <c r="PD24" s="549"/>
      <c r="PE24" s="549"/>
      <c r="PF24" s="549"/>
      <c r="PG24" s="549"/>
      <c r="PH24" s="549"/>
      <c r="PI24" s="549"/>
      <c r="PJ24" s="549"/>
      <c r="PK24" s="549"/>
      <c r="PL24" s="549"/>
      <c r="PM24" s="549"/>
      <c r="PN24" s="549"/>
      <c r="PO24" s="549"/>
      <c r="PP24" s="549"/>
      <c r="PQ24" s="549"/>
      <c r="PR24" s="549"/>
      <c r="PS24" s="549"/>
      <c r="PT24" s="549"/>
      <c r="PU24" s="549"/>
      <c r="PV24" s="549"/>
      <c r="PW24" s="549"/>
      <c r="PX24" s="549"/>
      <c r="PY24" s="549"/>
      <c r="PZ24" s="549"/>
      <c r="QA24" s="549"/>
      <c r="QB24" s="549"/>
      <c r="QC24" s="549"/>
      <c r="QD24" s="549"/>
      <c r="QE24" s="549"/>
      <c r="QF24" s="549"/>
      <c r="QG24" s="549"/>
      <c r="QH24" s="549"/>
      <c r="QI24" s="549"/>
      <c r="QJ24" s="549"/>
      <c r="QK24" s="549"/>
      <c r="QL24" s="549"/>
      <c r="QM24" s="549"/>
      <c r="QN24" s="549"/>
      <c r="QO24" s="549"/>
      <c r="QP24" s="549"/>
      <c r="QQ24" s="549"/>
      <c r="QR24" s="549"/>
      <c r="QS24" s="549"/>
      <c r="QT24" s="549"/>
      <c r="QU24" s="549"/>
      <c r="QV24" s="549"/>
      <c r="QW24" s="549"/>
      <c r="QX24" s="549"/>
      <c r="QY24" s="549"/>
      <c r="QZ24" s="549"/>
      <c r="RA24" s="549"/>
      <c r="RB24" s="549"/>
      <c r="RC24" s="549"/>
      <c r="RD24" s="549"/>
      <c r="RE24" s="549"/>
      <c r="RF24" s="549"/>
      <c r="RG24" s="549"/>
      <c r="RH24" s="549"/>
      <c r="RI24" s="549"/>
      <c r="RJ24" s="549"/>
      <c r="RK24" s="549"/>
      <c r="RL24" s="549"/>
      <c r="RM24" s="549"/>
      <c r="RN24" s="549"/>
      <c r="RO24" s="549"/>
      <c r="RP24" s="549"/>
      <c r="RQ24" s="549"/>
      <c r="RR24" s="549"/>
      <c r="RS24" s="549"/>
      <c r="RT24" s="549"/>
      <c r="RU24" s="549"/>
      <c r="RV24" s="549"/>
      <c r="RW24" s="549"/>
      <c r="RX24" s="549"/>
    </row>
    <row r="25" spans="1:492" s="550" customFormat="1" ht="20.100000000000001" customHeight="1">
      <c r="A25" s="567" t="s">
        <v>115</v>
      </c>
      <c r="B25" s="592" t="s">
        <v>116</v>
      </c>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78">
        <v>124.8</v>
      </c>
      <c r="AN25" s="548">
        <v>140.89999999999998</v>
      </c>
      <c r="AO25" s="548">
        <v>84.100000000000023</v>
      </c>
      <c r="AP25" s="548">
        <v>162.30000000000001</v>
      </c>
      <c r="AQ25" s="579">
        <f t="shared" si="23"/>
        <v>512.1</v>
      </c>
      <c r="AR25" s="548"/>
      <c r="AS25" s="548"/>
      <c r="AT25" s="548"/>
      <c r="AU25" s="548"/>
      <c r="AV25" s="543"/>
      <c r="AW25" s="548">
        <v>130.80000000000001</v>
      </c>
      <c r="AX25" s="548">
        <v>146.09999999999997</v>
      </c>
      <c r="AY25" s="548">
        <v>81.800000000000011</v>
      </c>
      <c r="AZ25" s="548">
        <v>179.90000000000003</v>
      </c>
      <c r="BA25" s="554">
        <f>SUM(AW25:AZ25)</f>
        <v>538.6</v>
      </c>
      <c r="BB25" s="578">
        <v>132</v>
      </c>
      <c r="BC25" s="548">
        <v>103.4</v>
      </c>
      <c r="BD25" s="548">
        <v>117.79999999999998</v>
      </c>
      <c r="BE25" s="548">
        <v>181.50000000000006</v>
      </c>
      <c r="BF25" s="579">
        <f>SUM(BB25:BE25)</f>
        <v>534.70000000000005</v>
      </c>
      <c r="BG25" s="548">
        <v>125.7</v>
      </c>
      <c r="BH25" s="548">
        <v>147.80000000000001</v>
      </c>
      <c r="BI25" s="548">
        <v>91.100000000000009</v>
      </c>
      <c r="BJ25" s="548">
        <f>513.6-SUM(BG25:BI25)</f>
        <v>149</v>
      </c>
      <c r="BK25" s="579">
        <f>SUM(BG25:BJ25)</f>
        <v>513.6</v>
      </c>
      <c r="BL25" s="548">
        <v>67.900000000000006</v>
      </c>
      <c r="BM25" s="542">
        <f>182.7-BL25</f>
        <v>114.79999999999998</v>
      </c>
      <c r="BN25" s="548"/>
      <c r="BO25" s="548"/>
      <c r="BP25" s="579">
        <f>SUM(BL25:BO25)</f>
        <v>182.7</v>
      </c>
      <c r="BQ25" s="549"/>
      <c r="BR25" s="549"/>
      <c r="BS25" s="549"/>
      <c r="BT25" s="549"/>
      <c r="BU25" s="549"/>
      <c r="BV25" s="549"/>
      <c r="BW25" s="549"/>
      <c r="BX25" s="549"/>
      <c r="BY25" s="549"/>
      <c r="BZ25" s="549"/>
      <c r="CA25" s="549"/>
      <c r="CB25" s="549"/>
      <c r="CC25" s="549"/>
      <c r="CD25" s="549"/>
      <c r="CE25" s="549"/>
      <c r="CF25" s="549"/>
      <c r="CG25" s="549"/>
      <c r="CH25" s="549"/>
      <c r="CI25" s="549"/>
      <c r="CJ25" s="549"/>
      <c r="CK25" s="549"/>
      <c r="CL25" s="549"/>
      <c r="CM25" s="549"/>
      <c r="CN25" s="549"/>
      <c r="CO25" s="549"/>
      <c r="CP25" s="549"/>
      <c r="CQ25" s="549"/>
      <c r="CR25" s="549"/>
      <c r="CS25" s="549"/>
      <c r="CT25" s="549"/>
      <c r="CU25" s="549"/>
      <c r="CV25" s="549"/>
      <c r="CW25" s="549"/>
      <c r="CX25" s="549"/>
      <c r="CY25" s="549"/>
      <c r="CZ25" s="549"/>
      <c r="DA25" s="549"/>
      <c r="DB25" s="549"/>
      <c r="DC25" s="549"/>
      <c r="DD25" s="549"/>
      <c r="DE25" s="549"/>
      <c r="DF25" s="549"/>
      <c r="DG25" s="549"/>
      <c r="DH25" s="549"/>
      <c r="DI25" s="549"/>
      <c r="DJ25" s="549"/>
      <c r="DK25" s="549"/>
      <c r="DL25" s="549"/>
      <c r="DM25" s="549"/>
      <c r="DN25" s="549"/>
      <c r="DO25" s="549"/>
      <c r="DP25" s="549"/>
      <c r="DQ25" s="549"/>
      <c r="DR25" s="549"/>
      <c r="DS25" s="549"/>
      <c r="DT25" s="549"/>
      <c r="DU25" s="549"/>
      <c r="DV25" s="549"/>
      <c r="DW25" s="549"/>
      <c r="DX25" s="549"/>
      <c r="DY25" s="549"/>
      <c r="DZ25" s="549"/>
      <c r="EA25" s="549"/>
      <c r="EB25" s="549"/>
      <c r="EC25" s="549"/>
      <c r="ED25" s="549"/>
      <c r="EE25" s="549"/>
      <c r="EF25" s="549"/>
      <c r="EG25" s="549"/>
      <c r="EH25" s="549"/>
      <c r="EI25" s="549"/>
      <c r="EJ25" s="549"/>
      <c r="EK25" s="549"/>
      <c r="EL25" s="549"/>
      <c r="EM25" s="549"/>
      <c r="EN25" s="549"/>
      <c r="EO25" s="549"/>
      <c r="EP25" s="549"/>
      <c r="EQ25" s="549"/>
      <c r="ER25" s="549"/>
      <c r="ES25" s="549"/>
      <c r="ET25" s="549"/>
      <c r="EU25" s="549"/>
      <c r="EV25" s="549"/>
      <c r="EW25" s="549"/>
      <c r="EX25" s="549"/>
      <c r="EY25" s="549"/>
      <c r="EZ25" s="549"/>
      <c r="FA25" s="549"/>
      <c r="FB25" s="549"/>
      <c r="FC25" s="549"/>
      <c r="FD25" s="549"/>
      <c r="FE25" s="549"/>
      <c r="FF25" s="549"/>
      <c r="FG25" s="549"/>
      <c r="FH25" s="549"/>
      <c r="FI25" s="549"/>
      <c r="FJ25" s="549"/>
      <c r="FK25" s="549"/>
      <c r="FL25" s="549"/>
      <c r="FM25" s="549"/>
      <c r="FN25" s="549"/>
      <c r="FO25" s="549"/>
      <c r="FP25" s="549"/>
      <c r="FQ25" s="549"/>
      <c r="FR25" s="549"/>
      <c r="FS25" s="549"/>
      <c r="FT25" s="549"/>
      <c r="FU25" s="549"/>
      <c r="FV25" s="549"/>
      <c r="FW25" s="549"/>
      <c r="FX25" s="549"/>
      <c r="FY25" s="549"/>
      <c r="FZ25" s="549"/>
      <c r="GA25" s="549"/>
      <c r="GB25" s="549"/>
      <c r="GC25" s="549"/>
      <c r="GD25" s="549"/>
      <c r="GE25" s="549"/>
      <c r="GF25" s="549"/>
      <c r="GG25" s="549"/>
      <c r="GH25" s="549"/>
      <c r="GI25" s="549"/>
      <c r="GJ25" s="549"/>
      <c r="GK25" s="549"/>
      <c r="GL25" s="549"/>
      <c r="GM25" s="549"/>
      <c r="GN25" s="549"/>
      <c r="GO25" s="549"/>
      <c r="GP25" s="549"/>
      <c r="GQ25" s="549"/>
      <c r="GR25" s="549"/>
      <c r="GS25" s="549"/>
      <c r="GT25" s="549"/>
      <c r="GU25" s="549"/>
      <c r="GV25" s="549"/>
      <c r="GW25" s="549"/>
      <c r="GX25" s="549"/>
      <c r="GY25" s="549"/>
      <c r="GZ25" s="549"/>
      <c r="HA25" s="549"/>
      <c r="HB25" s="549"/>
      <c r="HC25" s="549"/>
      <c r="HD25" s="549"/>
      <c r="HE25" s="549"/>
      <c r="HF25" s="549"/>
      <c r="HG25" s="549"/>
      <c r="HH25" s="549"/>
      <c r="HI25" s="549"/>
      <c r="HJ25" s="549"/>
      <c r="HK25" s="549"/>
      <c r="HL25" s="549"/>
      <c r="HM25" s="549"/>
      <c r="HN25" s="549"/>
      <c r="HO25" s="549"/>
      <c r="HP25" s="549"/>
      <c r="HQ25" s="549"/>
      <c r="HR25" s="549"/>
      <c r="HS25" s="549"/>
      <c r="HT25" s="549"/>
      <c r="HU25" s="549"/>
      <c r="HV25" s="549"/>
      <c r="HW25" s="549"/>
      <c r="HX25" s="549"/>
      <c r="HY25" s="549"/>
      <c r="HZ25" s="549"/>
      <c r="IA25" s="549"/>
      <c r="IB25" s="549"/>
      <c r="IC25" s="549"/>
      <c r="ID25" s="549"/>
      <c r="IE25" s="549"/>
      <c r="IF25" s="549"/>
      <c r="IG25" s="549"/>
      <c r="IH25" s="549"/>
      <c r="II25" s="549"/>
      <c r="IJ25" s="549"/>
      <c r="IK25" s="549"/>
      <c r="IL25" s="549"/>
      <c r="IM25" s="549"/>
      <c r="IN25" s="549"/>
      <c r="IO25" s="549"/>
      <c r="IP25" s="549"/>
      <c r="IQ25" s="549"/>
      <c r="IR25" s="549"/>
      <c r="IS25" s="549"/>
      <c r="IT25" s="549"/>
      <c r="IU25" s="549"/>
      <c r="IV25" s="549"/>
      <c r="IW25" s="549"/>
      <c r="IX25" s="549"/>
      <c r="IY25" s="549"/>
      <c r="IZ25" s="549"/>
      <c r="JA25" s="549"/>
      <c r="JB25" s="549"/>
      <c r="JC25" s="549"/>
      <c r="JD25" s="549"/>
      <c r="JE25" s="549"/>
      <c r="JF25" s="549"/>
      <c r="JG25" s="549"/>
      <c r="JH25" s="549"/>
      <c r="JI25" s="549"/>
      <c r="JJ25" s="549"/>
      <c r="JK25" s="549"/>
      <c r="JL25" s="549"/>
      <c r="JM25" s="549"/>
      <c r="JN25" s="549"/>
      <c r="JO25" s="549"/>
      <c r="JP25" s="549"/>
      <c r="JQ25" s="549"/>
      <c r="JR25" s="549"/>
      <c r="JS25" s="549"/>
      <c r="JT25" s="549"/>
      <c r="JU25" s="549"/>
      <c r="JV25" s="549"/>
      <c r="JW25" s="549"/>
      <c r="JX25" s="549"/>
      <c r="JY25" s="549"/>
      <c r="JZ25" s="549"/>
      <c r="KA25" s="549"/>
      <c r="KB25" s="549"/>
      <c r="KC25" s="549"/>
      <c r="KD25" s="549"/>
      <c r="KE25" s="549"/>
      <c r="KF25" s="549"/>
      <c r="KG25" s="549"/>
      <c r="KH25" s="549"/>
      <c r="KI25" s="549"/>
      <c r="KJ25" s="549"/>
      <c r="KK25" s="549"/>
      <c r="KL25" s="549"/>
      <c r="KM25" s="549"/>
      <c r="KN25" s="549"/>
      <c r="KO25" s="549"/>
      <c r="KP25" s="549"/>
      <c r="KQ25" s="549"/>
      <c r="KR25" s="549"/>
      <c r="KS25" s="549"/>
      <c r="KT25" s="549"/>
      <c r="KU25" s="549"/>
      <c r="KV25" s="549"/>
      <c r="KW25" s="549"/>
      <c r="KX25" s="549"/>
      <c r="KY25" s="549"/>
      <c r="KZ25" s="549"/>
      <c r="LA25" s="549"/>
      <c r="LB25" s="549"/>
      <c r="LC25" s="549"/>
      <c r="LD25" s="549"/>
      <c r="LE25" s="549"/>
      <c r="LF25" s="549"/>
      <c r="LG25" s="549"/>
      <c r="LH25" s="549"/>
      <c r="LI25" s="549"/>
      <c r="LJ25" s="549"/>
      <c r="LK25" s="549"/>
      <c r="LL25" s="549"/>
      <c r="LM25" s="549"/>
      <c r="LN25" s="549"/>
      <c r="LO25" s="549"/>
      <c r="LP25" s="549"/>
      <c r="LQ25" s="549"/>
      <c r="LR25" s="549"/>
      <c r="LS25" s="549"/>
      <c r="LT25" s="549"/>
      <c r="LU25" s="549"/>
      <c r="LV25" s="549"/>
      <c r="LW25" s="549"/>
      <c r="LX25" s="549"/>
      <c r="LY25" s="549"/>
      <c r="LZ25" s="549"/>
      <c r="MA25" s="549"/>
      <c r="MB25" s="549"/>
      <c r="MC25" s="549"/>
      <c r="MD25" s="549"/>
      <c r="ME25" s="549"/>
      <c r="MF25" s="549"/>
      <c r="MG25" s="549"/>
      <c r="MH25" s="549"/>
      <c r="MI25" s="549"/>
      <c r="MJ25" s="549"/>
      <c r="MK25" s="549"/>
      <c r="ML25" s="549"/>
      <c r="MM25" s="549"/>
      <c r="MN25" s="549"/>
      <c r="MO25" s="549"/>
      <c r="MP25" s="549"/>
      <c r="MQ25" s="549"/>
      <c r="MR25" s="549"/>
      <c r="MS25" s="549"/>
      <c r="MT25" s="549"/>
      <c r="MU25" s="549"/>
      <c r="MV25" s="549"/>
      <c r="MW25" s="549"/>
      <c r="MX25" s="549"/>
      <c r="MY25" s="549"/>
      <c r="MZ25" s="549"/>
      <c r="NA25" s="549"/>
      <c r="NB25" s="549"/>
      <c r="NC25" s="549"/>
      <c r="ND25" s="549"/>
      <c r="NE25" s="549"/>
      <c r="NF25" s="549"/>
      <c r="NG25" s="549"/>
      <c r="NH25" s="549"/>
      <c r="NI25" s="549"/>
      <c r="NJ25" s="549"/>
      <c r="NK25" s="549"/>
      <c r="NL25" s="549"/>
      <c r="NM25" s="549"/>
      <c r="NN25" s="549"/>
      <c r="NO25" s="549"/>
      <c r="NP25" s="549"/>
      <c r="NQ25" s="549"/>
      <c r="NR25" s="549"/>
      <c r="NS25" s="549"/>
      <c r="NT25" s="549"/>
      <c r="NU25" s="549"/>
      <c r="NV25" s="549"/>
      <c r="NW25" s="549"/>
      <c r="NX25" s="549"/>
      <c r="NY25" s="549"/>
      <c r="NZ25" s="549"/>
      <c r="OA25" s="549"/>
      <c r="OB25" s="549"/>
      <c r="OC25" s="549"/>
      <c r="OD25" s="549"/>
      <c r="OE25" s="549"/>
      <c r="OF25" s="549"/>
      <c r="OG25" s="549"/>
      <c r="OH25" s="549"/>
      <c r="OI25" s="549"/>
      <c r="OJ25" s="549"/>
      <c r="OK25" s="549"/>
      <c r="OL25" s="549"/>
      <c r="OM25" s="549"/>
      <c r="ON25" s="549"/>
      <c r="OO25" s="549"/>
      <c r="OP25" s="549"/>
      <c r="OQ25" s="549"/>
      <c r="OR25" s="549"/>
      <c r="OS25" s="549"/>
      <c r="OT25" s="549"/>
      <c r="OU25" s="549"/>
      <c r="OV25" s="549"/>
      <c r="OW25" s="549"/>
      <c r="OX25" s="549"/>
      <c r="OY25" s="549"/>
      <c r="OZ25" s="549"/>
      <c r="PA25" s="549"/>
      <c r="PB25" s="549"/>
      <c r="PC25" s="549"/>
      <c r="PD25" s="549"/>
      <c r="PE25" s="549"/>
      <c r="PF25" s="549"/>
      <c r="PG25" s="549"/>
      <c r="PH25" s="549"/>
      <c r="PI25" s="549"/>
      <c r="PJ25" s="549"/>
      <c r="PK25" s="549"/>
      <c r="PL25" s="549"/>
      <c r="PM25" s="549"/>
      <c r="PN25" s="549"/>
      <c r="PO25" s="549"/>
      <c r="PP25" s="549"/>
      <c r="PQ25" s="549"/>
      <c r="PR25" s="549"/>
      <c r="PS25" s="549"/>
      <c r="PT25" s="549"/>
      <c r="PU25" s="549"/>
      <c r="PV25" s="549"/>
      <c r="PW25" s="549"/>
      <c r="PX25" s="549"/>
      <c r="PY25" s="549"/>
      <c r="PZ25" s="549"/>
      <c r="QA25" s="549"/>
      <c r="QB25" s="549"/>
      <c r="QC25" s="549"/>
      <c r="QD25" s="549"/>
      <c r="QE25" s="549"/>
      <c r="QF25" s="549"/>
      <c r="QG25" s="549"/>
      <c r="QH25" s="549"/>
      <c r="QI25" s="549"/>
      <c r="QJ25" s="549"/>
      <c r="QK25" s="549"/>
      <c r="QL25" s="549"/>
      <c r="QM25" s="549"/>
      <c r="QN25" s="549"/>
      <c r="QO25" s="549"/>
      <c r="QP25" s="549"/>
      <c r="QQ25" s="549"/>
      <c r="QR25" s="549"/>
      <c r="QS25" s="549"/>
      <c r="QT25" s="549"/>
      <c r="QU25" s="549"/>
      <c r="QV25" s="549"/>
      <c r="QW25" s="549"/>
      <c r="QX25" s="549"/>
      <c r="QY25" s="549"/>
      <c r="QZ25" s="549"/>
      <c r="RA25" s="549"/>
      <c r="RB25" s="549"/>
      <c r="RC25" s="549"/>
      <c r="RD25" s="549"/>
      <c r="RE25" s="549"/>
      <c r="RF25" s="549"/>
      <c r="RG25" s="549"/>
      <c r="RH25" s="549"/>
      <c r="RI25" s="549"/>
      <c r="RJ25" s="549"/>
      <c r="RK25" s="549"/>
      <c r="RL25" s="549"/>
      <c r="RM25" s="549"/>
      <c r="RN25" s="549"/>
      <c r="RO25" s="549"/>
      <c r="RP25" s="549"/>
      <c r="RQ25" s="549"/>
      <c r="RR25" s="549"/>
      <c r="RS25" s="549"/>
      <c r="RT25" s="549"/>
      <c r="RU25" s="549"/>
      <c r="RV25" s="549"/>
      <c r="RW25" s="549"/>
      <c r="RX25" s="549"/>
    </row>
    <row r="26" spans="1:492" s="550" customFormat="1" ht="20.100000000000001" customHeight="1">
      <c r="A26" s="567" t="s">
        <v>123</v>
      </c>
      <c r="B26" s="592" t="s">
        <v>118</v>
      </c>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78"/>
      <c r="AN26" s="548"/>
      <c r="AO26" s="548"/>
      <c r="AP26" s="548"/>
      <c r="AQ26" s="579"/>
      <c r="AR26" s="548"/>
      <c r="AS26" s="548"/>
      <c r="AT26" s="548"/>
      <c r="AU26" s="548"/>
      <c r="AV26" s="543"/>
      <c r="AW26" s="548"/>
      <c r="AX26" s="548"/>
      <c r="AY26" s="548"/>
      <c r="AZ26" s="548"/>
      <c r="BA26" s="554"/>
      <c r="BB26" s="578"/>
      <c r="BC26" s="548"/>
      <c r="BD26" s="548"/>
      <c r="BE26" s="548"/>
      <c r="BF26" s="579"/>
      <c r="BG26" s="548"/>
      <c r="BH26" s="548"/>
      <c r="BI26" s="548"/>
      <c r="BJ26" s="548"/>
      <c r="BK26" s="579"/>
      <c r="BL26" s="548"/>
      <c r="BM26" s="542">
        <v>0.1</v>
      </c>
      <c r="BN26" s="548"/>
      <c r="BO26" s="548"/>
      <c r="BP26" s="579">
        <f t="shared" ref="BP26:BP27" si="24">SUM(BL26:BO26)</f>
        <v>0.1</v>
      </c>
      <c r="BQ26" s="549"/>
      <c r="BR26" s="549"/>
      <c r="BS26" s="549"/>
      <c r="BT26" s="549"/>
      <c r="BU26" s="549"/>
      <c r="BV26" s="549"/>
      <c r="BW26" s="549"/>
      <c r="BX26" s="549"/>
      <c r="BY26" s="549"/>
      <c r="BZ26" s="549"/>
      <c r="CA26" s="549"/>
      <c r="CB26" s="549"/>
      <c r="CC26" s="549"/>
      <c r="CD26" s="549"/>
      <c r="CE26" s="549"/>
      <c r="CF26" s="549"/>
      <c r="CG26" s="549"/>
      <c r="CH26" s="549"/>
      <c r="CI26" s="549"/>
      <c r="CJ26" s="549"/>
      <c r="CK26" s="549"/>
      <c r="CL26" s="549"/>
      <c r="CM26" s="549"/>
      <c r="CN26" s="549"/>
      <c r="CO26" s="549"/>
      <c r="CP26" s="549"/>
      <c r="CQ26" s="549"/>
      <c r="CR26" s="549"/>
      <c r="CS26" s="549"/>
      <c r="CT26" s="549"/>
      <c r="CU26" s="549"/>
      <c r="CV26" s="549"/>
      <c r="CW26" s="549"/>
      <c r="CX26" s="549"/>
      <c r="CY26" s="549"/>
      <c r="CZ26" s="549"/>
      <c r="DA26" s="549"/>
      <c r="DB26" s="549"/>
      <c r="DC26" s="549"/>
      <c r="DD26" s="549"/>
      <c r="DE26" s="549"/>
      <c r="DF26" s="549"/>
      <c r="DG26" s="549"/>
      <c r="DH26" s="549"/>
      <c r="DI26" s="549"/>
      <c r="DJ26" s="549"/>
      <c r="DK26" s="549"/>
      <c r="DL26" s="549"/>
      <c r="DM26" s="549"/>
      <c r="DN26" s="549"/>
      <c r="DO26" s="549"/>
      <c r="DP26" s="549"/>
      <c r="DQ26" s="549"/>
      <c r="DR26" s="549"/>
      <c r="DS26" s="549"/>
      <c r="DT26" s="549"/>
      <c r="DU26" s="549"/>
      <c r="DV26" s="549"/>
      <c r="DW26" s="549"/>
      <c r="DX26" s="549"/>
      <c r="DY26" s="549"/>
      <c r="DZ26" s="549"/>
      <c r="EA26" s="549"/>
      <c r="EB26" s="549"/>
      <c r="EC26" s="549"/>
      <c r="ED26" s="549"/>
      <c r="EE26" s="549"/>
      <c r="EF26" s="549"/>
      <c r="EG26" s="549"/>
      <c r="EH26" s="549"/>
      <c r="EI26" s="549"/>
      <c r="EJ26" s="549"/>
      <c r="EK26" s="549"/>
      <c r="EL26" s="549"/>
      <c r="EM26" s="549"/>
      <c r="EN26" s="549"/>
      <c r="EO26" s="549"/>
      <c r="EP26" s="549"/>
      <c r="EQ26" s="549"/>
      <c r="ER26" s="549"/>
      <c r="ES26" s="549"/>
      <c r="ET26" s="549"/>
      <c r="EU26" s="549"/>
      <c r="EV26" s="549"/>
      <c r="EW26" s="549"/>
      <c r="EX26" s="549"/>
      <c r="EY26" s="549"/>
      <c r="EZ26" s="549"/>
      <c r="FA26" s="549"/>
      <c r="FB26" s="549"/>
      <c r="FC26" s="549"/>
      <c r="FD26" s="549"/>
      <c r="FE26" s="549"/>
      <c r="FF26" s="549"/>
      <c r="FG26" s="549"/>
      <c r="FH26" s="549"/>
      <c r="FI26" s="549"/>
      <c r="FJ26" s="549"/>
      <c r="FK26" s="549"/>
      <c r="FL26" s="549"/>
      <c r="FM26" s="549"/>
      <c r="FN26" s="549"/>
      <c r="FO26" s="549"/>
      <c r="FP26" s="549"/>
      <c r="FQ26" s="549"/>
      <c r="FR26" s="549"/>
      <c r="FS26" s="549"/>
      <c r="FT26" s="549"/>
      <c r="FU26" s="549"/>
      <c r="FV26" s="549"/>
      <c r="FW26" s="549"/>
      <c r="FX26" s="549"/>
      <c r="FY26" s="549"/>
      <c r="FZ26" s="549"/>
      <c r="GA26" s="549"/>
      <c r="GB26" s="549"/>
      <c r="GC26" s="549"/>
      <c r="GD26" s="549"/>
      <c r="GE26" s="549"/>
      <c r="GF26" s="549"/>
      <c r="GG26" s="549"/>
      <c r="GH26" s="549"/>
      <c r="GI26" s="549"/>
      <c r="GJ26" s="549"/>
      <c r="GK26" s="549"/>
      <c r="GL26" s="549"/>
      <c r="GM26" s="549"/>
      <c r="GN26" s="549"/>
      <c r="GO26" s="549"/>
      <c r="GP26" s="549"/>
      <c r="GQ26" s="549"/>
      <c r="GR26" s="549"/>
      <c r="GS26" s="549"/>
      <c r="GT26" s="549"/>
      <c r="GU26" s="549"/>
      <c r="GV26" s="549"/>
      <c r="GW26" s="549"/>
      <c r="GX26" s="549"/>
      <c r="GY26" s="549"/>
      <c r="GZ26" s="549"/>
      <c r="HA26" s="549"/>
      <c r="HB26" s="549"/>
      <c r="HC26" s="549"/>
      <c r="HD26" s="549"/>
      <c r="HE26" s="549"/>
      <c r="HF26" s="549"/>
      <c r="HG26" s="549"/>
      <c r="HH26" s="549"/>
      <c r="HI26" s="549"/>
      <c r="HJ26" s="549"/>
      <c r="HK26" s="549"/>
      <c r="HL26" s="549"/>
      <c r="HM26" s="549"/>
      <c r="HN26" s="549"/>
      <c r="HO26" s="549"/>
      <c r="HP26" s="549"/>
      <c r="HQ26" s="549"/>
      <c r="HR26" s="549"/>
      <c r="HS26" s="549"/>
      <c r="HT26" s="549"/>
      <c r="HU26" s="549"/>
      <c r="HV26" s="549"/>
      <c r="HW26" s="549"/>
      <c r="HX26" s="549"/>
      <c r="HY26" s="549"/>
      <c r="HZ26" s="549"/>
      <c r="IA26" s="549"/>
      <c r="IB26" s="549"/>
      <c r="IC26" s="549"/>
      <c r="ID26" s="549"/>
      <c r="IE26" s="549"/>
      <c r="IF26" s="549"/>
      <c r="IG26" s="549"/>
      <c r="IH26" s="549"/>
      <c r="II26" s="549"/>
      <c r="IJ26" s="549"/>
      <c r="IK26" s="549"/>
      <c r="IL26" s="549"/>
      <c r="IM26" s="549"/>
      <c r="IN26" s="549"/>
      <c r="IO26" s="549"/>
      <c r="IP26" s="549"/>
      <c r="IQ26" s="549"/>
      <c r="IR26" s="549"/>
      <c r="IS26" s="549"/>
      <c r="IT26" s="549"/>
      <c r="IU26" s="549"/>
      <c r="IV26" s="549"/>
      <c r="IW26" s="549"/>
      <c r="IX26" s="549"/>
      <c r="IY26" s="549"/>
      <c r="IZ26" s="549"/>
      <c r="JA26" s="549"/>
      <c r="JB26" s="549"/>
      <c r="JC26" s="549"/>
      <c r="JD26" s="549"/>
      <c r="JE26" s="549"/>
      <c r="JF26" s="549"/>
      <c r="JG26" s="549"/>
      <c r="JH26" s="549"/>
      <c r="JI26" s="549"/>
      <c r="JJ26" s="549"/>
      <c r="JK26" s="549"/>
      <c r="JL26" s="549"/>
      <c r="JM26" s="549"/>
      <c r="JN26" s="549"/>
      <c r="JO26" s="549"/>
      <c r="JP26" s="549"/>
      <c r="JQ26" s="549"/>
      <c r="JR26" s="549"/>
      <c r="JS26" s="549"/>
      <c r="JT26" s="549"/>
      <c r="JU26" s="549"/>
      <c r="JV26" s="549"/>
      <c r="JW26" s="549"/>
      <c r="JX26" s="549"/>
      <c r="JY26" s="549"/>
      <c r="JZ26" s="549"/>
      <c r="KA26" s="549"/>
      <c r="KB26" s="549"/>
      <c r="KC26" s="549"/>
      <c r="KD26" s="549"/>
      <c r="KE26" s="549"/>
      <c r="KF26" s="549"/>
      <c r="KG26" s="549"/>
      <c r="KH26" s="549"/>
      <c r="KI26" s="549"/>
      <c r="KJ26" s="549"/>
      <c r="KK26" s="549"/>
      <c r="KL26" s="549"/>
      <c r="KM26" s="549"/>
      <c r="KN26" s="549"/>
      <c r="KO26" s="549"/>
      <c r="KP26" s="549"/>
      <c r="KQ26" s="549"/>
      <c r="KR26" s="549"/>
      <c r="KS26" s="549"/>
      <c r="KT26" s="549"/>
      <c r="KU26" s="549"/>
      <c r="KV26" s="549"/>
      <c r="KW26" s="549"/>
      <c r="KX26" s="549"/>
      <c r="KY26" s="549"/>
      <c r="KZ26" s="549"/>
      <c r="LA26" s="549"/>
      <c r="LB26" s="549"/>
      <c r="LC26" s="549"/>
      <c r="LD26" s="549"/>
      <c r="LE26" s="549"/>
      <c r="LF26" s="549"/>
      <c r="LG26" s="549"/>
      <c r="LH26" s="549"/>
      <c r="LI26" s="549"/>
      <c r="LJ26" s="549"/>
      <c r="LK26" s="549"/>
      <c r="LL26" s="549"/>
      <c r="LM26" s="549"/>
      <c r="LN26" s="549"/>
      <c r="LO26" s="549"/>
      <c r="LP26" s="549"/>
      <c r="LQ26" s="549"/>
      <c r="LR26" s="549"/>
      <c r="LS26" s="549"/>
      <c r="LT26" s="549"/>
      <c r="LU26" s="549"/>
      <c r="LV26" s="549"/>
      <c r="LW26" s="549"/>
      <c r="LX26" s="549"/>
      <c r="LY26" s="549"/>
      <c r="LZ26" s="549"/>
      <c r="MA26" s="549"/>
      <c r="MB26" s="549"/>
      <c r="MC26" s="549"/>
      <c r="MD26" s="549"/>
      <c r="ME26" s="549"/>
      <c r="MF26" s="549"/>
      <c r="MG26" s="549"/>
      <c r="MH26" s="549"/>
      <c r="MI26" s="549"/>
      <c r="MJ26" s="549"/>
      <c r="MK26" s="549"/>
      <c r="ML26" s="549"/>
      <c r="MM26" s="549"/>
      <c r="MN26" s="549"/>
      <c r="MO26" s="549"/>
      <c r="MP26" s="549"/>
      <c r="MQ26" s="549"/>
      <c r="MR26" s="549"/>
      <c r="MS26" s="549"/>
      <c r="MT26" s="549"/>
      <c r="MU26" s="549"/>
      <c r="MV26" s="549"/>
      <c r="MW26" s="549"/>
      <c r="MX26" s="549"/>
      <c r="MY26" s="549"/>
      <c r="MZ26" s="549"/>
      <c r="NA26" s="549"/>
      <c r="NB26" s="549"/>
      <c r="NC26" s="549"/>
      <c r="ND26" s="549"/>
      <c r="NE26" s="549"/>
      <c r="NF26" s="549"/>
      <c r="NG26" s="549"/>
      <c r="NH26" s="549"/>
      <c r="NI26" s="549"/>
      <c r="NJ26" s="549"/>
      <c r="NK26" s="549"/>
      <c r="NL26" s="549"/>
      <c r="NM26" s="549"/>
      <c r="NN26" s="549"/>
      <c r="NO26" s="549"/>
      <c r="NP26" s="549"/>
      <c r="NQ26" s="549"/>
      <c r="NR26" s="549"/>
      <c r="NS26" s="549"/>
      <c r="NT26" s="549"/>
      <c r="NU26" s="549"/>
      <c r="NV26" s="549"/>
      <c r="NW26" s="549"/>
      <c r="NX26" s="549"/>
      <c r="NY26" s="549"/>
      <c r="NZ26" s="549"/>
      <c r="OA26" s="549"/>
      <c r="OB26" s="549"/>
      <c r="OC26" s="549"/>
      <c r="OD26" s="549"/>
      <c r="OE26" s="549"/>
      <c r="OF26" s="549"/>
      <c r="OG26" s="549"/>
      <c r="OH26" s="549"/>
      <c r="OI26" s="549"/>
      <c r="OJ26" s="549"/>
      <c r="OK26" s="549"/>
      <c r="OL26" s="549"/>
      <c r="OM26" s="549"/>
      <c r="ON26" s="549"/>
      <c r="OO26" s="549"/>
      <c r="OP26" s="549"/>
      <c r="OQ26" s="549"/>
      <c r="OR26" s="549"/>
      <c r="OS26" s="549"/>
      <c r="OT26" s="549"/>
      <c r="OU26" s="549"/>
      <c r="OV26" s="549"/>
      <c r="OW26" s="549"/>
      <c r="OX26" s="549"/>
      <c r="OY26" s="549"/>
      <c r="OZ26" s="549"/>
      <c r="PA26" s="549"/>
      <c r="PB26" s="549"/>
      <c r="PC26" s="549"/>
      <c r="PD26" s="549"/>
      <c r="PE26" s="549"/>
      <c r="PF26" s="549"/>
      <c r="PG26" s="549"/>
      <c r="PH26" s="549"/>
      <c r="PI26" s="549"/>
      <c r="PJ26" s="549"/>
      <c r="PK26" s="549"/>
      <c r="PL26" s="549"/>
      <c r="PM26" s="549"/>
      <c r="PN26" s="549"/>
      <c r="PO26" s="549"/>
      <c r="PP26" s="549"/>
      <c r="PQ26" s="549"/>
      <c r="PR26" s="549"/>
      <c r="PS26" s="549"/>
      <c r="PT26" s="549"/>
      <c r="PU26" s="549"/>
      <c r="PV26" s="549"/>
      <c r="PW26" s="549"/>
      <c r="PX26" s="549"/>
      <c r="PY26" s="549"/>
      <c r="PZ26" s="549"/>
      <c r="QA26" s="549"/>
      <c r="QB26" s="549"/>
      <c r="QC26" s="549"/>
      <c r="QD26" s="549"/>
      <c r="QE26" s="549"/>
      <c r="QF26" s="549"/>
      <c r="QG26" s="549"/>
      <c r="QH26" s="549"/>
      <c r="QI26" s="549"/>
      <c r="QJ26" s="549"/>
      <c r="QK26" s="549"/>
      <c r="QL26" s="549"/>
      <c r="QM26" s="549"/>
      <c r="QN26" s="549"/>
      <c r="QO26" s="549"/>
      <c r="QP26" s="549"/>
      <c r="QQ26" s="549"/>
      <c r="QR26" s="549"/>
      <c r="QS26" s="549"/>
      <c r="QT26" s="549"/>
      <c r="QU26" s="549"/>
      <c r="QV26" s="549"/>
      <c r="QW26" s="549"/>
      <c r="QX26" s="549"/>
      <c r="QY26" s="549"/>
      <c r="QZ26" s="549"/>
      <c r="RA26" s="549"/>
      <c r="RB26" s="549"/>
      <c r="RC26" s="549"/>
      <c r="RD26" s="549"/>
      <c r="RE26" s="549"/>
      <c r="RF26" s="549"/>
      <c r="RG26" s="549"/>
      <c r="RH26" s="549"/>
      <c r="RI26" s="549"/>
      <c r="RJ26" s="549"/>
      <c r="RK26" s="549"/>
      <c r="RL26" s="549"/>
      <c r="RM26" s="549"/>
      <c r="RN26" s="549"/>
      <c r="RO26" s="549"/>
      <c r="RP26" s="549"/>
      <c r="RQ26" s="549"/>
      <c r="RR26" s="549"/>
      <c r="RS26" s="549"/>
      <c r="RT26" s="549"/>
      <c r="RU26" s="549"/>
      <c r="RV26" s="549"/>
      <c r="RW26" s="549"/>
      <c r="RX26" s="549"/>
    </row>
    <row r="27" spans="1:492" s="550" customFormat="1" ht="20.100000000000001" customHeight="1" thickBot="1">
      <c r="A27" s="567" t="s">
        <v>119</v>
      </c>
      <c r="B27" s="592" t="s">
        <v>120</v>
      </c>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78"/>
      <c r="AN27" s="548"/>
      <c r="AO27" s="548"/>
      <c r="AP27" s="548"/>
      <c r="AQ27" s="579"/>
      <c r="AR27" s="548"/>
      <c r="AS27" s="548"/>
      <c r="AT27" s="548"/>
      <c r="AU27" s="548"/>
      <c r="AV27" s="543"/>
      <c r="AW27" s="548"/>
      <c r="AX27" s="548"/>
      <c r="AY27" s="548"/>
      <c r="AZ27" s="548"/>
      <c r="BA27" s="554"/>
      <c r="BB27" s="578"/>
      <c r="BC27" s="548"/>
      <c r="BD27" s="548"/>
      <c r="BE27" s="548"/>
      <c r="BF27" s="579"/>
      <c r="BG27" s="548"/>
      <c r="BH27" s="548"/>
      <c r="BI27" s="548"/>
      <c r="BJ27" s="548"/>
      <c r="BK27" s="579"/>
      <c r="BL27" s="548"/>
      <c r="BM27" s="794">
        <v>-2.2000000000000002</v>
      </c>
      <c r="BN27" s="548"/>
      <c r="BO27" s="548"/>
      <c r="BP27" s="598">
        <f t="shared" si="24"/>
        <v>-2.2000000000000002</v>
      </c>
      <c r="BQ27" s="549"/>
      <c r="BR27" s="549"/>
      <c r="BS27" s="549"/>
      <c r="BT27" s="549"/>
      <c r="BU27" s="549"/>
      <c r="BV27" s="549"/>
      <c r="BW27" s="549"/>
      <c r="BX27" s="549"/>
      <c r="BY27" s="549"/>
      <c r="BZ27" s="549"/>
      <c r="CA27" s="549"/>
      <c r="CB27" s="549"/>
      <c r="CC27" s="549"/>
      <c r="CD27" s="549"/>
      <c r="CE27" s="549"/>
      <c r="CF27" s="549"/>
      <c r="CG27" s="549"/>
      <c r="CH27" s="549"/>
      <c r="CI27" s="549"/>
      <c r="CJ27" s="549"/>
      <c r="CK27" s="549"/>
      <c r="CL27" s="549"/>
      <c r="CM27" s="549"/>
      <c r="CN27" s="549"/>
      <c r="CO27" s="549"/>
      <c r="CP27" s="549"/>
      <c r="CQ27" s="549"/>
      <c r="CR27" s="549"/>
      <c r="CS27" s="549"/>
      <c r="CT27" s="549"/>
      <c r="CU27" s="549"/>
      <c r="CV27" s="549"/>
      <c r="CW27" s="549"/>
      <c r="CX27" s="549"/>
      <c r="CY27" s="549"/>
      <c r="CZ27" s="549"/>
      <c r="DA27" s="549"/>
      <c r="DB27" s="549"/>
      <c r="DC27" s="549"/>
      <c r="DD27" s="549"/>
      <c r="DE27" s="549"/>
      <c r="DF27" s="549"/>
      <c r="DG27" s="549"/>
      <c r="DH27" s="549"/>
      <c r="DI27" s="549"/>
      <c r="DJ27" s="549"/>
      <c r="DK27" s="549"/>
      <c r="DL27" s="549"/>
      <c r="DM27" s="549"/>
      <c r="DN27" s="549"/>
      <c r="DO27" s="549"/>
      <c r="DP27" s="549"/>
      <c r="DQ27" s="549"/>
      <c r="DR27" s="549"/>
      <c r="DS27" s="549"/>
      <c r="DT27" s="549"/>
      <c r="DU27" s="549"/>
      <c r="DV27" s="549"/>
      <c r="DW27" s="549"/>
      <c r="DX27" s="549"/>
      <c r="DY27" s="549"/>
      <c r="DZ27" s="549"/>
      <c r="EA27" s="549"/>
      <c r="EB27" s="549"/>
      <c r="EC27" s="549"/>
      <c r="ED27" s="549"/>
      <c r="EE27" s="549"/>
      <c r="EF27" s="549"/>
      <c r="EG27" s="549"/>
      <c r="EH27" s="549"/>
      <c r="EI27" s="549"/>
      <c r="EJ27" s="549"/>
      <c r="EK27" s="549"/>
      <c r="EL27" s="549"/>
      <c r="EM27" s="549"/>
      <c r="EN27" s="549"/>
      <c r="EO27" s="549"/>
      <c r="EP27" s="549"/>
      <c r="EQ27" s="549"/>
      <c r="ER27" s="549"/>
      <c r="ES27" s="549"/>
      <c r="ET27" s="549"/>
      <c r="EU27" s="549"/>
      <c r="EV27" s="549"/>
      <c r="EW27" s="549"/>
      <c r="EX27" s="549"/>
      <c r="EY27" s="549"/>
      <c r="EZ27" s="549"/>
      <c r="FA27" s="549"/>
      <c r="FB27" s="549"/>
      <c r="FC27" s="549"/>
      <c r="FD27" s="549"/>
      <c r="FE27" s="549"/>
      <c r="FF27" s="549"/>
      <c r="FG27" s="549"/>
      <c r="FH27" s="549"/>
      <c r="FI27" s="549"/>
      <c r="FJ27" s="549"/>
      <c r="FK27" s="549"/>
      <c r="FL27" s="549"/>
      <c r="FM27" s="549"/>
      <c r="FN27" s="549"/>
      <c r="FO27" s="549"/>
      <c r="FP27" s="549"/>
      <c r="FQ27" s="549"/>
      <c r="FR27" s="549"/>
      <c r="FS27" s="549"/>
      <c r="FT27" s="549"/>
      <c r="FU27" s="549"/>
      <c r="FV27" s="549"/>
      <c r="FW27" s="549"/>
      <c r="FX27" s="549"/>
      <c r="FY27" s="549"/>
      <c r="FZ27" s="549"/>
      <c r="GA27" s="549"/>
      <c r="GB27" s="549"/>
      <c r="GC27" s="549"/>
      <c r="GD27" s="549"/>
      <c r="GE27" s="549"/>
      <c r="GF27" s="549"/>
      <c r="GG27" s="549"/>
      <c r="GH27" s="549"/>
      <c r="GI27" s="549"/>
      <c r="GJ27" s="549"/>
      <c r="GK27" s="549"/>
      <c r="GL27" s="549"/>
      <c r="GM27" s="549"/>
      <c r="GN27" s="549"/>
      <c r="GO27" s="549"/>
      <c r="GP27" s="549"/>
      <c r="GQ27" s="549"/>
      <c r="GR27" s="549"/>
      <c r="GS27" s="549"/>
      <c r="GT27" s="549"/>
      <c r="GU27" s="549"/>
      <c r="GV27" s="549"/>
      <c r="GW27" s="549"/>
      <c r="GX27" s="549"/>
      <c r="GY27" s="549"/>
      <c r="GZ27" s="549"/>
      <c r="HA27" s="549"/>
      <c r="HB27" s="549"/>
      <c r="HC27" s="549"/>
      <c r="HD27" s="549"/>
      <c r="HE27" s="549"/>
      <c r="HF27" s="549"/>
      <c r="HG27" s="549"/>
      <c r="HH27" s="549"/>
      <c r="HI27" s="549"/>
      <c r="HJ27" s="549"/>
      <c r="HK27" s="549"/>
      <c r="HL27" s="549"/>
      <c r="HM27" s="549"/>
      <c r="HN27" s="549"/>
      <c r="HO27" s="549"/>
      <c r="HP27" s="549"/>
      <c r="HQ27" s="549"/>
      <c r="HR27" s="549"/>
      <c r="HS27" s="549"/>
      <c r="HT27" s="549"/>
      <c r="HU27" s="549"/>
      <c r="HV27" s="549"/>
      <c r="HW27" s="549"/>
      <c r="HX27" s="549"/>
      <c r="HY27" s="549"/>
      <c r="HZ27" s="549"/>
      <c r="IA27" s="549"/>
      <c r="IB27" s="549"/>
      <c r="IC27" s="549"/>
      <c r="ID27" s="549"/>
      <c r="IE27" s="549"/>
      <c r="IF27" s="549"/>
      <c r="IG27" s="549"/>
      <c r="IH27" s="549"/>
      <c r="II27" s="549"/>
      <c r="IJ27" s="549"/>
      <c r="IK27" s="549"/>
      <c r="IL27" s="549"/>
      <c r="IM27" s="549"/>
      <c r="IN27" s="549"/>
      <c r="IO27" s="549"/>
      <c r="IP27" s="549"/>
      <c r="IQ27" s="549"/>
      <c r="IR27" s="549"/>
      <c r="IS27" s="549"/>
      <c r="IT27" s="549"/>
      <c r="IU27" s="549"/>
      <c r="IV27" s="549"/>
      <c r="IW27" s="549"/>
      <c r="IX27" s="549"/>
      <c r="IY27" s="549"/>
      <c r="IZ27" s="549"/>
      <c r="JA27" s="549"/>
      <c r="JB27" s="549"/>
      <c r="JC27" s="549"/>
      <c r="JD27" s="549"/>
      <c r="JE27" s="549"/>
      <c r="JF27" s="549"/>
      <c r="JG27" s="549"/>
      <c r="JH27" s="549"/>
      <c r="JI27" s="549"/>
      <c r="JJ27" s="549"/>
      <c r="JK27" s="549"/>
      <c r="JL27" s="549"/>
      <c r="JM27" s="549"/>
      <c r="JN27" s="549"/>
      <c r="JO27" s="549"/>
      <c r="JP27" s="549"/>
      <c r="JQ27" s="549"/>
      <c r="JR27" s="549"/>
      <c r="JS27" s="549"/>
      <c r="JT27" s="549"/>
      <c r="JU27" s="549"/>
      <c r="JV27" s="549"/>
      <c r="JW27" s="549"/>
      <c r="JX27" s="549"/>
      <c r="JY27" s="549"/>
      <c r="JZ27" s="549"/>
      <c r="KA27" s="549"/>
      <c r="KB27" s="549"/>
      <c r="KC27" s="549"/>
      <c r="KD27" s="549"/>
      <c r="KE27" s="549"/>
      <c r="KF27" s="549"/>
      <c r="KG27" s="549"/>
      <c r="KH27" s="549"/>
      <c r="KI27" s="549"/>
      <c r="KJ27" s="549"/>
      <c r="KK27" s="549"/>
      <c r="KL27" s="549"/>
      <c r="KM27" s="549"/>
      <c r="KN27" s="549"/>
      <c r="KO27" s="549"/>
      <c r="KP27" s="549"/>
      <c r="KQ27" s="549"/>
      <c r="KR27" s="549"/>
      <c r="KS27" s="549"/>
      <c r="KT27" s="549"/>
      <c r="KU27" s="549"/>
      <c r="KV27" s="549"/>
      <c r="KW27" s="549"/>
      <c r="KX27" s="549"/>
      <c r="KY27" s="549"/>
      <c r="KZ27" s="549"/>
      <c r="LA27" s="549"/>
      <c r="LB27" s="549"/>
      <c r="LC27" s="549"/>
      <c r="LD27" s="549"/>
      <c r="LE27" s="549"/>
      <c r="LF27" s="549"/>
      <c r="LG27" s="549"/>
      <c r="LH27" s="549"/>
      <c r="LI27" s="549"/>
      <c r="LJ27" s="549"/>
      <c r="LK27" s="549"/>
      <c r="LL27" s="549"/>
      <c r="LM27" s="549"/>
      <c r="LN27" s="549"/>
      <c r="LO27" s="549"/>
      <c r="LP27" s="549"/>
      <c r="LQ27" s="549"/>
      <c r="LR27" s="549"/>
      <c r="LS27" s="549"/>
      <c r="LT27" s="549"/>
      <c r="LU27" s="549"/>
      <c r="LV27" s="549"/>
      <c r="LW27" s="549"/>
      <c r="LX27" s="549"/>
      <c r="LY27" s="549"/>
      <c r="LZ27" s="549"/>
      <c r="MA27" s="549"/>
      <c r="MB27" s="549"/>
      <c r="MC27" s="549"/>
      <c r="MD27" s="549"/>
      <c r="ME27" s="549"/>
      <c r="MF27" s="549"/>
      <c r="MG27" s="549"/>
      <c r="MH27" s="549"/>
      <c r="MI27" s="549"/>
      <c r="MJ27" s="549"/>
      <c r="MK27" s="549"/>
      <c r="ML27" s="549"/>
      <c r="MM27" s="549"/>
      <c r="MN27" s="549"/>
      <c r="MO27" s="549"/>
      <c r="MP27" s="549"/>
      <c r="MQ27" s="549"/>
      <c r="MR27" s="549"/>
      <c r="MS27" s="549"/>
      <c r="MT27" s="549"/>
      <c r="MU27" s="549"/>
      <c r="MV27" s="549"/>
      <c r="MW27" s="549"/>
      <c r="MX27" s="549"/>
      <c r="MY27" s="549"/>
      <c r="MZ27" s="549"/>
      <c r="NA27" s="549"/>
      <c r="NB27" s="549"/>
      <c r="NC27" s="549"/>
      <c r="ND27" s="549"/>
      <c r="NE27" s="549"/>
      <c r="NF27" s="549"/>
      <c r="NG27" s="549"/>
      <c r="NH27" s="549"/>
      <c r="NI27" s="549"/>
      <c r="NJ27" s="549"/>
      <c r="NK27" s="549"/>
      <c r="NL27" s="549"/>
      <c r="NM27" s="549"/>
      <c r="NN27" s="549"/>
      <c r="NO27" s="549"/>
      <c r="NP27" s="549"/>
      <c r="NQ27" s="549"/>
      <c r="NR27" s="549"/>
      <c r="NS27" s="549"/>
      <c r="NT27" s="549"/>
      <c r="NU27" s="549"/>
      <c r="NV27" s="549"/>
      <c r="NW27" s="549"/>
      <c r="NX27" s="549"/>
      <c r="NY27" s="549"/>
      <c r="NZ27" s="549"/>
      <c r="OA27" s="549"/>
      <c r="OB27" s="549"/>
      <c r="OC27" s="549"/>
      <c r="OD27" s="549"/>
      <c r="OE27" s="549"/>
      <c r="OF27" s="549"/>
      <c r="OG27" s="549"/>
      <c r="OH27" s="549"/>
      <c r="OI27" s="549"/>
      <c r="OJ27" s="549"/>
      <c r="OK27" s="549"/>
      <c r="OL27" s="549"/>
      <c r="OM27" s="549"/>
      <c r="ON27" s="549"/>
      <c r="OO27" s="549"/>
      <c r="OP27" s="549"/>
      <c r="OQ27" s="549"/>
      <c r="OR27" s="549"/>
      <c r="OS27" s="549"/>
      <c r="OT27" s="549"/>
      <c r="OU27" s="549"/>
      <c r="OV27" s="549"/>
      <c r="OW27" s="549"/>
      <c r="OX27" s="549"/>
      <c r="OY27" s="549"/>
      <c r="OZ27" s="549"/>
      <c r="PA27" s="549"/>
      <c r="PB27" s="549"/>
      <c r="PC27" s="549"/>
      <c r="PD27" s="549"/>
      <c r="PE27" s="549"/>
      <c r="PF27" s="549"/>
      <c r="PG27" s="549"/>
      <c r="PH27" s="549"/>
      <c r="PI27" s="549"/>
      <c r="PJ27" s="549"/>
      <c r="PK27" s="549"/>
      <c r="PL27" s="549"/>
      <c r="PM27" s="549"/>
      <c r="PN27" s="549"/>
      <c r="PO27" s="549"/>
      <c r="PP27" s="549"/>
      <c r="PQ27" s="549"/>
      <c r="PR27" s="549"/>
      <c r="PS27" s="549"/>
      <c r="PT27" s="549"/>
      <c r="PU27" s="549"/>
      <c r="PV27" s="549"/>
      <c r="PW27" s="549"/>
      <c r="PX27" s="549"/>
      <c r="PY27" s="549"/>
      <c r="PZ27" s="549"/>
      <c r="QA27" s="549"/>
      <c r="QB27" s="549"/>
      <c r="QC27" s="549"/>
      <c r="QD27" s="549"/>
      <c r="QE27" s="549"/>
      <c r="QF27" s="549"/>
      <c r="QG27" s="549"/>
      <c r="QH27" s="549"/>
      <c r="QI27" s="549"/>
      <c r="QJ27" s="549"/>
      <c r="QK27" s="549"/>
      <c r="QL27" s="549"/>
      <c r="QM27" s="549"/>
      <c r="QN27" s="549"/>
      <c r="QO27" s="549"/>
      <c r="QP27" s="549"/>
      <c r="QQ27" s="549"/>
      <c r="QR27" s="549"/>
      <c r="QS27" s="549"/>
      <c r="QT27" s="549"/>
      <c r="QU27" s="549"/>
      <c r="QV27" s="549"/>
      <c r="QW27" s="549"/>
      <c r="QX27" s="549"/>
      <c r="QY27" s="549"/>
      <c r="QZ27" s="549"/>
      <c r="RA27" s="549"/>
      <c r="RB27" s="549"/>
      <c r="RC27" s="549"/>
      <c r="RD27" s="549"/>
      <c r="RE27" s="549"/>
      <c r="RF27" s="549"/>
      <c r="RG27" s="549"/>
      <c r="RH27" s="549"/>
      <c r="RI27" s="549"/>
      <c r="RJ27" s="549"/>
      <c r="RK27" s="549"/>
      <c r="RL27" s="549"/>
      <c r="RM27" s="549"/>
      <c r="RN27" s="549"/>
      <c r="RO27" s="549"/>
      <c r="RP27" s="549"/>
      <c r="RQ27" s="549"/>
      <c r="RR27" s="549"/>
      <c r="RS27" s="549"/>
      <c r="RT27" s="549"/>
      <c r="RU27" s="549"/>
      <c r="RV27" s="549"/>
      <c r="RW27" s="549"/>
      <c r="RX27" s="549"/>
    </row>
    <row r="28" spans="1:492" s="65" customFormat="1" ht="33" thickBot="1">
      <c r="A28" s="568" t="s">
        <v>132</v>
      </c>
      <c r="B28" s="593" t="s">
        <v>133</v>
      </c>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581">
        <f>AM29+AM30</f>
        <v>174.39999999999998</v>
      </c>
      <c r="AN28" s="431">
        <f>AN29+AN30</f>
        <v>176.20000000000005</v>
      </c>
      <c r="AO28" s="431">
        <f>AO29+AO30</f>
        <v>282.79999999999995</v>
      </c>
      <c r="AP28" s="431">
        <f>AP29+AP30</f>
        <v>295</v>
      </c>
      <c r="AQ28" s="582">
        <f t="shared" si="23"/>
        <v>928.4</v>
      </c>
      <c r="AR28" s="431"/>
      <c r="AS28" s="431"/>
      <c r="AT28" s="431"/>
      <c r="AU28" s="431"/>
      <c r="AV28" s="432"/>
      <c r="AW28" s="431">
        <f>AW29+AW30</f>
        <v>359.9</v>
      </c>
      <c r="AX28" s="431">
        <f>AX29+AX30</f>
        <v>276.39999999999998</v>
      </c>
      <c r="AY28" s="431">
        <f>AY29+AY30</f>
        <v>318.29999999999995</v>
      </c>
      <c r="AZ28" s="431">
        <f>AZ29+AZ30</f>
        <v>277</v>
      </c>
      <c r="BA28" s="573">
        <f>SUM(AW28:AZ28)</f>
        <v>1231.5999999999999</v>
      </c>
      <c r="BB28" s="581">
        <f t="shared" ref="BB28:BK28" si="25">BB29+BB30</f>
        <v>307.39999999999998</v>
      </c>
      <c r="BC28" s="431">
        <f t="shared" si="25"/>
        <v>228.30000000000007</v>
      </c>
      <c r="BD28" s="431">
        <f t="shared" si="25"/>
        <v>251.99999999999989</v>
      </c>
      <c r="BE28" s="431">
        <f t="shared" si="25"/>
        <v>430.20000000000016</v>
      </c>
      <c r="BF28" s="582">
        <f t="shared" si="25"/>
        <v>1217.9000000000001</v>
      </c>
      <c r="BG28" s="431">
        <f t="shared" si="25"/>
        <v>335.5</v>
      </c>
      <c r="BH28" s="431">
        <f t="shared" si="25"/>
        <v>334.49999999999994</v>
      </c>
      <c r="BI28" s="431">
        <f t="shared" si="25"/>
        <v>231.8</v>
      </c>
      <c r="BJ28" s="431">
        <f>BJ29+BJ30</f>
        <v>256.99999999999994</v>
      </c>
      <c r="BK28" s="582">
        <f t="shared" si="25"/>
        <v>1158.8</v>
      </c>
      <c r="BL28" s="431">
        <f>BL29+BL30+BL31</f>
        <v>324.89999999999998</v>
      </c>
      <c r="BM28" s="795">
        <f t="shared" ref="BM28:BP28" si="26">BM29+BM30+BM31</f>
        <v>262</v>
      </c>
      <c r="BN28" s="431">
        <f t="shared" si="26"/>
        <v>0</v>
      </c>
      <c r="BO28" s="431">
        <f t="shared" si="26"/>
        <v>0</v>
      </c>
      <c r="BP28" s="582">
        <f t="shared" si="26"/>
        <v>586.9</v>
      </c>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row>
    <row r="29" spans="1:492" s="544" customFormat="1" ht="20.100000000000001" customHeight="1">
      <c r="A29" s="570" t="s">
        <v>113</v>
      </c>
      <c r="B29" s="595" t="s">
        <v>134</v>
      </c>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85">
        <v>164.99999999999997</v>
      </c>
      <c r="AN29" s="542">
        <v>165.60000000000005</v>
      </c>
      <c r="AO29" s="542">
        <v>259.39999999999998</v>
      </c>
      <c r="AP29" s="542">
        <v>285.7</v>
      </c>
      <c r="AQ29" s="579">
        <f t="shared" si="23"/>
        <v>875.7</v>
      </c>
      <c r="AR29" s="542"/>
      <c r="AS29" s="542"/>
      <c r="AT29" s="542"/>
      <c r="AU29" s="542"/>
      <c r="AV29" s="543"/>
      <c r="AW29" s="542">
        <v>350.9</v>
      </c>
      <c r="AX29" s="542">
        <v>266</v>
      </c>
      <c r="AY29" s="542">
        <v>312.59999999999997</v>
      </c>
      <c r="AZ29" s="542">
        <v>258.39999999999998</v>
      </c>
      <c r="BA29" s="554">
        <f t="shared" ref="BA29" si="27">SUM(AW29:AZ29)</f>
        <v>1187.9000000000001</v>
      </c>
      <c r="BB29" s="585">
        <v>283.7</v>
      </c>
      <c r="BC29" s="542">
        <v>214.10000000000008</v>
      </c>
      <c r="BD29" s="542">
        <v>232.09999999999988</v>
      </c>
      <c r="BE29" s="542">
        <v>382.50000000000017</v>
      </c>
      <c r="BF29" s="579">
        <f>SUM(BB29:BE29)</f>
        <v>1112.4000000000001</v>
      </c>
      <c r="BG29" s="542">
        <v>295.3</v>
      </c>
      <c r="BH29" s="563">
        <v>315.59999999999997</v>
      </c>
      <c r="BI29" s="563">
        <v>205.10000000000002</v>
      </c>
      <c r="BJ29" s="542">
        <f>1049.3-SUM(BG29:BI29)</f>
        <v>233.29999999999995</v>
      </c>
      <c r="BK29" s="579">
        <f>SUM(BG29:BJ29)</f>
        <v>1049.3</v>
      </c>
      <c r="BL29" s="542">
        <v>257.89999999999998</v>
      </c>
      <c r="BM29" s="563">
        <f>497.2-BL29</f>
        <v>239.3</v>
      </c>
      <c r="BN29" s="563"/>
      <c r="BO29" s="542"/>
      <c r="BP29" s="579">
        <f>SUM(BL29:BO29)</f>
        <v>497.2</v>
      </c>
    </row>
    <row r="30" spans="1:492" s="544" customFormat="1" ht="20.100000000000001" customHeight="1">
      <c r="A30" s="570" t="s">
        <v>115</v>
      </c>
      <c r="B30" s="595" t="s">
        <v>116</v>
      </c>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M30" s="586">
        <v>9.4</v>
      </c>
      <c r="AN30" s="546">
        <v>10.6</v>
      </c>
      <c r="AO30" s="546">
        <v>23.4</v>
      </c>
      <c r="AP30" s="546">
        <v>9.3000000000000043</v>
      </c>
      <c r="AQ30" s="579">
        <f t="shared" si="23"/>
        <v>52.7</v>
      </c>
      <c r="AR30" s="546"/>
      <c r="AS30" s="546"/>
      <c r="AT30" s="546"/>
      <c r="AU30" s="546"/>
      <c r="AV30" s="543"/>
      <c r="AW30" s="546">
        <v>9</v>
      </c>
      <c r="AX30" s="546">
        <v>10.399999999999999</v>
      </c>
      <c r="AY30" s="546">
        <v>5.7000000000000028</v>
      </c>
      <c r="AZ30" s="546">
        <v>18.600000000000001</v>
      </c>
      <c r="BA30" s="554">
        <f>SUM(AW30:AZ30)</f>
        <v>43.7</v>
      </c>
      <c r="BB30" s="586">
        <v>23.7</v>
      </c>
      <c r="BC30" s="546">
        <v>14.2</v>
      </c>
      <c r="BD30" s="546">
        <v>19.899999999999999</v>
      </c>
      <c r="BE30" s="546">
        <v>47.7</v>
      </c>
      <c r="BF30" s="579">
        <f>SUM(BB30:BE30)</f>
        <v>105.5</v>
      </c>
      <c r="BG30" s="546">
        <v>40.200000000000003</v>
      </c>
      <c r="BH30" s="564">
        <v>18.899999999999999</v>
      </c>
      <c r="BI30" s="564">
        <v>26.700000000000003</v>
      </c>
      <c r="BJ30" s="546">
        <f>109.5-SUM(BG30:BI30)</f>
        <v>23.699999999999989</v>
      </c>
      <c r="BK30" s="579">
        <f>SUM(BG30:BJ30)</f>
        <v>109.5</v>
      </c>
      <c r="BL30" s="546">
        <v>67</v>
      </c>
      <c r="BM30" s="564">
        <f>81.7-BL30</f>
        <v>14.700000000000003</v>
      </c>
      <c r="BN30" s="564"/>
      <c r="BO30" s="546"/>
      <c r="BP30" s="579">
        <f>SUM(BL30:BO30)</f>
        <v>81.7</v>
      </c>
    </row>
    <row r="31" spans="1:492" s="544" customFormat="1" ht="20.100000000000001" customHeight="1" thickBot="1">
      <c r="A31" s="570" t="s">
        <v>123</v>
      </c>
      <c r="B31" s="595" t="s">
        <v>118</v>
      </c>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5"/>
      <c r="AL31" s="545"/>
      <c r="AM31" s="586"/>
      <c r="AN31" s="546"/>
      <c r="AO31" s="546"/>
      <c r="AP31" s="546"/>
      <c r="AQ31" s="579"/>
      <c r="AR31" s="546"/>
      <c r="AS31" s="546"/>
      <c r="AT31" s="546"/>
      <c r="AU31" s="546"/>
      <c r="AV31" s="543"/>
      <c r="AW31" s="546"/>
      <c r="AX31" s="546"/>
      <c r="AY31" s="546"/>
      <c r="AZ31" s="546"/>
      <c r="BA31" s="554"/>
      <c r="BB31" s="586"/>
      <c r="BC31" s="546"/>
      <c r="BD31" s="546"/>
      <c r="BE31" s="546"/>
      <c r="BF31" s="579"/>
      <c r="BG31" s="546"/>
      <c r="BH31" s="564"/>
      <c r="BI31" s="564"/>
      <c r="BJ31" s="546"/>
      <c r="BK31" s="579"/>
      <c r="BL31" s="546"/>
      <c r="BM31" s="564">
        <v>8</v>
      </c>
      <c r="BN31" s="564"/>
      <c r="BO31" s="546"/>
      <c r="BP31" s="579">
        <f>SUM(BL31:BO31)</f>
        <v>8</v>
      </c>
    </row>
    <row r="32" spans="1:492" s="65" customFormat="1" ht="30.75" thickBot="1">
      <c r="A32" s="571" t="s">
        <v>135</v>
      </c>
      <c r="B32" s="596" t="s">
        <v>136</v>
      </c>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587">
        <f t="shared" ref="AM32:BP32" si="28">AM28/AM5</f>
        <v>7.4342469840999181E-2</v>
      </c>
      <c r="AN32" s="445">
        <f t="shared" si="28"/>
        <v>6.7685925015365744E-2</v>
      </c>
      <c r="AO32" s="445">
        <f t="shared" si="28"/>
        <v>0.10340036563071296</v>
      </c>
      <c r="AP32" s="445">
        <f t="shared" si="28"/>
        <v>9.826782145236504E-2</v>
      </c>
      <c r="AQ32" s="588">
        <f t="shared" si="28"/>
        <v>8.6879216926661729E-2</v>
      </c>
      <c r="AR32" s="445" t="e">
        <f t="shared" si="28"/>
        <v>#DIV/0!</v>
      </c>
      <c r="AS32" s="445" t="e">
        <f t="shared" si="28"/>
        <v>#DIV/0!</v>
      </c>
      <c r="AT32" s="445" t="e">
        <f t="shared" si="28"/>
        <v>#DIV/0!</v>
      </c>
      <c r="AU32" s="445" t="e">
        <f t="shared" si="28"/>
        <v>#DIV/0!</v>
      </c>
      <c r="AV32" s="446" t="e">
        <f t="shared" si="28"/>
        <v>#DIV/0!</v>
      </c>
      <c r="AW32" s="445">
        <f t="shared" si="28"/>
        <v>0.12892248173090701</v>
      </c>
      <c r="AX32" s="445">
        <f t="shared" si="28"/>
        <v>9.4560383167978102E-2</v>
      </c>
      <c r="AY32" s="445">
        <f t="shared" si="28"/>
        <v>0.11004701977596458</v>
      </c>
      <c r="AZ32" s="445">
        <f t="shared" si="28"/>
        <v>9.0254471995047422E-2</v>
      </c>
      <c r="BA32" s="574">
        <f t="shared" si="28"/>
        <v>0.10548042582711693</v>
      </c>
      <c r="BB32" s="587">
        <f t="shared" si="28"/>
        <v>0.10791644725294014</v>
      </c>
      <c r="BC32" s="445">
        <f t="shared" si="28"/>
        <v>7.974988647081431E-2</v>
      </c>
      <c r="BD32" s="445">
        <f t="shared" si="28"/>
        <v>8.3902114200099839E-2</v>
      </c>
      <c r="BE32" s="445">
        <f t="shared" si="28"/>
        <v>0.13244258358475466</v>
      </c>
      <c r="BF32" s="588">
        <f t="shared" si="28"/>
        <v>0.10180641817619475</v>
      </c>
      <c r="BG32" s="445">
        <f t="shared" si="28"/>
        <v>0.11230501439378725</v>
      </c>
      <c r="BH32" s="445">
        <f t="shared" si="28"/>
        <v>0.10586448080513972</v>
      </c>
      <c r="BI32" s="445">
        <f t="shared" si="28"/>
        <v>7.6453708895412115E-2</v>
      </c>
      <c r="BJ32" s="445">
        <f t="shared" si="28"/>
        <v>7.8713629402756474E-2</v>
      </c>
      <c r="BK32" s="599">
        <f t="shared" si="28"/>
        <v>9.312118289938924E-2</v>
      </c>
      <c r="BL32" s="445">
        <f t="shared" si="28"/>
        <v>0.10878226805504401</v>
      </c>
      <c r="BM32" s="445">
        <f>BM28/BM5</f>
        <v>8.1162293609243819E-2</v>
      </c>
      <c r="BN32" s="445" t="e">
        <f t="shared" si="28"/>
        <v>#DIV/0!</v>
      </c>
      <c r="BO32" s="445" t="e">
        <f t="shared" si="28"/>
        <v>#DIV/0!</v>
      </c>
      <c r="BP32" s="599">
        <f t="shared" si="28"/>
        <v>9.4435862779172292E-2</v>
      </c>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row>
    <row r="33" spans="1:492" s="169" customFormat="1" ht="30" customHeight="1">
      <c r="A33" s="81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817"/>
      <c r="AN33" s="817"/>
      <c r="AO33" s="817"/>
      <c r="AP33" s="817"/>
      <c r="AQ33" s="817"/>
      <c r="AR33" s="804"/>
      <c r="AS33" s="804"/>
      <c r="AT33" s="804"/>
      <c r="AU33" s="804"/>
      <c r="AV33" s="804"/>
      <c r="AW33" s="817"/>
      <c r="AX33" s="817"/>
      <c r="AY33" s="817"/>
      <c r="AZ33" s="817"/>
      <c r="BA33" s="172"/>
      <c r="BB33" s="172"/>
      <c r="BC33" s="172"/>
      <c r="BD33" s="172"/>
      <c r="BE33" s="172"/>
      <c r="BF33" s="172"/>
      <c r="BG33" s="172"/>
      <c r="BH33" s="172"/>
      <c r="BI33" s="172"/>
      <c r="BJ33" s="172"/>
      <c r="BK33" s="172"/>
      <c r="BL33" s="172"/>
      <c r="BM33" s="172"/>
      <c r="BN33" s="172"/>
      <c r="BO33" s="172"/>
      <c r="BP33" s="172"/>
      <c r="BQ33" s="804"/>
      <c r="BR33" s="814"/>
      <c r="BS33" s="814"/>
      <c r="BT33" s="814"/>
      <c r="BU33" s="814"/>
      <c r="BV33" s="814"/>
      <c r="BW33" s="814"/>
      <c r="BX33" s="814"/>
      <c r="BY33" s="814"/>
      <c r="BZ33" s="814"/>
      <c r="CA33" s="814"/>
      <c r="CB33" s="814"/>
      <c r="CC33" s="814"/>
      <c r="CD33" s="814"/>
      <c r="CE33" s="814"/>
      <c r="CF33" s="814"/>
      <c r="CG33" s="814"/>
      <c r="CH33" s="814"/>
      <c r="CI33" s="814"/>
      <c r="CJ33" s="814"/>
      <c r="CK33" s="814"/>
      <c r="CL33" s="814"/>
      <c r="CM33" s="814"/>
      <c r="CN33" s="814"/>
      <c r="CO33" s="814"/>
      <c r="CP33" s="814"/>
      <c r="CQ33" s="814"/>
      <c r="CR33" s="814"/>
      <c r="CS33" s="814"/>
      <c r="CT33" s="814"/>
      <c r="CU33" s="814"/>
      <c r="CV33" s="814"/>
      <c r="CW33" s="814"/>
      <c r="CX33" s="814"/>
      <c r="CY33" s="814"/>
      <c r="CZ33" s="814"/>
      <c r="DA33" s="814"/>
      <c r="DB33" s="814"/>
      <c r="DC33" s="814"/>
      <c r="DD33" s="814"/>
      <c r="DE33" s="814"/>
      <c r="DF33" s="814"/>
      <c r="DG33" s="814"/>
      <c r="DH33" s="814"/>
      <c r="DI33" s="814"/>
      <c r="DJ33" s="814"/>
      <c r="DK33" s="814"/>
      <c r="DL33" s="814"/>
      <c r="DM33" s="814"/>
      <c r="DN33" s="814"/>
      <c r="DO33" s="814"/>
      <c r="DP33" s="814"/>
      <c r="DQ33" s="814"/>
      <c r="DR33" s="814"/>
      <c r="DS33" s="814"/>
      <c r="DT33" s="814"/>
      <c r="DU33" s="814"/>
      <c r="DV33" s="814"/>
      <c r="DW33" s="814"/>
      <c r="DX33" s="814"/>
      <c r="DY33" s="814"/>
      <c r="DZ33" s="814"/>
      <c r="EA33" s="814"/>
      <c r="EB33" s="814"/>
      <c r="EC33" s="814"/>
      <c r="ED33" s="814"/>
      <c r="EE33" s="814"/>
      <c r="EF33" s="814"/>
      <c r="EG33" s="814"/>
      <c r="EH33" s="814"/>
      <c r="EI33" s="814"/>
      <c r="EJ33" s="814"/>
      <c r="EK33" s="814"/>
      <c r="EL33" s="814"/>
      <c r="EM33" s="814"/>
      <c r="EN33" s="814"/>
      <c r="EO33" s="814"/>
      <c r="EP33" s="814"/>
      <c r="EQ33" s="814"/>
      <c r="ER33" s="814"/>
      <c r="ES33" s="814"/>
      <c r="ET33" s="814"/>
      <c r="EU33" s="814"/>
      <c r="EV33" s="814"/>
      <c r="EW33" s="814"/>
      <c r="EX33" s="814"/>
      <c r="EY33" s="814"/>
      <c r="EZ33" s="814"/>
      <c r="FA33" s="814"/>
      <c r="FB33" s="814"/>
      <c r="FC33" s="814"/>
      <c r="FD33" s="814"/>
      <c r="FE33" s="814"/>
      <c r="FF33" s="814"/>
      <c r="FG33" s="814"/>
      <c r="FH33" s="814"/>
      <c r="FI33" s="814"/>
      <c r="FJ33" s="814"/>
      <c r="FK33" s="814"/>
      <c r="FL33" s="814"/>
      <c r="FM33" s="814"/>
      <c r="FN33" s="814"/>
      <c r="FO33" s="814"/>
      <c r="FP33" s="814"/>
      <c r="FQ33" s="814"/>
      <c r="FR33" s="814"/>
      <c r="FS33" s="814"/>
      <c r="FT33" s="814"/>
      <c r="FU33" s="814"/>
      <c r="FV33" s="814"/>
      <c r="FW33" s="814"/>
      <c r="FX33" s="814"/>
      <c r="FY33" s="814"/>
      <c r="FZ33" s="814"/>
      <c r="GA33" s="814"/>
      <c r="GB33" s="814"/>
      <c r="GC33" s="814"/>
      <c r="GD33" s="814"/>
      <c r="GE33" s="814"/>
      <c r="GF33" s="814"/>
      <c r="GG33" s="814"/>
      <c r="GH33" s="814"/>
      <c r="GI33" s="814"/>
      <c r="GJ33" s="814"/>
      <c r="GK33" s="814"/>
      <c r="GL33" s="814"/>
      <c r="GM33" s="814"/>
      <c r="GN33" s="814"/>
      <c r="GO33" s="814"/>
      <c r="GP33" s="814"/>
      <c r="GQ33" s="814"/>
      <c r="GR33" s="814"/>
      <c r="GS33" s="814"/>
      <c r="GT33" s="814"/>
      <c r="GU33" s="814"/>
      <c r="GV33" s="814"/>
      <c r="GW33" s="814"/>
      <c r="GX33" s="814"/>
      <c r="GY33" s="814"/>
      <c r="GZ33" s="814"/>
      <c r="HA33" s="814"/>
      <c r="HB33" s="814"/>
      <c r="HC33" s="814"/>
      <c r="HD33" s="814"/>
      <c r="HE33" s="814"/>
      <c r="HF33" s="814"/>
      <c r="HG33" s="814"/>
      <c r="HH33" s="814"/>
      <c r="HI33" s="814"/>
      <c r="HJ33" s="814"/>
      <c r="HK33" s="814"/>
      <c r="HL33" s="814"/>
      <c r="HM33" s="814"/>
      <c r="HN33" s="814"/>
      <c r="HO33" s="814"/>
      <c r="HP33" s="814"/>
      <c r="HQ33" s="814"/>
      <c r="HR33" s="814"/>
      <c r="HS33" s="814"/>
      <c r="HT33" s="814"/>
      <c r="HU33" s="814"/>
      <c r="HV33" s="814"/>
      <c r="HW33" s="814"/>
      <c r="HX33" s="814"/>
      <c r="HY33" s="814"/>
      <c r="HZ33" s="814"/>
      <c r="IA33" s="814"/>
      <c r="IB33" s="814"/>
      <c r="IC33" s="814"/>
      <c r="ID33" s="814"/>
      <c r="IE33" s="814"/>
      <c r="IF33" s="814"/>
      <c r="IG33" s="814"/>
      <c r="IH33" s="814"/>
      <c r="II33" s="814"/>
      <c r="IJ33" s="814"/>
      <c r="IK33" s="814"/>
      <c r="IL33" s="814"/>
      <c r="IM33" s="814"/>
      <c r="IN33" s="814"/>
      <c r="IO33" s="814"/>
      <c r="IP33" s="814"/>
      <c r="IQ33" s="814"/>
      <c r="IR33" s="814"/>
      <c r="IS33" s="814"/>
      <c r="IT33" s="814"/>
      <c r="IU33" s="814"/>
      <c r="IV33" s="814"/>
      <c r="IW33" s="814"/>
      <c r="IX33" s="814"/>
      <c r="IY33" s="814"/>
      <c r="IZ33" s="814"/>
      <c r="JA33" s="814"/>
      <c r="JB33" s="814"/>
      <c r="JC33" s="814"/>
      <c r="JD33" s="814"/>
      <c r="JE33" s="814"/>
      <c r="JF33" s="814"/>
      <c r="JG33" s="814"/>
      <c r="JH33" s="814"/>
      <c r="JI33" s="814"/>
      <c r="JJ33" s="814"/>
      <c r="JK33" s="814"/>
      <c r="JL33" s="814"/>
      <c r="JM33" s="814"/>
      <c r="JN33" s="814"/>
      <c r="JO33" s="814"/>
      <c r="JP33" s="814"/>
      <c r="JQ33" s="814"/>
      <c r="JR33" s="814"/>
      <c r="JS33" s="814"/>
      <c r="JT33" s="814"/>
      <c r="JU33" s="814"/>
      <c r="JV33" s="814"/>
      <c r="JW33" s="814"/>
      <c r="JX33" s="814"/>
      <c r="JY33" s="814"/>
      <c r="JZ33" s="814"/>
      <c r="KA33" s="814"/>
      <c r="KB33" s="814"/>
      <c r="KC33" s="814"/>
      <c r="KD33" s="814"/>
      <c r="KE33" s="814"/>
      <c r="KF33" s="814"/>
      <c r="KG33" s="814"/>
      <c r="KH33" s="814"/>
      <c r="KI33" s="814"/>
      <c r="KJ33" s="814"/>
      <c r="KK33" s="814"/>
      <c r="KL33" s="814"/>
      <c r="KM33" s="814"/>
      <c r="KN33" s="814"/>
      <c r="KO33" s="814"/>
      <c r="KP33" s="814"/>
      <c r="KQ33" s="814"/>
      <c r="KR33" s="814"/>
      <c r="KS33" s="814"/>
      <c r="KT33" s="814"/>
      <c r="KU33" s="814"/>
      <c r="KV33" s="814"/>
      <c r="KW33" s="814"/>
      <c r="KX33" s="814"/>
      <c r="KY33" s="814"/>
      <c r="KZ33" s="814"/>
      <c r="LA33" s="814"/>
      <c r="LB33" s="814"/>
      <c r="LC33" s="814"/>
      <c r="LD33" s="814"/>
      <c r="LE33" s="814"/>
      <c r="LF33" s="814"/>
      <c r="LG33" s="814"/>
      <c r="LH33" s="814"/>
      <c r="LI33" s="814"/>
      <c r="LJ33" s="814"/>
      <c r="LK33" s="814"/>
      <c r="LL33" s="814"/>
      <c r="LM33" s="814"/>
      <c r="LN33" s="814"/>
      <c r="LO33" s="814"/>
      <c r="LP33" s="814"/>
      <c r="LQ33" s="814"/>
      <c r="LR33" s="814"/>
      <c r="LS33" s="814"/>
      <c r="LT33" s="814"/>
      <c r="LU33" s="814"/>
      <c r="LV33" s="814"/>
      <c r="LW33" s="814"/>
      <c r="LX33" s="814"/>
      <c r="LY33" s="814"/>
      <c r="LZ33" s="814"/>
      <c r="MA33" s="814"/>
      <c r="MB33" s="814"/>
      <c r="MC33" s="814"/>
      <c r="MD33" s="814"/>
      <c r="ME33" s="814"/>
      <c r="MF33" s="814"/>
      <c r="MG33" s="814"/>
      <c r="MH33" s="814"/>
      <c r="MI33" s="814"/>
      <c r="MJ33" s="814"/>
      <c r="MK33" s="814"/>
      <c r="ML33" s="814"/>
      <c r="MM33" s="814"/>
      <c r="MN33" s="814"/>
      <c r="MO33" s="814"/>
      <c r="MP33" s="814"/>
      <c r="MQ33" s="814"/>
      <c r="MR33" s="814"/>
      <c r="MS33" s="814"/>
      <c r="MT33" s="814"/>
      <c r="MU33" s="814"/>
      <c r="MV33" s="814"/>
      <c r="MW33" s="814"/>
      <c r="MX33" s="814"/>
      <c r="MY33" s="814"/>
      <c r="MZ33" s="814"/>
      <c r="NA33" s="814"/>
      <c r="NB33" s="814"/>
      <c r="NC33" s="814"/>
      <c r="ND33" s="814"/>
      <c r="NE33" s="814"/>
      <c r="NF33" s="814"/>
      <c r="NG33" s="814"/>
      <c r="NH33" s="814"/>
      <c r="NI33" s="814"/>
      <c r="NJ33" s="814"/>
      <c r="NK33" s="814"/>
      <c r="NL33" s="814"/>
      <c r="NM33" s="814"/>
      <c r="NN33" s="814"/>
      <c r="NO33" s="814"/>
      <c r="NP33" s="814"/>
      <c r="NQ33" s="814"/>
      <c r="NR33" s="814"/>
      <c r="NS33" s="814"/>
      <c r="NT33" s="814"/>
      <c r="NU33" s="814"/>
      <c r="NV33" s="814"/>
      <c r="NW33" s="814"/>
      <c r="NX33" s="814"/>
      <c r="NY33" s="814"/>
      <c r="NZ33" s="814"/>
      <c r="OA33" s="814"/>
      <c r="OB33" s="814"/>
      <c r="OC33" s="814"/>
      <c r="OD33" s="814"/>
      <c r="OE33" s="814"/>
      <c r="OF33" s="814"/>
      <c r="OG33" s="814"/>
      <c r="OH33" s="814"/>
      <c r="OI33" s="814"/>
      <c r="OJ33" s="814"/>
      <c r="OK33" s="814"/>
      <c r="OL33" s="814"/>
      <c r="OM33" s="814"/>
      <c r="ON33" s="814"/>
      <c r="OO33" s="814"/>
      <c r="OP33" s="814"/>
      <c r="OQ33" s="814"/>
      <c r="OR33" s="814"/>
      <c r="OS33" s="814"/>
      <c r="OT33" s="814"/>
      <c r="OU33" s="814"/>
      <c r="OV33" s="814"/>
      <c r="OW33" s="814"/>
      <c r="OX33" s="814"/>
      <c r="OY33" s="814"/>
      <c r="OZ33" s="814"/>
      <c r="PA33" s="814"/>
      <c r="PB33" s="814"/>
      <c r="PC33" s="814"/>
      <c r="PD33" s="814"/>
      <c r="PE33" s="814"/>
      <c r="PF33" s="814"/>
      <c r="PG33" s="814"/>
      <c r="PH33" s="814"/>
      <c r="PI33" s="814"/>
      <c r="PJ33" s="814"/>
      <c r="PK33" s="814"/>
      <c r="PL33" s="814"/>
      <c r="PM33" s="814"/>
      <c r="PN33" s="814"/>
      <c r="PO33" s="814"/>
      <c r="PP33" s="814"/>
      <c r="PQ33" s="814"/>
      <c r="PR33" s="814"/>
      <c r="PS33" s="814"/>
      <c r="PT33" s="814"/>
      <c r="PU33" s="814"/>
      <c r="PV33" s="814"/>
      <c r="PW33" s="814"/>
      <c r="PX33" s="814"/>
      <c r="PY33" s="814"/>
      <c r="PZ33" s="814"/>
      <c r="QA33" s="814"/>
      <c r="QB33" s="814"/>
      <c r="QC33" s="814"/>
      <c r="QD33" s="814"/>
      <c r="QE33" s="814"/>
      <c r="QF33" s="814"/>
      <c r="QG33" s="814"/>
      <c r="QH33" s="814"/>
      <c r="QI33" s="814"/>
      <c r="QJ33" s="814"/>
      <c r="QK33" s="814"/>
      <c r="QL33" s="814"/>
      <c r="QM33" s="814"/>
      <c r="QN33" s="814"/>
      <c r="QO33" s="814"/>
      <c r="QP33" s="814"/>
      <c r="QQ33" s="814"/>
      <c r="QR33" s="814"/>
      <c r="QS33" s="814"/>
      <c r="QT33" s="814"/>
      <c r="QU33" s="814"/>
      <c r="QV33" s="814"/>
      <c r="QW33" s="814"/>
      <c r="QX33" s="814"/>
      <c r="QY33" s="814"/>
      <c r="QZ33" s="814"/>
      <c r="RA33" s="814"/>
      <c r="RB33" s="814"/>
      <c r="RC33" s="814"/>
      <c r="RD33" s="814"/>
      <c r="RE33" s="814"/>
      <c r="RF33" s="814"/>
      <c r="RG33" s="814"/>
      <c r="RH33" s="814"/>
      <c r="RI33" s="814"/>
      <c r="RJ33" s="814"/>
      <c r="RK33" s="814"/>
      <c r="RL33" s="814"/>
      <c r="RM33" s="814"/>
      <c r="RN33" s="814"/>
      <c r="RO33" s="814"/>
      <c r="RP33" s="814"/>
      <c r="RQ33" s="814"/>
      <c r="RR33" s="814"/>
      <c r="RS33" s="814"/>
      <c r="RT33" s="814"/>
      <c r="RU33" s="814"/>
      <c r="RV33" s="814"/>
      <c r="RW33" s="814"/>
      <c r="RX33" s="814"/>
    </row>
    <row r="34" spans="1:492" s="171" customFormat="1" ht="28.5" customHeight="1">
      <c r="A34" s="113" t="s">
        <v>137</v>
      </c>
      <c r="B34" s="113" t="s">
        <v>138</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818"/>
      <c r="AN34" s="818"/>
      <c r="AO34" s="818"/>
      <c r="AP34" s="818"/>
      <c r="AQ34" s="819"/>
      <c r="AR34" s="807"/>
      <c r="AS34" s="807"/>
      <c r="AT34" s="807"/>
      <c r="AU34" s="807"/>
      <c r="AV34" s="807"/>
      <c r="AW34" s="818"/>
      <c r="AX34" s="818"/>
      <c r="AY34" s="818"/>
      <c r="AZ34" s="818"/>
      <c r="BA34" s="173"/>
      <c r="BB34" s="807"/>
      <c r="BC34" s="807"/>
      <c r="BD34" s="807"/>
      <c r="BE34" s="174"/>
      <c r="BF34" s="819"/>
      <c r="BG34" s="807"/>
      <c r="BH34" s="807"/>
      <c r="BI34" s="807"/>
      <c r="BJ34" s="174"/>
      <c r="BK34" s="542"/>
      <c r="BL34" s="807"/>
      <c r="BM34" s="807"/>
      <c r="BN34" s="807"/>
      <c r="BO34" s="174"/>
      <c r="BP34" s="542"/>
      <c r="BQ34" s="807"/>
      <c r="BR34" s="815"/>
      <c r="BS34" s="815"/>
      <c r="BT34" s="815"/>
      <c r="BU34" s="815"/>
      <c r="BV34" s="815"/>
      <c r="BW34" s="815"/>
      <c r="BX34" s="815"/>
      <c r="BY34" s="815"/>
      <c r="BZ34" s="815"/>
      <c r="CA34" s="815"/>
      <c r="CB34" s="815"/>
      <c r="CC34" s="815"/>
      <c r="CD34" s="815"/>
      <c r="CE34" s="815"/>
      <c r="CF34" s="815"/>
      <c r="CG34" s="815"/>
      <c r="CH34" s="815"/>
      <c r="CI34" s="815"/>
      <c r="CJ34" s="815"/>
      <c r="CK34" s="815"/>
      <c r="CL34" s="815"/>
      <c r="CM34" s="815"/>
      <c r="CN34" s="815"/>
      <c r="CO34" s="815"/>
      <c r="CP34" s="815"/>
      <c r="CQ34" s="815"/>
      <c r="CR34" s="815"/>
      <c r="CS34" s="815"/>
      <c r="CT34" s="815"/>
      <c r="CU34" s="815"/>
      <c r="CV34" s="815"/>
      <c r="CW34" s="815"/>
      <c r="CX34" s="815"/>
      <c r="CY34" s="815"/>
      <c r="CZ34" s="815"/>
      <c r="DA34" s="815"/>
      <c r="DB34" s="815"/>
      <c r="DC34" s="815"/>
      <c r="DD34" s="815"/>
      <c r="DE34" s="815"/>
      <c r="DF34" s="815"/>
      <c r="DG34" s="815"/>
      <c r="DH34" s="815"/>
      <c r="DI34" s="815"/>
      <c r="DJ34" s="815"/>
      <c r="DK34" s="815"/>
      <c r="DL34" s="815"/>
      <c r="DM34" s="815"/>
      <c r="DN34" s="815"/>
      <c r="DO34" s="815"/>
      <c r="DP34" s="815"/>
      <c r="DQ34" s="815"/>
      <c r="DR34" s="815"/>
      <c r="DS34" s="815"/>
      <c r="DT34" s="815"/>
      <c r="DU34" s="815"/>
      <c r="DV34" s="815"/>
      <c r="DW34" s="815"/>
      <c r="DX34" s="815"/>
      <c r="DY34" s="815"/>
      <c r="DZ34" s="815"/>
      <c r="EA34" s="815"/>
      <c r="EB34" s="815"/>
      <c r="EC34" s="815"/>
      <c r="ED34" s="815"/>
      <c r="EE34" s="815"/>
      <c r="EF34" s="815"/>
      <c r="EG34" s="815"/>
      <c r="EH34" s="815"/>
      <c r="EI34" s="815"/>
      <c r="EJ34" s="815"/>
      <c r="EK34" s="815"/>
      <c r="EL34" s="815"/>
      <c r="EM34" s="815"/>
      <c r="EN34" s="815"/>
      <c r="EO34" s="815"/>
      <c r="EP34" s="815"/>
      <c r="EQ34" s="815"/>
      <c r="ER34" s="815"/>
      <c r="ES34" s="815"/>
      <c r="ET34" s="815"/>
      <c r="EU34" s="815"/>
      <c r="EV34" s="815"/>
      <c r="EW34" s="815"/>
      <c r="EX34" s="815"/>
      <c r="EY34" s="815"/>
      <c r="EZ34" s="815"/>
      <c r="FA34" s="815"/>
      <c r="FB34" s="815"/>
      <c r="FC34" s="815"/>
      <c r="FD34" s="815"/>
      <c r="FE34" s="815"/>
      <c r="FF34" s="815"/>
      <c r="FG34" s="815"/>
      <c r="FH34" s="815"/>
      <c r="FI34" s="815"/>
      <c r="FJ34" s="815"/>
      <c r="FK34" s="815"/>
      <c r="FL34" s="815"/>
      <c r="FM34" s="815"/>
      <c r="FN34" s="815"/>
      <c r="FO34" s="815"/>
      <c r="FP34" s="815"/>
      <c r="FQ34" s="815"/>
      <c r="FR34" s="815"/>
      <c r="FS34" s="815"/>
      <c r="FT34" s="815"/>
      <c r="FU34" s="815"/>
      <c r="FV34" s="815"/>
      <c r="FW34" s="815"/>
      <c r="FX34" s="815"/>
      <c r="FY34" s="815"/>
      <c r="FZ34" s="815"/>
      <c r="GA34" s="815"/>
      <c r="GB34" s="815"/>
      <c r="GC34" s="815"/>
      <c r="GD34" s="815"/>
      <c r="GE34" s="815"/>
      <c r="GF34" s="815"/>
      <c r="GG34" s="815"/>
      <c r="GH34" s="815"/>
      <c r="GI34" s="815"/>
      <c r="GJ34" s="815"/>
      <c r="GK34" s="815"/>
      <c r="GL34" s="815"/>
      <c r="GM34" s="815"/>
      <c r="GN34" s="815"/>
      <c r="GO34" s="815"/>
      <c r="GP34" s="815"/>
      <c r="GQ34" s="815"/>
      <c r="GR34" s="815"/>
      <c r="GS34" s="815"/>
      <c r="GT34" s="815"/>
      <c r="GU34" s="815"/>
      <c r="GV34" s="815"/>
      <c r="GW34" s="815"/>
      <c r="GX34" s="815"/>
      <c r="GY34" s="815"/>
      <c r="GZ34" s="815"/>
      <c r="HA34" s="815"/>
      <c r="HB34" s="815"/>
      <c r="HC34" s="815"/>
      <c r="HD34" s="815"/>
      <c r="HE34" s="815"/>
      <c r="HF34" s="815"/>
      <c r="HG34" s="815"/>
      <c r="HH34" s="815"/>
      <c r="HI34" s="815"/>
      <c r="HJ34" s="815"/>
      <c r="HK34" s="815"/>
      <c r="HL34" s="815"/>
      <c r="HM34" s="815"/>
      <c r="HN34" s="815"/>
      <c r="HO34" s="815"/>
      <c r="HP34" s="815"/>
      <c r="HQ34" s="815"/>
      <c r="HR34" s="815"/>
      <c r="HS34" s="815"/>
      <c r="HT34" s="815"/>
      <c r="HU34" s="815"/>
      <c r="HV34" s="815"/>
      <c r="HW34" s="815"/>
      <c r="HX34" s="815"/>
      <c r="HY34" s="815"/>
      <c r="HZ34" s="815"/>
      <c r="IA34" s="815"/>
      <c r="IB34" s="815"/>
      <c r="IC34" s="815"/>
      <c r="ID34" s="815"/>
      <c r="IE34" s="815"/>
      <c r="IF34" s="815"/>
      <c r="IG34" s="815"/>
      <c r="IH34" s="815"/>
      <c r="II34" s="815"/>
      <c r="IJ34" s="815"/>
      <c r="IK34" s="815"/>
      <c r="IL34" s="815"/>
      <c r="IM34" s="815"/>
      <c r="IN34" s="815"/>
      <c r="IO34" s="815"/>
      <c r="IP34" s="815"/>
      <c r="IQ34" s="815"/>
      <c r="IR34" s="815"/>
      <c r="IS34" s="815"/>
      <c r="IT34" s="815"/>
      <c r="IU34" s="815"/>
      <c r="IV34" s="815"/>
      <c r="IW34" s="815"/>
      <c r="IX34" s="815"/>
      <c r="IY34" s="815"/>
      <c r="IZ34" s="815"/>
      <c r="JA34" s="815"/>
      <c r="JB34" s="815"/>
      <c r="JC34" s="815"/>
      <c r="JD34" s="815"/>
      <c r="JE34" s="815"/>
      <c r="JF34" s="815"/>
      <c r="JG34" s="815"/>
      <c r="JH34" s="815"/>
      <c r="JI34" s="815"/>
      <c r="JJ34" s="815"/>
      <c r="JK34" s="815"/>
      <c r="JL34" s="815"/>
      <c r="JM34" s="815"/>
      <c r="JN34" s="815"/>
      <c r="JO34" s="815"/>
      <c r="JP34" s="815"/>
      <c r="JQ34" s="815"/>
      <c r="JR34" s="815"/>
      <c r="JS34" s="815"/>
      <c r="JT34" s="815"/>
      <c r="JU34" s="815"/>
      <c r="JV34" s="815"/>
      <c r="JW34" s="815"/>
      <c r="JX34" s="815"/>
      <c r="JY34" s="815"/>
      <c r="JZ34" s="815"/>
      <c r="KA34" s="815"/>
      <c r="KB34" s="815"/>
      <c r="KC34" s="815"/>
      <c r="KD34" s="815"/>
      <c r="KE34" s="815"/>
      <c r="KF34" s="815"/>
      <c r="KG34" s="815"/>
      <c r="KH34" s="815"/>
      <c r="KI34" s="815"/>
      <c r="KJ34" s="815"/>
      <c r="KK34" s="815"/>
      <c r="KL34" s="815"/>
      <c r="KM34" s="815"/>
      <c r="KN34" s="815"/>
      <c r="KO34" s="815"/>
      <c r="KP34" s="815"/>
      <c r="KQ34" s="815"/>
      <c r="KR34" s="815"/>
      <c r="KS34" s="815"/>
      <c r="KT34" s="815"/>
      <c r="KU34" s="815"/>
      <c r="KV34" s="815"/>
      <c r="KW34" s="815"/>
      <c r="KX34" s="815"/>
      <c r="KY34" s="815"/>
      <c r="KZ34" s="815"/>
      <c r="LA34" s="815"/>
      <c r="LB34" s="815"/>
      <c r="LC34" s="815"/>
      <c r="LD34" s="815"/>
      <c r="LE34" s="815"/>
      <c r="LF34" s="815"/>
      <c r="LG34" s="815"/>
      <c r="LH34" s="815"/>
      <c r="LI34" s="815"/>
      <c r="LJ34" s="815"/>
      <c r="LK34" s="815"/>
      <c r="LL34" s="815"/>
      <c r="LM34" s="815"/>
      <c r="LN34" s="815"/>
      <c r="LO34" s="815"/>
      <c r="LP34" s="815"/>
      <c r="LQ34" s="815"/>
      <c r="LR34" s="815"/>
      <c r="LS34" s="815"/>
      <c r="LT34" s="815"/>
      <c r="LU34" s="815"/>
      <c r="LV34" s="815"/>
      <c r="LW34" s="815"/>
      <c r="LX34" s="815"/>
      <c r="LY34" s="815"/>
      <c r="LZ34" s="815"/>
      <c r="MA34" s="815"/>
      <c r="MB34" s="815"/>
      <c r="MC34" s="815"/>
      <c r="MD34" s="815"/>
      <c r="ME34" s="815"/>
      <c r="MF34" s="815"/>
      <c r="MG34" s="815"/>
      <c r="MH34" s="815"/>
      <c r="MI34" s="815"/>
      <c r="MJ34" s="815"/>
      <c r="MK34" s="815"/>
      <c r="ML34" s="815"/>
      <c r="MM34" s="815"/>
      <c r="MN34" s="815"/>
      <c r="MO34" s="815"/>
      <c r="MP34" s="815"/>
      <c r="MQ34" s="815"/>
      <c r="MR34" s="815"/>
      <c r="MS34" s="815"/>
      <c r="MT34" s="815"/>
      <c r="MU34" s="815"/>
      <c r="MV34" s="815"/>
      <c r="MW34" s="815"/>
      <c r="MX34" s="815"/>
      <c r="MY34" s="815"/>
      <c r="MZ34" s="815"/>
      <c r="NA34" s="815"/>
      <c r="NB34" s="815"/>
      <c r="NC34" s="815"/>
      <c r="ND34" s="815"/>
      <c r="NE34" s="815"/>
      <c r="NF34" s="815"/>
      <c r="NG34" s="815"/>
      <c r="NH34" s="815"/>
      <c r="NI34" s="815"/>
      <c r="NJ34" s="815"/>
      <c r="NK34" s="815"/>
      <c r="NL34" s="815"/>
      <c r="NM34" s="815"/>
      <c r="NN34" s="815"/>
      <c r="NO34" s="815"/>
      <c r="NP34" s="815"/>
      <c r="NQ34" s="815"/>
      <c r="NR34" s="815"/>
      <c r="NS34" s="815"/>
      <c r="NT34" s="815"/>
      <c r="NU34" s="815"/>
      <c r="NV34" s="815"/>
      <c r="NW34" s="815"/>
      <c r="NX34" s="815"/>
      <c r="NY34" s="815"/>
      <c r="NZ34" s="815"/>
      <c r="OA34" s="815"/>
      <c r="OB34" s="815"/>
      <c r="OC34" s="815"/>
      <c r="OD34" s="815"/>
      <c r="OE34" s="815"/>
      <c r="OF34" s="815"/>
      <c r="OG34" s="815"/>
      <c r="OH34" s="815"/>
      <c r="OI34" s="815"/>
      <c r="OJ34" s="815"/>
      <c r="OK34" s="815"/>
      <c r="OL34" s="815"/>
      <c r="OM34" s="815"/>
      <c r="ON34" s="815"/>
      <c r="OO34" s="815"/>
      <c r="OP34" s="815"/>
      <c r="OQ34" s="815"/>
      <c r="OR34" s="815"/>
      <c r="OS34" s="815"/>
      <c r="OT34" s="815"/>
      <c r="OU34" s="815"/>
      <c r="OV34" s="815"/>
      <c r="OW34" s="815"/>
      <c r="OX34" s="815"/>
      <c r="OY34" s="815"/>
      <c r="OZ34" s="815"/>
      <c r="PA34" s="815"/>
      <c r="PB34" s="815"/>
      <c r="PC34" s="815"/>
      <c r="PD34" s="815"/>
      <c r="PE34" s="815"/>
      <c r="PF34" s="815"/>
      <c r="PG34" s="815"/>
      <c r="PH34" s="815"/>
      <c r="PI34" s="815"/>
      <c r="PJ34" s="815"/>
      <c r="PK34" s="815"/>
      <c r="PL34" s="815"/>
      <c r="PM34" s="815"/>
      <c r="PN34" s="815"/>
      <c r="PO34" s="815"/>
      <c r="PP34" s="815"/>
      <c r="PQ34" s="815"/>
      <c r="PR34" s="815"/>
      <c r="PS34" s="815"/>
      <c r="PT34" s="815"/>
      <c r="PU34" s="815"/>
      <c r="PV34" s="815"/>
      <c r="PW34" s="815"/>
      <c r="PX34" s="815"/>
      <c r="PY34" s="815"/>
      <c r="PZ34" s="815"/>
      <c r="QA34" s="815"/>
      <c r="QB34" s="815"/>
      <c r="QC34" s="815"/>
      <c r="QD34" s="815"/>
      <c r="QE34" s="815"/>
      <c r="QF34" s="815"/>
      <c r="QG34" s="815"/>
      <c r="QH34" s="815"/>
      <c r="QI34" s="815"/>
      <c r="QJ34" s="815"/>
      <c r="QK34" s="815"/>
      <c r="QL34" s="815"/>
      <c r="QM34" s="815"/>
      <c r="QN34" s="815"/>
      <c r="QO34" s="815"/>
      <c r="QP34" s="815"/>
      <c r="QQ34" s="815"/>
      <c r="QR34" s="815"/>
      <c r="QS34" s="815"/>
      <c r="QT34" s="815"/>
      <c r="QU34" s="815"/>
      <c r="QV34" s="815"/>
      <c r="QW34" s="815"/>
      <c r="QX34" s="815"/>
      <c r="QY34" s="815"/>
      <c r="QZ34" s="815"/>
      <c r="RA34" s="815"/>
      <c r="RB34" s="815"/>
      <c r="RC34" s="815"/>
      <c r="RD34" s="815"/>
      <c r="RE34" s="815"/>
      <c r="RF34" s="815"/>
      <c r="RG34" s="815"/>
      <c r="RH34" s="815"/>
      <c r="RI34" s="815"/>
      <c r="RJ34" s="815"/>
      <c r="RK34" s="815"/>
      <c r="RL34" s="815"/>
      <c r="RM34" s="815"/>
      <c r="RN34" s="815"/>
      <c r="RO34" s="815"/>
      <c r="RP34" s="815"/>
      <c r="RQ34" s="815"/>
      <c r="RR34" s="815"/>
      <c r="RS34" s="815"/>
      <c r="RT34" s="815"/>
      <c r="RU34" s="815"/>
      <c r="RV34" s="815"/>
      <c r="RW34" s="815"/>
      <c r="RX34" s="815"/>
    </row>
    <row r="35" spans="1:492" s="171" customFormat="1" ht="28.5" customHeight="1">
      <c r="A35" s="152" t="s">
        <v>139</v>
      </c>
      <c r="B35" s="152" t="s">
        <v>140</v>
      </c>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818"/>
      <c r="AN35" s="818"/>
      <c r="AO35" s="818"/>
      <c r="AP35" s="818"/>
      <c r="AQ35" s="819"/>
      <c r="AR35" s="807"/>
      <c r="AS35" s="807"/>
      <c r="AT35" s="807"/>
      <c r="AU35" s="807"/>
      <c r="AV35" s="807"/>
      <c r="AW35" s="818"/>
      <c r="AX35" s="818"/>
      <c r="AY35" s="818"/>
      <c r="AZ35" s="818"/>
      <c r="BA35" s="173"/>
      <c r="BB35" s="807"/>
      <c r="BC35" s="807"/>
      <c r="BD35" s="807"/>
      <c r="BE35" s="174"/>
      <c r="BF35" s="819"/>
      <c r="BG35" s="807"/>
      <c r="BH35" s="807"/>
      <c r="BI35" s="807"/>
      <c r="BJ35" s="174"/>
      <c r="BK35" s="542"/>
      <c r="BL35" s="807"/>
      <c r="BM35" s="807"/>
      <c r="BN35" s="807"/>
      <c r="BO35" s="174"/>
      <c r="BP35" s="542"/>
      <c r="BQ35" s="807"/>
      <c r="BR35" s="815"/>
      <c r="BS35" s="815"/>
      <c r="BT35" s="815"/>
      <c r="BU35" s="815"/>
      <c r="BV35" s="815"/>
      <c r="BW35" s="815"/>
      <c r="BX35" s="815"/>
      <c r="BY35" s="815"/>
      <c r="BZ35" s="815"/>
      <c r="CA35" s="815"/>
      <c r="CB35" s="815"/>
      <c r="CC35" s="815"/>
      <c r="CD35" s="815"/>
      <c r="CE35" s="815"/>
      <c r="CF35" s="815"/>
      <c r="CG35" s="815"/>
      <c r="CH35" s="815"/>
      <c r="CI35" s="815"/>
      <c r="CJ35" s="815"/>
      <c r="CK35" s="815"/>
      <c r="CL35" s="815"/>
      <c r="CM35" s="815"/>
      <c r="CN35" s="815"/>
      <c r="CO35" s="815"/>
      <c r="CP35" s="815"/>
      <c r="CQ35" s="815"/>
      <c r="CR35" s="815"/>
      <c r="CS35" s="815"/>
      <c r="CT35" s="815"/>
      <c r="CU35" s="815"/>
      <c r="CV35" s="815"/>
      <c r="CW35" s="815"/>
      <c r="CX35" s="815"/>
      <c r="CY35" s="815"/>
      <c r="CZ35" s="815"/>
      <c r="DA35" s="815"/>
      <c r="DB35" s="815"/>
      <c r="DC35" s="815"/>
      <c r="DD35" s="815"/>
      <c r="DE35" s="815"/>
      <c r="DF35" s="815"/>
      <c r="DG35" s="815"/>
      <c r="DH35" s="815"/>
      <c r="DI35" s="815"/>
      <c r="DJ35" s="815"/>
      <c r="DK35" s="815"/>
      <c r="DL35" s="815"/>
      <c r="DM35" s="815"/>
      <c r="DN35" s="815"/>
      <c r="DO35" s="815"/>
      <c r="DP35" s="815"/>
      <c r="DQ35" s="815"/>
      <c r="DR35" s="815"/>
      <c r="DS35" s="815"/>
      <c r="DT35" s="815"/>
      <c r="DU35" s="815"/>
      <c r="DV35" s="815"/>
      <c r="DW35" s="815"/>
      <c r="DX35" s="815"/>
      <c r="DY35" s="815"/>
      <c r="DZ35" s="815"/>
      <c r="EA35" s="815"/>
      <c r="EB35" s="815"/>
      <c r="EC35" s="815"/>
      <c r="ED35" s="815"/>
      <c r="EE35" s="815"/>
      <c r="EF35" s="815"/>
      <c r="EG35" s="815"/>
      <c r="EH35" s="815"/>
      <c r="EI35" s="815"/>
      <c r="EJ35" s="815"/>
      <c r="EK35" s="815"/>
      <c r="EL35" s="815"/>
      <c r="EM35" s="815"/>
      <c r="EN35" s="815"/>
      <c r="EO35" s="815"/>
      <c r="EP35" s="815"/>
      <c r="EQ35" s="815"/>
      <c r="ER35" s="815"/>
      <c r="ES35" s="815"/>
      <c r="ET35" s="815"/>
      <c r="EU35" s="815"/>
      <c r="EV35" s="815"/>
      <c r="EW35" s="815"/>
      <c r="EX35" s="815"/>
      <c r="EY35" s="815"/>
      <c r="EZ35" s="815"/>
      <c r="FA35" s="815"/>
      <c r="FB35" s="815"/>
      <c r="FC35" s="815"/>
      <c r="FD35" s="815"/>
      <c r="FE35" s="815"/>
      <c r="FF35" s="815"/>
      <c r="FG35" s="815"/>
      <c r="FH35" s="815"/>
      <c r="FI35" s="815"/>
      <c r="FJ35" s="815"/>
      <c r="FK35" s="815"/>
      <c r="FL35" s="815"/>
      <c r="FM35" s="815"/>
      <c r="FN35" s="815"/>
      <c r="FO35" s="815"/>
      <c r="FP35" s="815"/>
      <c r="FQ35" s="815"/>
      <c r="FR35" s="815"/>
      <c r="FS35" s="815"/>
      <c r="FT35" s="815"/>
      <c r="FU35" s="815"/>
      <c r="FV35" s="815"/>
      <c r="FW35" s="815"/>
      <c r="FX35" s="815"/>
      <c r="FY35" s="815"/>
      <c r="FZ35" s="815"/>
      <c r="GA35" s="815"/>
      <c r="GB35" s="815"/>
      <c r="GC35" s="815"/>
      <c r="GD35" s="815"/>
      <c r="GE35" s="815"/>
      <c r="GF35" s="815"/>
      <c r="GG35" s="815"/>
      <c r="GH35" s="815"/>
      <c r="GI35" s="815"/>
      <c r="GJ35" s="815"/>
      <c r="GK35" s="815"/>
      <c r="GL35" s="815"/>
      <c r="GM35" s="815"/>
      <c r="GN35" s="815"/>
      <c r="GO35" s="815"/>
      <c r="GP35" s="815"/>
      <c r="GQ35" s="815"/>
      <c r="GR35" s="815"/>
      <c r="GS35" s="815"/>
      <c r="GT35" s="815"/>
      <c r="GU35" s="815"/>
      <c r="GV35" s="815"/>
      <c r="GW35" s="815"/>
      <c r="GX35" s="815"/>
      <c r="GY35" s="815"/>
      <c r="GZ35" s="815"/>
      <c r="HA35" s="815"/>
      <c r="HB35" s="815"/>
      <c r="HC35" s="815"/>
      <c r="HD35" s="815"/>
      <c r="HE35" s="815"/>
      <c r="HF35" s="815"/>
      <c r="HG35" s="815"/>
      <c r="HH35" s="815"/>
      <c r="HI35" s="815"/>
      <c r="HJ35" s="815"/>
      <c r="HK35" s="815"/>
      <c r="HL35" s="815"/>
      <c r="HM35" s="815"/>
      <c r="HN35" s="815"/>
      <c r="HO35" s="815"/>
      <c r="HP35" s="815"/>
      <c r="HQ35" s="815"/>
      <c r="HR35" s="815"/>
      <c r="HS35" s="815"/>
      <c r="HT35" s="815"/>
      <c r="HU35" s="815"/>
      <c r="HV35" s="815"/>
      <c r="HW35" s="815"/>
      <c r="HX35" s="815"/>
      <c r="HY35" s="815"/>
      <c r="HZ35" s="815"/>
      <c r="IA35" s="815"/>
      <c r="IB35" s="815"/>
      <c r="IC35" s="815"/>
      <c r="ID35" s="815"/>
      <c r="IE35" s="815"/>
      <c r="IF35" s="815"/>
      <c r="IG35" s="815"/>
      <c r="IH35" s="815"/>
      <c r="II35" s="815"/>
      <c r="IJ35" s="815"/>
      <c r="IK35" s="815"/>
      <c r="IL35" s="815"/>
      <c r="IM35" s="815"/>
      <c r="IN35" s="815"/>
      <c r="IO35" s="815"/>
      <c r="IP35" s="815"/>
      <c r="IQ35" s="815"/>
      <c r="IR35" s="815"/>
      <c r="IS35" s="815"/>
      <c r="IT35" s="815"/>
      <c r="IU35" s="815"/>
      <c r="IV35" s="815"/>
      <c r="IW35" s="815"/>
      <c r="IX35" s="815"/>
      <c r="IY35" s="815"/>
      <c r="IZ35" s="815"/>
      <c r="JA35" s="815"/>
      <c r="JB35" s="815"/>
      <c r="JC35" s="815"/>
      <c r="JD35" s="815"/>
      <c r="JE35" s="815"/>
      <c r="JF35" s="815"/>
      <c r="JG35" s="815"/>
      <c r="JH35" s="815"/>
      <c r="JI35" s="815"/>
      <c r="JJ35" s="815"/>
      <c r="JK35" s="815"/>
      <c r="JL35" s="815"/>
      <c r="JM35" s="815"/>
      <c r="JN35" s="815"/>
      <c r="JO35" s="815"/>
      <c r="JP35" s="815"/>
      <c r="JQ35" s="815"/>
      <c r="JR35" s="815"/>
      <c r="JS35" s="815"/>
      <c r="JT35" s="815"/>
      <c r="JU35" s="815"/>
      <c r="JV35" s="815"/>
      <c r="JW35" s="815"/>
      <c r="JX35" s="815"/>
      <c r="JY35" s="815"/>
      <c r="JZ35" s="815"/>
      <c r="KA35" s="815"/>
      <c r="KB35" s="815"/>
      <c r="KC35" s="815"/>
      <c r="KD35" s="815"/>
      <c r="KE35" s="815"/>
      <c r="KF35" s="815"/>
      <c r="KG35" s="815"/>
      <c r="KH35" s="815"/>
      <c r="KI35" s="815"/>
      <c r="KJ35" s="815"/>
      <c r="KK35" s="815"/>
      <c r="KL35" s="815"/>
      <c r="KM35" s="815"/>
      <c r="KN35" s="815"/>
      <c r="KO35" s="815"/>
      <c r="KP35" s="815"/>
      <c r="KQ35" s="815"/>
      <c r="KR35" s="815"/>
      <c r="KS35" s="815"/>
      <c r="KT35" s="815"/>
      <c r="KU35" s="815"/>
      <c r="KV35" s="815"/>
      <c r="KW35" s="815"/>
      <c r="KX35" s="815"/>
      <c r="KY35" s="815"/>
      <c r="KZ35" s="815"/>
      <c r="LA35" s="815"/>
      <c r="LB35" s="815"/>
      <c r="LC35" s="815"/>
      <c r="LD35" s="815"/>
      <c r="LE35" s="815"/>
      <c r="LF35" s="815"/>
      <c r="LG35" s="815"/>
      <c r="LH35" s="815"/>
      <c r="LI35" s="815"/>
      <c r="LJ35" s="815"/>
      <c r="LK35" s="815"/>
      <c r="LL35" s="815"/>
      <c r="LM35" s="815"/>
      <c r="LN35" s="815"/>
      <c r="LO35" s="815"/>
      <c r="LP35" s="815"/>
      <c r="LQ35" s="815"/>
      <c r="LR35" s="815"/>
      <c r="LS35" s="815"/>
      <c r="LT35" s="815"/>
      <c r="LU35" s="815"/>
      <c r="LV35" s="815"/>
      <c r="LW35" s="815"/>
      <c r="LX35" s="815"/>
      <c r="LY35" s="815"/>
      <c r="LZ35" s="815"/>
      <c r="MA35" s="815"/>
      <c r="MB35" s="815"/>
      <c r="MC35" s="815"/>
      <c r="MD35" s="815"/>
      <c r="ME35" s="815"/>
      <c r="MF35" s="815"/>
      <c r="MG35" s="815"/>
      <c r="MH35" s="815"/>
      <c r="MI35" s="815"/>
      <c r="MJ35" s="815"/>
      <c r="MK35" s="815"/>
      <c r="ML35" s="815"/>
      <c r="MM35" s="815"/>
      <c r="MN35" s="815"/>
      <c r="MO35" s="815"/>
      <c r="MP35" s="815"/>
      <c r="MQ35" s="815"/>
      <c r="MR35" s="815"/>
      <c r="MS35" s="815"/>
      <c r="MT35" s="815"/>
      <c r="MU35" s="815"/>
      <c r="MV35" s="815"/>
      <c r="MW35" s="815"/>
      <c r="MX35" s="815"/>
      <c r="MY35" s="815"/>
      <c r="MZ35" s="815"/>
      <c r="NA35" s="815"/>
      <c r="NB35" s="815"/>
      <c r="NC35" s="815"/>
      <c r="ND35" s="815"/>
      <c r="NE35" s="815"/>
      <c r="NF35" s="815"/>
      <c r="NG35" s="815"/>
      <c r="NH35" s="815"/>
      <c r="NI35" s="815"/>
      <c r="NJ35" s="815"/>
      <c r="NK35" s="815"/>
      <c r="NL35" s="815"/>
      <c r="NM35" s="815"/>
      <c r="NN35" s="815"/>
      <c r="NO35" s="815"/>
      <c r="NP35" s="815"/>
      <c r="NQ35" s="815"/>
      <c r="NR35" s="815"/>
      <c r="NS35" s="815"/>
      <c r="NT35" s="815"/>
      <c r="NU35" s="815"/>
      <c r="NV35" s="815"/>
      <c r="NW35" s="815"/>
      <c r="NX35" s="815"/>
      <c r="NY35" s="815"/>
      <c r="NZ35" s="815"/>
      <c r="OA35" s="815"/>
      <c r="OB35" s="815"/>
      <c r="OC35" s="815"/>
      <c r="OD35" s="815"/>
      <c r="OE35" s="815"/>
      <c r="OF35" s="815"/>
      <c r="OG35" s="815"/>
      <c r="OH35" s="815"/>
      <c r="OI35" s="815"/>
      <c r="OJ35" s="815"/>
      <c r="OK35" s="815"/>
      <c r="OL35" s="815"/>
      <c r="OM35" s="815"/>
      <c r="ON35" s="815"/>
      <c r="OO35" s="815"/>
      <c r="OP35" s="815"/>
      <c r="OQ35" s="815"/>
      <c r="OR35" s="815"/>
      <c r="OS35" s="815"/>
      <c r="OT35" s="815"/>
      <c r="OU35" s="815"/>
      <c r="OV35" s="815"/>
      <c r="OW35" s="815"/>
      <c r="OX35" s="815"/>
      <c r="OY35" s="815"/>
      <c r="OZ35" s="815"/>
      <c r="PA35" s="815"/>
      <c r="PB35" s="815"/>
      <c r="PC35" s="815"/>
      <c r="PD35" s="815"/>
      <c r="PE35" s="815"/>
      <c r="PF35" s="815"/>
      <c r="PG35" s="815"/>
      <c r="PH35" s="815"/>
      <c r="PI35" s="815"/>
      <c r="PJ35" s="815"/>
      <c r="PK35" s="815"/>
      <c r="PL35" s="815"/>
      <c r="PM35" s="815"/>
      <c r="PN35" s="815"/>
      <c r="PO35" s="815"/>
      <c r="PP35" s="815"/>
      <c r="PQ35" s="815"/>
      <c r="PR35" s="815"/>
      <c r="PS35" s="815"/>
      <c r="PT35" s="815"/>
      <c r="PU35" s="815"/>
      <c r="PV35" s="815"/>
      <c r="PW35" s="815"/>
      <c r="PX35" s="815"/>
      <c r="PY35" s="815"/>
      <c r="PZ35" s="815"/>
      <c r="QA35" s="815"/>
      <c r="QB35" s="815"/>
      <c r="QC35" s="815"/>
      <c r="QD35" s="815"/>
      <c r="QE35" s="815"/>
      <c r="QF35" s="815"/>
      <c r="QG35" s="815"/>
      <c r="QH35" s="815"/>
      <c r="QI35" s="815"/>
      <c r="QJ35" s="815"/>
      <c r="QK35" s="815"/>
      <c r="QL35" s="815"/>
      <c r="QM35" s="815"/>
      <c r="QN35" s="815"/>
      <c r="QO35" s="815"/>
      <c r="QP35" s="815"/>
      <c r="QQ35" s="815"/>
      <c r="QR35" s="815"/>
      <c r="QS35" s="815"/>
      <c r="QT35" s="815"/>
      <c r="QU35" s="815"/>
      <c r="QV35" s="815"/>
      <c r="QW35" s="815"/>
      <c r="QX35" s="815"/>
      <c r="QY35" s="815"/>
      <c r="QZ35" s="815"/>
      <c r="RA35" s="815"/>
      <c r="RB35" s="815"/>
      <c r="RC35" s="815"/>
      <c r="RD35" s="815"/>
      <c r="RE35" s="815"/>
      <c r="RF35" s="815"/>
      <c r="RG35" s="815"/>
      <c r="RH35" s="815"/>
      <c r="RI35" s="815"/>
      <c r="RJ35" s="815"/>
      <c r="RK35" s="815"/>
      <c r="RL35" s="815"/>
      <c r="RM35" s="815"/>
      <c r="RN35" s="815"/>
      <c r="RO35" s="815"/>
      <c r="RP35" s="815"/>
      <c r="RQ35" s="815"/>
      <c r="RR35" s="815"/>
      <c r="RS35" s="815"/>
      <c r="RT35" s="815"/>
      <c r="RU35" s="815"/>
      <c r="RV35" s="815"/>
      <c r="RW35" s="815"/>
      <c r="RX35" s="815"/>
    </row>
    <row r="36" spans="1:492" s="169" customFormat="1" ht="60">
      <c r="A36" s="179" t="s">
        <v>141</v>
      </c>
      <c r="B36" s="189" t="s">
        <v>142</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820"/>
      <c r="AN36" s="820"/>
      <c r="AO36" s="820"/>
      <c r="AP36" s="820"/>
      <c r="AQ36" s="804"/>
      <c r="AR36" s="820"/>
      <c r="AS36" s="820"/>
      <c r="AT36" s="820"/>
      <c r="AU36" s="820"/>
      <c r="AV36" s="820"/>
      <c r="AW36" s="820"/>
      <c r="AX36" s="820"/>
      <c r="AY36" s="820"/>
      <c r="AZ36" s="820"/>
      <c r="BA36" s="820"/>
      <c r="BB36" s="820"/>
      <c r="BC36" s="820"/>
      <c r="BD36" s="820"/>
      <c r="BE36" s="175"/>
      <c r="BF36" s="804"/>
      <c r="BG36" s="820"/>
      <c r="BH36" s="820"/>
      <c r="BI36" s="561"/>
      <c r="BJ36" s="562"/>
      <c r="BK36" s="804"/>
      <c r="BL36" s="820"/>
      <c r="BM36" s="820"/>
      <c r="BN36" s="561"/>
      <c r="BO36" s="562"/>
      <c r="BP36" s="804"/>
      <c r="BQ36" s="804"/>
      <c r="BR36" s="814"/>
      <c r="BS36" s="814"/>
      <c r="BT36" s="814"/>
      <c r="BU36" s="814"/>
      <c r="BV36" s="814"/>
      <c r="BW36" s="814"/>
      <c r="BX36" s="814"/>
      <c r="BY36" s="814"/>
      <c r="BZ36" s="814"/>
      <c r="CA36" s="814"/>
      <c r="CB36" s="814"/>
      <c r="CC36" s="814"/>
      <c r="CD36" s="814"/>
      <c r="CE36" s="814"/>
      <c r="CF36" s="814"/>
      <c r="CG36" s="814"/>
      <c r="CH36" s="814"/>
      <c r="CI36" s="814"/>
      <c r="CJ36" s="814"/>
      <c r="CK36" s="814"/>
      <c r="CL36" s="814"/>
      <c r="CM36" s="814"/>
      <c r="CN36" s="814"/>
      <c r="CO36" s="814"/>
      <c r="CP36" s="814"/>
      <c r="CQ36" s="814"/>
      <c r="CR36" s="814"/>
      <c r="CS36" s="814"/>
      <c r="CT36" s="814"/>
      <c r="CU36" s="814"/>
      <c r="CV36" s="814"/>
      <c r="CW36" s="814"/>
      <c r="CX36" s="814"/>
      <c r="CY36" s="814"/>
      <c r="CZ36" s="814"/>
      <c r="DA36" s="814"/>
      <c r="DB36" s="814"/>
      <c r="DC36" s="814"/>
      <c r="DD36" s="814"/>
      <c r="DE36" s="814"/>
      <c r="DF36" s="814"/>
      <c r="DG36" s="814"/>
      <c r="DH36" s="814"/>
      <c r="DI36" s="814"/>
      <c r="DJ36" s="814"/>
      <c r="DK36" s="814"/>
      <c r="DL36" s="814"/>
      <c r="DM36" s="814"/>
      <c r="DN36" s="814"/>
      <c r="DO36" s="814"/>
      <c r="DP36" s="814"/>
      <c r="DQ36" s="814"/>
      <c r="DR36" s="814"/>
      <c r="DS36" s="814"/>
      <c r="DT36" s="814"/>
      <c r="DU36" s="814"/>
      <c r="DV36" s="814"/>
      <c r="DW36" s="814"/>
      <c r="DX36" s="814"/>
      <c r="DY36" s="814"/>
      <c r="DZ36" s="814"/>
      <c r="EA36" s="814"/>
      <c r="EB36" s="814"/>
      <c r="EC36" s="814"/>
      <c r="ED36" s="814"/>
      <c r="EE36" s="814"/>
      <c r="EF36" s="814"/>
      <c r="EG36" s="814"/>
      <c r="EH36" s="814"/>
      <c r="EI36" s="814"/>
      <c r="EJ36" s="814"/>
      <c r="EK36" s="814"/>
      <c r="EL36" s="814"/>
      <c r="EM36" s="814"/>
      <c r="EN36" s="814"/>
      <c r="EO36" s="814"/>
      <c r="EP36" s="814"/>
      <c r="EQ36" s="814"/>
      <c r="ER36" s="814"/>
      <c r="ES36" s="814"/>
      <c r="ET36" s="814"/>
      <c r="EU36" s="814"/>
      <c r="EV36" s="814"/>
      <c r="EW36" s="814"/>
      <c r="EX36" s="814"/>
      <c r="EY36" s="814"/>
      <c r="EZ36" s="814"/>
      <c r="FA36" s="814"/>
      <c r="FB36" s="814"/>
      <c r="FC36" s="814"/>
      <c r="FD36" s="814"/>
      <c r="FE36" s="814"/>
      <c r="FF36" s="814"/>
      <c r="FG36" s="814"/>
      <c r="FH36" s="814"/>
      <c r="FI36" s="814"/>
      <c r="FJ36" s="814"/>
      <c r="FK36" s="814"/>
      <c r="FL36" s="814"/>
      <c r="FM36" s="814"/>
      <c r="FN36" s="814"/>
      <c r="FO36" s="814"/>
      <c r="FP36" s="814"/>
      <c r="FQ36" s="814"/>
      <c r="FR36" s="814"/>
      <c r="FS36" s="814"/>
      <c r="FT36" s="814"/>
      <c r="FU36" s="814"/>
      <c r="FV36" s="814"/>
      <c r="FW36" s="814"/>
      <c r="FX36" s="814"/>
      <c r="FY36" s="814"/>
      <c r="FZ36" s="814"/>
      <c r="GA36" s="814"/>
      <c r="GB36" s="814"/>
      <c r="GC36" s="814"/>
      <c r="GD36" s="814"/>
      <c r="GE36" s="814"/>
      <c r="GF36" s="814"/>
      <c r="GG36" s="814"/>
      <c r="GH36" s="814"/>
      <c r="GI36" s="814"/>
      <c r="GJ36" s="814"/>
      <c r="GK36" s="814"/>
      <c r="GL36" s="814"/>
      <c r="GM36" s="814"/>
      <c r="GN36" s="814"/>
      <c r="GO36" s="814"/>
      <c r="GP36" s="814"/>
      <c r="GQ36" s="814"/>
      <c r="GR36" s="814"/>
      <c r="GS36" s="814"/>
      <c r="GT36" s="814"/>
      <c r="GU36" s="814"/>
      <c r="GV36" s="814"/>
      <c r="GW36" s="814"/>
      <c r="GX36" s="814"/>
      <c r="GY36" s="814"/>
      <c r="GZ36" s="814"/>
      <c r="HA36" s="814"/>
      <c r="HB36" s="814"/>
      <c r="HC36" s="814"/>
      <c r="HD36" s="814"/>
      <c r="HE36" s="814"/>
      <c r="HF36" s="814"/>
      <c r="HG36" s="814"/>
      <c r="HH36" s="814"/>
      <c r="HI36" s="814"/>
      <c r="HJ36" s="814"/>
      <c r="HK36" s="814"/>
      <c r="HL36" s="814"/>
      <c r="HM36" s="814"/>
      <c r="HN36" s="814"/>
      <c r="HO36" s="814"/>
      <c r="HP36" s="814"/>
      <c r="HQ36" s="814"/>
      <c r="HR36" s="814"/>
      <c r="HS36" s="814"/>
      <c r="HT36" s="814"/>
      <c r="HU36" s="814"/>
      <c r="HV36" s="814"/>
      <c r="HW36" s="814"/>
      <c r="HX36" s="814"/>
      <c r="HY36" s="814"/>
      <c r="HZ36" s="814"/>
      <c r="IA36" s="814"/>
      <c r="IB36" s="814"/>
      <c r="IC36" s="814"/>
      <c r="ID36" s="814"/>
      <c r="IE36" s="814"/>
      <c r="IF36" s="814"/>
      <c r="IG36" s="814"/>
      <c r="IH36" s="814"/>
      <c r="II36" s="814"/>
      <c r="IJ36" s="814"/>
      <c r="IK36" s="814"/>
      <c r="IL36" s="814"/>
      <c r="IM36" s="814"/>
      <c r="IN36" s="814"/>
      <c r="IO36" s="814"/>
      <c r="IP36" s="814"/>
      <c r="IQ36" s="814"/>
      <c r="IR36" s="814"/>
      <c r="IS36" s="814"/>
      <c r="IT36" s="814"/>
      <c r="IU36" s="814"/>
      <c r="IV36" s="814"/>
      <c r="IW36" s="814"/>
      <c r="IX36" s="814"/>
      <c r="IY36" s="814"/>
      <c r="IZ36" s="814"/>
      <c r="JA36" s="814"/>
      <c r="JB36" s="814"/>
      <c r="JC36" s="814"/>
      <c r="JD36" s="814"/>
      <c r="JE36" s="814"/>
      <c r="JF36" s="814"/>
      <c r="JG36" s="814"/>
      <c r="JH36" s="814"/>
      <c r="JI36" s="814"/>
      <c r="JJ36" s="814"/>
      <c r="JK36" s="814"/>
      <c r="JL36" s="814"/>
      <c r="JM36" s="814"/>
      <c r="JN36" s="814"/>
      <c r="JO36" s="814"/>
      <c r="JP36" s="814"/>
      <c r="JQ36" s="814"/>
      <c r="JR36" s="814"/>
      <c r="JS36" s="814"/>
      <c r="JT36" s="814"/>
      <c r="JU36" s="814"/>
      <c r="JV36" s="814"/>
      <c r="JW36" s="814"/>
      <c r="JX36" s="814"/>
      <c r="JY36" s="814"/>
      <c r="JZ36" s="814"/>
      <c r="KA36" s="814"/>
      <c r="KB36" s="814"/>
      <c r="KC36" s="814"/>
      <c r="KD36" s="814"/>
      <c r="KE36" s="814"/>
      <c r="KF36" s="814"/>
      <c r="KG36" s="814"/>
      <c r="KH36" s="814"/>
      <c r="KI36" s="814"/>
      <c r="KJ36" s="814"/>
      <c r="KK36" s="814"/>
      <c r="KL36" s="814"/>
      <c r="KM36" s="814"/>
      <c r="KN36" s="814"/>
      <c r="KO36" s="814"/>
      <c r="KP36" s="814"/>
      <c r="KQ36" s="814"/>
      <c r="KR36" s="814"/>
      <c r="KS36" s="814"/>
      <c r="KT36" s="814"/>
      <c r="KU36" s="814"/>
      <c r="KV36" s="814"/>
      <c r="KW36" s="814"/>
      <c r="KX36" s="814"/>
      <c r="KY36" s="814"/>
      <c r="KZ36" s="814"/>
      <c r="LA36" s="814"/>
      <c r="LB36" s="814"/>
      <c r="LC36" s="814"/>
      <c r="LD36" s="814"/>
      <c r="LE36" s="814"/>
      <c r="LF36" s="814"/>
      <c r="LG36" s="814"/>
      <c r="LH36" s="814"/>
      <c r="LI36" s="814"/>
      <c r="LJ36" s="814"/>
      <c r="LK36" s="814"/>
      <c r="LL36" s="814"/>
      <c r="LM36" s="814"/>
      <c r="LN36" s="814"/>
      <c r="LO36" s="814"/>
      <c r="LP36" s="814"/>
      <c r="LQ36" s="814"/>
      <c r="LR36" s="814"/>
      <c r="LS36" s="814"/>
      <c r="LT36" s="814"/>
      <c r="LU36" s="814"/>
      <c r="LV36" s="814"/>
      <c r="LW36" s="814"/>
      <c r="LX36" s="814"/>
      <c r="LY36" s="814"/>
      <c r="LZ36" s="814"/>
      <c r="MA36" s="814"/>
      <c r="MB36" s="814"/>
      <c r="MC36" s="814"/>
      <c r="MD36" s="814"/>
      <c r="ME36" s="814"/>
      <c r="MF36" s="814"/>
      <c r="MG36" s="814"/>
      <c r="MH36" s="814"/>
      <c r="MI36" s="814"/>
      <c r="MJ36" s="814"/>
      <c r="MK36" s="814"/>
      <c r="ML36" s="814"/>
      <c r="MM36" s="814"/>
      <c r="MN36" s="814"/>
      <c r="MO36" s="814"/>
      <c r="MP36" s="814"/>
      <c r="MQ36" s="814"/>
      <c r="MR36" s="814"/>
      <c r="MS36" s="814"/>
      <c r="MT36" s="814"/>
      <c r="MU36" s="814"/>
      <c r="MV36" s="814"/>
      <c r="MW36" s="814"/>
      <c r="MX36" s="814"/>
      <c r="MY36" s="814"/>
      <c r="MZ36" s="814"/>
      <c r="NA36" s="814"/>
      <c r="NB36" s="814"/>
      <c r="NC36" s="814"/>
      <c r="ND36" s="814"/>
      <c r="NE36" s="814"/>
      <c r="NF36" s="814"/>
      <c r="NG36" s="814"/>
      <c r="NH36" s="814"/>
      <c r="NI36" s="814"/>
      <c r="NJ36" s="814"/>
      <c r="NK36" s="814"/>
      <c r="NL36" s="814"/>
      <c r="NM36" s="814"/>
      <c r="NN36" s="814"/>
      <c r="NO36" s="814"/>
      <c r="NP36" s="814"/>
      <c r="NQ36" s="814"/>
      <c r="NR36" s="814"/>
      <c r="NS36" s="814"/>
      <c r="NT36" s="814"/>
      <c r="NU36" s="814"/>
      <c r="NV36" s="814"/>
      <c r="NW36" s="814"/>
      <c r="NX36" s="814"/>
      <c r="NY36" s="814"/>
      <c r="NZ36" s="814"/>
      <c r="OA36" s="814"/>
      <c r="OB36" s="814"/>
      <c r="OC36" s="814"/>
      <c r="OD36" s="814"/>
      <c r="OE36" s="814"/>
      <c r="OF36" s="814"/>
      <c r="OG36" s="814"/>
      <c r="OH36" s="814"/>
      <c r="OI36" s="814"/>
      <c r="OJ36" s="814"/>
      <c r="OK36" s="814"/>
      <c r="OL36" s="814"/>
      <c r="OM36" s="814"/>
      <c r="ON36" s="814"/>
      <c r="OO36" s="814"/>
      <c r="OP36" s="814"/>
      <c r="OQ36" s="814"/>
      <c r="OR36" s="814"/>
      <c r="OS36" s="814"/>
      <c r="OT36" s="814"/>
      <c r="OU36" s="814"/>
      <c r="OV36" s="814"/>
      <c r="OW36" s="814"/>
      <c r="OX36" s="814"/>
      <c r="OY36" s="814"/>
      <c r="OZ36" s="814"/>
      <c r="PA36" s="814"/>
      <c r="PB36" s="814"/>
      <c r="PC36" s="814"/>
      <c r="PD36" s="814"/>
      <c r="PE36" s="814"/>
      <c r="PF36" s="814"/>
      <c r="PG36" s="814"/>
      <c r="PH36" s="814"/>
      <c r="PI36" s="814"/>
      <c r="PJ36" s="814"/>
      <c r="PK36" s="814"/>
      <c r="PL36" s="814"/>
      <c r="PM36" s="814"/>
      <c r="PN36" s="814"/>
      <c r="PO36" s="814"/>
      <c r="PP36" s="814"/>
      <c r="PQ36" s="814"/>
      <c r="PR36" s="814"/>
      <c r="PS36" s="814"/>
      <c r="PT36" s="814"/>
      <c r="PU36" s="814"/>
      <c r="PV36" s="814"/>
      <c r="PW36" s="814"/>
      <c r="PX36" s="814"/>
      <c r="PY36" s="814"/>
      <c r="PZ36" s="814"/>
      <c r="QA36" s="814"/>
      <c r="QB36" s="814"/>
      <c r="QC36" s="814"/>
      <c r="QD36" s="814"/>
      <c r="QE36" s="814"/>
      <c r="QF36" s="814"/>
      <c r="QG36" s="814"/>
      <c r="QH36" s="814"/>
      <c r="QI36" s="814"/>
      <c r="QJ36" s="814"/>
      <c r="QK36" s="814"/>
      <c r="QL36" s="814"/>
      <c r="QM36" s="814"/>
      <c r="QN36" s="814"/>
      <c r="QO36" s="814"/>
      <c r="QP36" s="814"/>
      <c r="QQ36" s="814"/>
      <c r="QR36" s="814"/>
      <c r="QS36" s="814"/>
      <c r="QT36" s="814"/>
      <c r="QU36" s="814"/>
      <c r="QV36" s="814"/>
      <c r="QW36" s="814"/>
      <c r="QX36" s="814"/>
      <c r="QY36" s="814"/>
      <c r="QZ36" s="814"/>
      <c r="RA36" s="814"/>
      <c r="RB36" s="814"/>
      <c r="RC36" s="814"/>
      <c r="RD36" s="814"/>
      <c r="RE36" s="814"/>
      <c r="RF36" s="814"/>
      <c r="RG36" s="814"/>
      <c r="RH36" s="814"/>
      <c r="RI36" s="814"/>
      <c r="RJ36" s="814"/>
      <c r="RK36" s="814"/>
      <c r="RL36" s="814"/>
      <c r="RM36" s="814"/>
      <c r="RN36" s="814"/>
      <c r="RO36" s="814"/>
      <c r="RP36" s="814"/>
      <c r="RQ36" s="814"/>
      <c r="RR36" s="814"/>
      <c r="RS36" s="814"/>
      <c r="RT36" s="814"/>
      <c r="RU36" s="814"/>
      <c r="RV36" s="814"/>
      <c r="RW36" s="814"/>
      <c r="RX36" s="814"/>
    </row>
    <row r="37" spans="1:492" s="169" customForma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804"/>
      <c r="AN37" s="804"/>
      <c r="AO37" s="804"/>
      <c r="AP37" s="804"/>
      <c r="AQ37" s="804"/>
      <c r="AR37" s="804"/>
      <c r="AS37" s="804"/>
      <c r="AT37" s="804"/>
      <c r="AU37" s="804"/>
      <c r="AV37" s="804"/>
      <c r="AW37" s="804"/>
      <c r="AX37" s="804"/>
      <c r="AY37" s="804"/>
      <c r="AZ37" s="804"/>
      <c r="BA37" s="804"/>
      <c r="BB37" s="804"/>
      <c r="BC37" s="820"/>
      <c r="BD37" s="820"/>
      <c r="BE37" s="175"/>
      <c r="BF37" s="804"/>
      <c r="BG37" s="804"/>
      <c r="BH37" s="820"/>
      <c r="BI37" s="561"/>
      <c r="BJ37" s="175"/>
      <c r="BK37" s="804"/>
      <c r="BL37" s="804"/>
      <c r="BM37" s="820"/>
      <c r="BN37" s="561"/>
      <c r="BO37" s="175"/>
      <c r="BP37" s="804"/>
      <c r="BQ37" s="804"/>
      <c r="BR37" s="814"/>
      <c r="BS37" s="814"/>
      <c r="BT37" s="814"/>
      <c r="BU37" s="814"/>
      <c r="BV37" s="814"/>
      <c r="BW37" s="814"/>
      <c r="BX37" s="814"/>
      <c r="BY37" s="814"/>
      <c r="BZ37" s="814"/>
      <c r="CA37" s="814"/>
      <c r="CB37" s="814"/>
      <c r="CC37" s="814"/>
      <c r="CD37" s="814"/>
      <c r="CE37" s="814"/>
      <c r="CF37" s="814"/>
      <c r="CG37" s="814"/>
      <c r="CH37" s="814"/>
      <c r="CI37" s="814"/>
      <c r="CJ37" s="814"/>
      <c r="CK37" s="814"/>
      <c r="CL37" s="814"/>
      <c r="CM37" s="814"/>
      <c r="CN37" s="814"/>
      <c r="CO37" s="814"/>
      <c r="CP37" s="814"/>
      <c r="CQ37" s="814"/>
      <c r="CR37" s="814"/>
      <c r="CS37" s="814"/>
      <c r="CT37" s="814"/>
      <c r="CU37" s="814"/>
      <c r="CV37" s="814"/>
      <c r="CW37" s="814"/>
      <c r="CX37" s="814"/>
      <c r="CY37" s="814"/>
      <c r="CZ37" s="814"/>
      <c r="DA37" s="814"/>
      <c r="DB37" s="814"/>
      <c r="DC37" s="814"/>
      <c r="DD37" s="814"/>
      <c r="DE37" s="814"/>
      <c r="DF37" s="814"/>
      <c r="DG37" s="814"/>
      <c r="DH37" s="814"/>
      <c r="DI37" s="814"/>
      <c r="DJ37" s="814"/>
      <c r="DK37" s="814"/>
      <c r="DL37" s="814"/>
      <c r="DM37" s="814"/>
      <c r="DN37" s="814"/>
      <c r="DO37" s="814"/>
      <c r="DP37" s="814"/>
      <c r="DQ37" s="814"/>
      <c r="DR37" s="814"/>
      <c r="DS37" s="814"/>
      <c r="DT37" s="814"/>
      <c r="DU37" s="814"/>
      <c r="DV37" s="814"/>
      <c r="DW37" s="814"/>
      <c r="DX37" s="814"/>
      <c r="DY37" s="814"/>
      <c r="DZ37" s="814"/>
      <c r="EA37" s="814"/>
      <c r="EB37" s="814"/>
      <c r="EC37" s="814"/>
      <c r="ED37" s="814"/>
      <c r="EE37" s="814"/>
      <c r="EF37" s="814"/>
      <c r="EG37" s="814"/>
      <c r="EH37" s="814"/>
      <c r="EI37" s="814"/>
      <c r="EJ37" s="814"/>
      <c r="EK37" s="814"/>
      <c r="EL37" s="814"/>
      <c r="EM37" s="814"/>
      <c r="EN37" s="814"/>
      <c r="EO37" s="814"/>
      <c r="EP37" s="814"/>
      <c r="EQ37" s="814"/>
      <c r="ER37" s="814"/>
      <c r="ES37" s="814"/>
      <c r="ET37" s="814"/>
      <c r="EU37" s="814"/>
      <c r="EV37" s="814"/>
      <c r="EW37" s="814"/>
      <c r="EX37" s="814"/>
      <c r="EY37" s="814"/>
      <c r="EZ37" s="814"/>
      <c r="FA37" s="814"/>
      <c r="FB37" s="814"/>
      <c r="FC37" s="814"/>
      <c r="FD37" s="814"/>
      <c r="FE37" s="814"/>
      <c r="FF37" s="814"/>
      <c r="FG37" s="814"/>
      <c r="FH37" s="814"/>
      <c r="FI37" s="814"/>
      <c r="FJ37" s="814"/>
      <c r="FK37" s="814"/>
      <c r="FL37" s="814"/>
      <c r="FM37" s="814"/>
      <c r="FN37" s="814"/>
      <c r="FO37" s="814"/>
      <c r="FP37" s="814"/>
      <c r="FQ37" s="814"/>
      <c r="FR37" s="814"/>
      <c r="FS37" s="814"/>
      <c r="FT37" s="814"/>
      <c r="FU37" s="814"/>
      <c r="FV37" s="814"/>
      <c r="FW37" s="814"/>
      <c r="FX37" s="814"/>
      <c r="FY37" s="814"/>
      <c r="FZ37" s="814"/>
      <c r="GA37" s="814"/>
      <c r="GB37" s="814"/>
      <c r="GC37" s="814"/>
      <c r="GD37" s="814"/>
      <c r="GE37" s="814"/>
      <c r="GF37" s="814"/>
      <c r="GG37" s="814"/>
      <c r="GH37" s="814"/>
      <c r="GI37" s="814"/>
      <c r="GJ37" s="814"/>
      <c r="GK37" s="814"/>
      <c r="GL37" s="814"/>
      <c r="GM37" s="814"/>
      <c r="GN37" s="814"/>
      <c r="GO37" s="814"/>
      <c r="GP37" s="814"/>
      <c r="GQ37" s="814"/>
      <c r="GR37" s="814"/>
      <c r="GS37" s="814"/>
      <c r="GT37" s="814"/>
      <c r="GU37" s="814"/>
      <c r="GV37" s="814"/>
      <c r="GW37" s="814"/>
      <c r="GX37" s="814"/>
      <c r="GY37" s="814"/>
      <c r="GZ37" s="814"/>
      <c r="HA37" s="814"/>
      <c r="HB37" s="814"/>
      <c r="HC37" s="814"/>
      <c r="HD37" s="814"/>
      <c r="HE37" s="814"/>
      <c r="HF37" s="814"/>
      <c r="HG37" s="814"/>
      <c r="HH37" s="814"/>
      <c r="HI37" s="814"/>
      <c r="HJ37" s="814"/>
      <c r="HK37" s="814"/>
      <c r="HL37" s="814"/>
      <c r="HM37" s="814"/>
      <c r="HN37" s="814"/>
      <c r="HO37" s="814"/>
      <c r="HP37" s="814"/>
      <c r="HQ37" s="814"/>
      <c r="HR37" s="814"/>
      <c r="HS37" s="814"/>
      <c r="HT37" s="814"/>
      <c r="HU37" s="814"/>
      <c r="HV37" s="814"/>
      <c r="HW37" s="814"/>
      <c r="HX37" s="814"/>
      <c r="HY37" s="814"/>
      <c r="HZ37" s="814"/>
      <c r="IA37" s="814"/>
      <c r="IB37" s="814"/>
      <c r="IC37" s="814"/>
      <c r="ID37" s="814"/>
      <c r="IE37" s="814"/>
      <c r="IF37" s="814"/>
      <c r="IG37" s="814"/>
      <c r="IH37" s="814"/>
      <c r="II37" s="814"/>
      <c r="IJ37" s="814"/>
      <c r="IK37" s="814"/>
      <c r="IL37" s="814"/>
      <c r="IM37" s="814"/>
      <c r="IN37" s="814"/>
      <c r="IO37" s="814"/>
      <c r="IP37" s="814"/>
      <c r="IQ37" s="814"/>
      <c r="IR37" s="814"/>
      <c r="IS37" s="814"/>
      <c r="IT37" s="814"/>
      <c r="IU37" s="814"/>
      <c r="IV37" s="814"/>
      <c r="IW37" s="814"/>
      <c r="IX37" s="814"/>
      <c r="IY37" s="814"/>
      <c r="IZ37" s="814"/>
      <c r="JA37" s="814"/>
      <c r="JB37" s="814"/>
      <c r="JC37" s="814"/>
      <c r="JD37" s="814"/>
      <c r="JE37" s="814"/>
      <c r="JF37" s="814"/>
      <c r="JG37" s="814"/>
      <c r="JH37" s="814"/>
      <c r="JI37" s="814"/>
      <c r="JJ37" s="814"/>
      <c r="JK37" s="814"/>
      <c r="JL37" s="814"/>
      <c r="JM37" s="814"/>
      <c r="JN37" s="814"/>
      <c r="JO37" s="814"/>
      <c r="JP37" s="814"/>
      <c r="JQ37" s="814"/>
      <c r="JR37" s="814"/>
      <c r="JS37" s="814"/>
      <c r="JT37" s="814"/>
      <c r="JU37" s="814"/>
      <c r="JV37" s="814"/>
      <c r="JW37" s="814"/>
      <c r="JX37" s="814"/>
      <c r="JY37" s="814"/>
      <c r="JZ37" s="814"/>
      <c r="KA37" s="814"/>
      <c r="KB37" s="814"/>
      <c r="KC37" s="814"/>
      <c r="KD37" s="814"/>
      <c r="KE37" s="814"/>
      <c r="KF37" s="814"/>
      <c r="KG37" s="814"/>
      <c r="KH37" s="814"/>
      <c r="KI37" s="814"/>
      <c r="KJ37" s="814"/>
      <c r="KK37" s="814"/>
      <c r="KL37" s="814"/>
      <c r="KM37" s="814"/>
      <c r="KN37" s="814"/>
      <c r="KO37" s="814"/>
      <c r="KP37" s="814"/>
      <c r="KQ37" s="814"/>
      <c r="KR37" s="814"/>
      <c r="KS37" s="814"/>
      <c r="KT37" s="814"/>
      <c r="KU37" s="814"/>
      <c r="KV37" s="814"/>
      <c r="KW37" s="814"/>
      <c r="KX37" s="814"/>
      <c r="KY37" s="814"/>
      <c r="KZ37" s="814"/>
      <c r="LA37" s="814"/>
      <c r="LB37" s="814"/>
      <c r="LC37" s="814"/>
      <c r="LD37" s="814"/>
      <c r="LE37" s="814"/>
      <c r="LF37" s="814"/>
      <c r="LG37" s="814"/>
      <c r="LH37" s="814"/>
      <c r="LI37" s="814"/>
      <c r="LJ37" s="814"/>
      <c r="LK37" s="814"/>
      <c r="LL37" s="814"/>
      <c r="LM37" s="814"/>
      <c r="LN37" s="814"/>
      <c r="LO37" s="814"/>
      <c r="LP37" s="814"/>
      <c r="LQ37" s="814"/>
      <c r="LR37" s="814"/>
      <c r="LS37" s="814"/>
      <c r="LT37" s="814"/>
      <c r="LU37" s="814"/>
      <c r="LV37" s="814"/>
      <c r="LW37" s="814"/>
      <c r="LX37" s="814"/>
      <c r="LY37" s="814"/>
      <c r="LZ37" s="814"/>
      <c r="MA37" s="814"/>
      <c r="MB37" s="814"/>
      <c r="MC37" s="814"/>
      <c r="MD37" s="814"/>
      <c r="ME37" s="814"/>
      <c r="MF37" s="814"/>
      <c r="MG37" s="814"/>
      <c r="MH37" s="814"/>
      <c r="MI37" s="814"/>
      <c r="MJ37" s="814"/>
      <c r="MK37" s="814"/>
      <c r="ML37" s="814"/>
      <c r="MM37" s="814"/>
      <c r="MN37" s="814"/>
      <c r="MO37" s="814"/>
      <c r="MP37" s="814"/>
      <c r="MQ37" s="814"/>
      <c r="MR37" s="814"/>
      <c r="MS37" s="814"/>
      <c r="MT37" s="814"/>
      <c r="MU37" s="814"/>
      <c r="MV37" s="814"/>
      <c r="MW37" s="814"/>
      <c r="MX37" s="814"/>
      <c r="MY37" s="814"/>
      <c r="MZ37" s="814"/>
      <c r="NA37" s="814"/>
      <c r="NB37" s="814"/>
      <c r="NC37" s="814"/>
      <c r="ND37" s="814"/>
      <c r="NE37" s="814"/>
      <c r="NF37" s="814"/>
      <c r="NG37" s="814"/>
      <c r="NH37" s="814"/>
      <c r="NI37" s="814"/>
      <c r="NJ37" s="814"/>
      <c r="NK37" s="814"/>
      <c r="NL37" s="814"/>
      <c r="NM37" s="814"/>
      <c r="NN37" s="814"/>
      <c r="NO37" s="814"/>
      <c r="NP37" s="814"/>
      <c r="NQ37" s="814"/>
      <c r="NR37" s="814"/>
      <c r="NS37" s="814"/>
      <c r="NT37" s="814"/>
      <c r="NU37" s="814"/>
      <c r="NV37" s="814"/>
      <c r="NW37" s="814"/>
      <c r="NX37" s="814"/>
      <c r="NY37" s="814"/>
      <c r="NZ37" s="814"/>
      <c r="OA37" s="814"/>
      <c r="OB37" s="814"/>
      <c r="OC37" s="814"/>
      <c r="OD37" s="814"/>
      <c r="OE37" s="814"/>
      <c r="OF37" s="814"/>
      <c r="OG37" s="814"/>
      <c r="OH37" s="814"/>
      <c r="OI37" s="814"/>
      <c r="OJ37" s="814"/>
      <c r="OK37" s="814"/>
      <c r="OL37" s="814"/>
      <c r="OM37" s="814"/>
      <c r="ON37" s="814"/>
      <c r="OO37" s="814"/>
      <c r="OP37" s="814"/>
      <c r="OQ37" s="814"/>
      <c r="OR37" s="814"/>
      <c r="OS37" s="814"/>
      <c r="OT37" s="814"/>
      <c r="OU37" s="814"/>
      <c r="OV37" s="814"/>
      <c r="OW37" s="814"/>
      <c r="OX37" s="814"/>
      <c r="OY37" s="814"/>
      <c r="OZ37" s="814"/>
      <c r="PA37" s="814"/>
      <c r="PB37" s="814"/>
      <c r="PC37" s="814"/>
      <c r="PD37" s="814"/>
      <c r="PE37" s="814"/>
      <c r="PF37" s="814"/>
      <c r="PG37" s="814"/>
      <c r="PH37" s="814"/>
      <c r="PI37" s="814"/>
      <c r="PJ37" s="814"/>
      <c r="PK37" s="814"/>
      <c r="PL37" s="814"/>
      <c r="PM37" s="814"/>
      <c r="PN37" s="814"/>
      <c r="PO37" s="814"/>
      <c r="PP37" s="814"/>
      <c r="PQ37" s="814"/>
      <c r="PR37" s="814"/>
      <c r="PS37" s="814"/>
      <c r="PT37" s="814"/>
      <c r="PU37" s="814"/>
      <c r="PV37" s="814"/>
      <c r="PW37" s="814"/>
      <c r="PX37" s="814"/>
      <c r="PY37" s="814"/>
      <c r="PZ37" s="814"/>
      <c r="QA37" s="814"/>
      <c r="QB37" s="814"/>
      <c r="QC37" s="814"/>
      <c r="QD37" s="814"/>
      <c r="QE37" s="814"/>
      <c r="QF37" s="814"/>
      <c r="QG37" s="814"/>
      <c r="QH37" s="814"/>
      <c r="QI37" s="814"/>
      <c r="QJ37" s="814"/>
      <c r="QK37" s="814"/>
      <c r="QL37" s="814"/>
      <c r="QM37" s="814"/>
      <c r="QN37" s="814"/>
      <c r="QO37" s="814"/>
      <c r="QP37" s="814"/>
      <c r="QQ37" s="814"/>
      <c r="QR37" s="814"/>
      <c r="QS37" s="814"/>
      <c r="QT37" s="814"/>
      <c r="QU37" s="814"/>
      <c r="QV37" s="814"/>
      <c r="QW37" s="814"/>
      <c r="QX37" s="814"/>
      <c r="QY37" s="814"/>
      <c r="QZ37" s="814"/>
      <c r="RA37" s="814"/>
      <c r="RB37" s="814"/>
      <c r="RC37" s="814"/>
      <c r="RD37" s="814"/>
      <c r="RE37" s="814"/>
      <c r="RF37" s="814"/>
      <c r="RG37" s="814"/>
      <c r="RH37" s="814"/>
      <c r="RI37" s="814"/>
      <c r="RJ37" s="814"/>
      <c r="RK37" s="814"/>
      <c r="RL37" s="814"/>
      <c r="RM37" s="814"/>
      <c r="RN37" s="814"/>
      <c r="RO37" s="814"/>
      <c r="RP37" s="814"/>
      <c r="RQ37" s="814"/>
      <c r="RR37" s="814"/>
      <c r="RS37" s="814"/>
      <c r="RT37" s="814"/>
      <c r="RU37" s="814"/>
      <c r="RV37" s="814"/>
      <c r="RW37" s="814"/>
      <c r="RX37" s="814"/>
    </row>
    <row r="38" spans="1:492" s="169" customFormat="1">
      <c r="A38" s="814"/>
      <c r="B38" s="814"/>
      <c r="C38" s="814"/>
      <c r="D38" s="814"/>
      <c r="E38" s="814"/>
      <c r="F38" s="814"/>
      <c r="G38" s="814"/>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20"/>
      <c r="AN38" s="820"/>
      <c r="AO38" s="820"/>
      <c r="AP38" s="176"/>
      <c r="AQ38" s="804"/>
      <c r="AR38" s="804"/>
      <c r="AS38" s="804"/>
      <c r="AT38" s="804"/>
      <c r="AU38" s="804"/>
      <c r="AV38" s="804"/>
      <c r="AW38" s="820"/>
      <c r="AX38" s="820"/>
      <c r="AY38" s="820"/>
      <c r="AZ38" s="820"/>
      <c r="BA38" s="804"/>
      <c r="BB38" s="804"/>
      <c r="BC38" s="804"/>
      <c r="BD38" s="804"/>
      <c r="BE38" s="804"/>
      <c r="BF38" s="804"/>
      <c r="BG38" s="804"/>
      <c r="BH38" s="804"/>
      <c r="BI38" s="804"/>
      <c r="BJ38" s="804"/>
      <c r="BK38" s="804"/>
      <c r="BL38" s="804"/>
      <c r="BM38" s="804"/>
      <c r="BN38" s="804"/>
      <c r="BO38" s="804"/>
      <c r="BP38" s="804"/>
      <c r="BQ38" s="804"/>
      <c r="BR38" s="814"/>
      <c r="BS38" s="814"/>
      <c r="BT38" s="814"/>
      <c r="BU38" s="814"/>
      <c r="BV38" s="814"/>
      <c r="BW38" s="814"/>
      <c r="BX38" s="814"/>
      <c r="BY38" s="814"/>
      <c r="BZ38" s="814"/>
      <c r="CA38" s="814"/>
      <c r="CB38" s="814"/>
      <c r="CC38" s="814"/>
      <c r="CD38" s="814"/>
      <c r="CE38" s="814"/>
      <c r="CF38" s="814"/>
      <c r="CG38" s="814"/>
      <c r="CH38" s="814"/>
      <c r="CI38" s="814"/>
      <c r="CJ38" s="814"/>
      <c r="CK38" s="814"/>
      <c r="CL38" s="814"/>
      <c r="CM38" s="814"/>
      <c r="CN38" s="814"/>
      <c r="CO38" s="814"/>
      <c r="CP38" s="814"/>
      <c r="CQ38" s="814"/>
      <c r="CR38" s="814"/>
      <c r="CS38" s="814"/>
      <c r="CT38" s="814"/>
      <c r="CU38" s="814"/>
      <c r="CV38" s="814"/>
      <c r="CW38" s="814"/>
      <c r="CX38" s="814"/>
      <c r="CY38" s="814"/>
      <c r="CZ38" s="814"/>
      <c r="DA38" s="814"/>
      <c r="DB38" s="814"/>
      <c r="DC38" s="814"/>
      <c r="DD38" s="814"/>
      <c r="DE38" s="814"/>
      <c r="DF38" s="814"/>
      <c r="DG38" s="814"/>
      <c r="DH38" s="814"/>
      <c r="DI38" s="814"/>
      <c r="DJ38" s="814"/>
      <c r="DK38" s="814"/>
      <c r="DL38" s="814"/>
      <c r="DM38" s="814"/>
      <c r="DN38" s="814"/>
      <c r="DO38" s="814"/>
      <c r="DP38" s="814"/>
      <c r="DQ38" s="814"/>
      <c r="DR38" s="814"/>
      <c r="DS38" s="814"/>
      <c r="DT38" s="814"/>
      <c r="DU38" s="814"/>
      <c r="DV38" s="814"/>
      <c r="DW38" s="814"/>
      <c r="DX38" s="814"/>
      <c r="DY38" s="814"/>
      <c r="DZ38" s="814"/>
      <c r="EA38" s="814"/>
      <c r="EB38" s="814"/>
      <c r="EC38" s="814"/>
      <c r="ED38" s="814"/>
      <c r="EE38" s="814"/>
      <c r="EF38" s="814"/>
      <c r="EG38" s="814"/>
      <c r="EH38" s="814"/>
      <c r="EI38" s="814"/>
      <c r="EJ38" s="814"/>
      <c r="EK38" s="814"/>
      <c r="EL38" s="814"/>
      <c r="EM38" s="814"/>
      <c r="EN38" s="814"/>
      <c r="EO38" s="814"/>
      <c r="EP38" s="814"/>
      <c r="EQ38" s="814"/>
      <c r="ER38" s="814"/>
      <c r="ES38" s="814"/>
      <c r="ET38" s="814"/>
      <c r="EU38" s="814"/>
      <c r="EV38" s="814"/>
      <c r="EW38" s="814"/>
      <c r="EX38" s="814"/>
      <c r="EY38" s="814"/>
      <c r="EZ38" s="814"/>
      <c r="FA38" s="814"/>
      <c r="FB38" s="814"/>
      <c r="FC38" s="814"/>
      <c r="FD38" s="814"/>
      <c r="FE38" s="814"/>
      <c r="FF38" s="814"/>
      <c r="FG38" s="814"/>
      <c r="FH38" s="814"/>
      <c r="FI38" s="814"/>
      <c r="FJ38" s="814"/>
      <c r="FK38" s="814"/>
      <c r="FL38" s="814"/>
      <c r="FM38" s="814"/>
      <c r="FN38" s="814"/>
      <c r="FO38" s="814"/>
      <c r="FP38" s="814"/>
      <c r="FQ38" s="814"/>
      <c r="FR38" s="814"/>
      <c r="FS38" s="814"/>
      <c r="FT38" s="814"/>
      <c r="FU38" s="814"/>
      <c r="FV38" s="814"/>
      <c r="FW38" s="814"/>
      <c r="FX38" s="814"/>
      <c r="FY38" s="814"/>
      <c r="FZ38" s="814"/>
      <c r="GA38" s="814"/>
      <c r="GB38" s="814"/>
      <c r="GC38" s="814"/>
      <c r="GD38" s="814"/>
      <c r="GE38" s="814"/>
      <c r="GF38" s="814"/>
      <c r="GG38" s="814"/>
      <c r="GH38" s="814"/>
      <c r="GI38" s="814"/>
      <c r="GJ38" s="814"/>
      <c r="GK38" s="814"/>
      <c r="GL38" s="814"/>
      <c r="GM38" s="814"/>
      <c r="GN38" s="814"/>
      <c r="GO38" s="814"/>
      <c r="GP38" s="814"/>
      <c r="GQ38" s="814"/>
      <c r="GR38" s="814"/>
      <c r="GS38" s="814"/>
      <c r="GT38" s="814"/>
      <c r="GU38" s="814"/>
      <c r="GV38" s="814"/>
      <c r="GW38" s="814"/>
      <c r="GX38" s="814"/>
      <c r="GY38" s="814"/>
      <c r="GZ38" s="814"/>
      <c r="HA38" s="814"/>
      <c r="HB38" s="814"/>
      <c r="HC38" s="814"/>
      <c r="HD38" s="814"/>
      <c r="HE38" s="814"/>
      <c r="HF38" s="814"/>
      <c r="HG38" s="814"/>
      <c r="HH38" s="814"/>
      <c r="HI38" s="814"/>
      <c r="HJ38" s="814"/>
      <c r="HK38" s="814"/>
      <c r="HL38" s="814"/>
      <c r="HM38" s="814"/>
      <c r="HN38" s="814"/>
      <c r="HO38" s="814"/>
      <c r="HP38" s="814"/>
      <c r="HQ38" s="814"/>
      <c r="HR38" s="814"/>
      <c r="HS38" s="814"/>
      <c r="HT38" s="814"/>
      <c r="HU38" s="814"/>
      <c r="HV38" s="814"/>
      <c r="HW38" s="814"/>
      <c r="HX38" s="814"/>
      <c r="HY38" s="814"/>
      <c r="HZ38" s="814"/>
      <c r="IA38" s="814"/>
      <c r="IB38" s="814"/>
      <c r="IC38" s="814"/>
      <c r="ID38" s="814"/>
      <c r="IE38" s="814"/>
      <c r="IF38" s="814"/>
      <c r="IG38" s="814"/>
      <c r="IH38" s="814"/>
      <c r="II38" s="814"/>
      <c r="IJ38" s="814"/>
      <c r="IK38" s="814"/>
      <c r="IL38" s="814"/>
      <c r="IM38" s="814"/>
      <c r="IN38" s="814"/>
      <c r="IO38" s="814"/>
      <c r="IP38" s="814"/>
      <c r="IQ38" s="814"/>
      <c r="IR38" s="814"/>
      <c r="IS38" s="814"/>
      <c r="IT38" s="814"/>
      <c r="IU38" s="814"/>
      <c r="IV38" s="814"/>
      <c r="IW38" s="814"/>
      <c r="IX38" s="814"/>
      <c r="IY38" s="814"/>
      <c r="IZ38" s="814"/>
      <c r="JA38" s="814"/>
      <c r="JB38" s="814"/>
      <c r="JC38" s="814"/>
      <c r="JD38" s="814"/>
      <c r="JE38" s="814"/>
      <c r="JF38" s="814"/>
      <c r="JG38" s="814"/>
      <c r="JH38" s="814"/>
      <c r="JI38" s="814"/>
      <c r="JJ38" s="814"/>
      <c r="JK38" s="814"/>
      <c r="JL38" s="814"/>
      <c r="JM38" s="814"/>
      <c r="JN38" s="814"/>
      <c r="JO38" s="814"/>
      <c r="JP38" s="814"/>
      <c r="JQ38" s="814"/>
      <c r="JR38" s="814"/>
      <c r="JS38" s="814"/>
      <c r="JT38" s="814"/>
      <c r="JU38" s="814"/>
      <c r="JV38" s="814"/>
      <c r="JW38" s="814"/>
      <c r="JX38" s="814"/>
      <c r="JY38" s="814"/>
      <c r="JZ38" s="814"/>
      <c r="KA38" s="814"/>
      <c r="KB38" s="814"/>
      <c r="KC38" s="814"/>
      <c r="KD38" s="814"/>
      <c r="KE38" s="814"/>
      <c r="KF38" s="814"/>
      <c r="KG38" s="814"/>
      <c r="KH38" s="814"/>
      <c r="KI38" s="814"/>
      <c r="KJ38" s="814"/>
      <c r="KK38" s="814"/>
      <c r="KL38" s="814"/>
      <c r="KM38" s="814"/>
      <c r="KN38" s="814"/>
      <c r="KO38" s="814"/>
      <c r="KP38" s="814"/>
      <c r="KQ38" s="814"/>
      <c r="KR38" s="814"/>
      <c r="KS38" s="814"/>
      <c r="KT38" s="814"/>
      <c r="KU38" s="814"/>
      <c r="KV38" s="814"/>
      <c r="KW38" s="814"/>
      <c r="KX38" s="814"/>
      <c r="KY38" s="814"/>
      <c r="KZ38" s="814"/>
      <c r="LA38" s="814"/>
      <c r="LB38" s="814"/>
      <c r="LC38" s="814"/>
      <c r="LD38" s="814"/>
      <c r="LE38" s="814"/>
      <c r="LF38" s="814"/>
      <c r="LG38" s="814"/>
      <c r="LH38" s="814"/>
      <c r="LI38" s="814"/>
      <c r="LJ38" s="814"/>
      <c r="LK38" s="814"/>
      <c r="LL38" s="814"/>
      <c r="LM38" s="814"/>
      <c r="LN38" s="814"/>
      <c r="LO38" s="814"/>
      <c r="LP38" s="814"/>
      <c r="LQ38" s="814"/>
      <c r="LR38" s="814"/>
      <c r="LS38" s="814"/>
      <c r="LT38" s="814"/>
      <c r="LU38" s="814"/>
      <c r="LV38" s="814"/>
      <c r="LW38" s="814"/>
      <c r="LX38" s="814"/>
      <c r="LY38" s="814"/>
      <c r="LZ38" s="814"/>
      <c r="MA38" s="814"/>
      <c r="MB38" s="814"/>
      <c r="MC38" s="814"/>
      <c r="MD38" s="814"/>
      <c r="ME38" s="814"/>
      <c r="MF38" s="814"/>
      <c r="MG38" s="814"/>
      <c r="MH38" s="814"/>
      <c r="MI38" s="814"/>
      <c r="MJ38" s="814"/>
      <c r="MK38" s="814"/>
      <c r="ML38" s="814"/>
      <c r="MM38" s="814"/>
      <c r="MN38" s="814"/>
      <c r="MO38" s="814"/>
      <c r="MP38" s="814"/>
      <c r="MQ38" s="814"/>
      <c r="MR38" s="814"/>
      <c r="MS38" s="814"/>
      <c r="MT38" s="814"/>
      <c r="MU38" s="814"/>
      <c r="MV38" s="814"/>
      <c r="MW38" s="814"/>
      <c r="MX38" s="814"/>
      <c r="MY38" s="814"/>
      <c r="MZ38" s="814"/>
      <c r="NA38" s="814"/>
      <c r="NB38" s="814"/>
      <c r="NC38" s="814"/>
      <c r="ND38" s="814"/>
      <c r="NE38" s="814"/>
      <c r="NF38" s="814"/>
      <c r="NG38" s="814"/>
      <c r="NH38" s="814"/>
      <c r="NI38" s="814"/>
      <c r="NJ38" s="814"/>
      <c r="NK38" s="814"/>
      <c r="NL38" s="814"/>
      <c r="NM38" s="814"/>
      <c r="NN38" s="814"/>
      <c r="NO38" s="814"/>
      <c r="NP38" s="814"/>
      <c r="NQ38" s="814"/>
      <c r="NR38" s="814"/>
      <c r="NS38" s="814"/>
      <c r="NT38" s="814"/>
      <c r="NU38" s="814"/>
      <c r="NV38" s="814"/>
      <c r="NW38" s="814"/>
      <c r="NX38" s="814"/>
      <c r="NY38" s="814"/>
      <c r="NZ38" s="814"/>
      <c r="OA38" s="814"/>
      <c r="OB38" s="814"/>
      <c r="OC38" s="814"/>
      <c r="OD38" s="814"/>
      <c r="OE38" s="814"/>
      <c r="OF38" s="814"/>
      <c r="OG38" s="814"/>
      <c r="OH38" s="814"/>
      <c r="OI38" s="814"/>
      <c r="OJ38" s="814"/>
      <c r="OK38" s="814"/>
      <c r="OL38" s="814"/>
      <c r="OM38" s="814"/>
      <c r="ON38" s="814"/>
      <c r="OO38" s="814"/>
      <c r="OP38" s="814"/>
      <c r="OQ38" s="814"/>
      <c r="OR38" s="814"/>
      <c r="OS38" s="814"/>
      <c r="OT38" s="814"/>
      <c r="OU38" s="814"/>
      <c r="OV38" s="814"/>
      <c r="OW38" s="814"/>
      <c r="OX38" s="814"/>
      <c r="OY38" s="814"/>
      <c r="OZ38" s="814"/>
      <c r="PA38" s="814"/>
      <c r="PB38" s="814"/>
      <c r="PC38" s="814"/>
      <c r="PD38" s="814"/>
      <c r="PE38" s="814"/>
      <c r="PF38" s="814"/>
      <c r="PG38" s="814"/>
      <c r="PH38" s="814"/>
      <c r="PI38" s="814"/>
      <c r="PJ38" s="814"/>
      <c r="PK38" s="814"/>
      <c r="PL38" s="814"/>
      <c r="PM38" s="814"/>
      <c r="PN38" s="814"/>
      <c r="PO38" s="814"/>
      <c r="PP38" s="814"/>
      <c r="PQ38" s="814"/>
      <c r="PR38" s="814"/>
      <c r="PS38" s="814"/>
      <c r="PT38" s="814"/>
      <c r="PU38" s="814"/>
      <c r="PV38" s="814"/>
      <c r="PW38" s="814"/>
      <c r="PX38" s="814"/>
      <c r="PY38" s="814"/>
      <c r="PZ38" s="814"/>
      <c r="QA38" s="814"/>
      <c r="QB38" s="814"/>
      <c r="QC38" s="814"/>
      <c r="QD38" s="814"/>
      <c r="QE38" s="814"/>
      <c r="QF38" s="814"/>
      <c r="QG38" s="814"/>
      <c r="QH38" s="814"/>
      <c r="QI38" s="814"/>
      <c r="QJ38" s="814"/>
      <c r="QK38" s="814"/>
      <c r="QL38" s="814"/>
      <c r="QM38" s="814"/>
      <c r="QN38" s="814"/>
      <c r="QO38" s="814"/>
      <c r="QP38" s="814"/>
      <c r="QQ38" s="814"/>
      <c r="QR38" s="814"/>
      <c r="QS38" s="814"/>
      <c r="QT38" s="814"/>
      <c r="QU38" s="814"/>
      <c r="QV38" s="814"/>
      <c r="QW38" s="814"/>
      <c r="QX38" s="814"/>
      <c r="QY38" s="814"/>
      <c r="QZ38" s="814"/>
      <c r="RA38" s="814"/>
      <c r="RB38" s="814"/>
      <c r="RC38" s="814"/>
      <c r="RD38" s="814"/>
      <c r="RE38" s="814"/>
      <c r="RF38" s="814"/>
      <c r="RG38" s="814"/>
      <c r="RH38" s="814"/>
      <c r="RI38" s="814"/>
      <c r="RJ38" s="814"/>
      <c r="RK38" s="814"/>
      <c r="RL38" s="814"/>
      <c r="RM38" s="814"/>
      <c r="RN38" s="814"/>
      <c r="RO38" s="814"/>
      <c r="RP38" s="814"/>
      <c r="RQ38" s="814"/>
      <c r="RR38" s="814"/>
      <c r="RS38" s="814"/>
      <c r="RT38" s="814"/>
      <c r="RU38" s="814"/>
      <c r="RV38" s="814"/>
      <c r="RW38" s="814"/>
      <c r="RX38" s="814"/>
    </row>
    <row r="39" spans="1:492" s="169" customFormat="1">
      <c r="A39" s="814"/>
      <c r="B39" s="814"/>
      <c r="C39" s="814"/>
      <c r="D39" s="814"/>
      <c r="E39" s="814"/>
      <c r="F39" s="814"/>
      <c r="G39" s="814"/>
      <c r="H39" s="814"/>
      <c r="I39" s="814"/>
      <c r="J39" s="814"/>
      <c r="K39" s="814"/>
      <c r="L39" s="814"/>
      <c r="M39" s="814"/>
      <c r="N39" s="814"/>
      <c r="O39" s="814"/>
      <c r="P39" s="814"/>
      <c r="Q39" s="814"/>
      <c r="R39" s="814"/>
      <c r="S39" s="814"/>
      <c r="T39" s="814"/>
      <c r="U39" s="814"/>
      <c r="V39" s="814"/>
      <c r="W39" s="814"/>
      <c r="X39" s="814"/>
      <c r="Y39" s="814"/>
      <c r="Z39" s="814"/>
      <c r="AA39" s="814"/>
      <c r="AB39" s="814"/>
      <c r="AC39" s="814"/>
      <c r="AD39" s="814"/>
      <c r="AE39" s="814"/>
      <c r="AF39" s="814"/>
      <c r="AG39" s="814"/>
      <c r="AH39" s="814"/>
      <c r="AI39" s="814"/>
      <c r="AJ39" s="814"/>
      <c r="AK39" s="814"/>
      <c r="AL39" s="814"/>
      <c r="AM39" s="820"/>
      <c r="AN39" s="820"/>
      <c r="AO39" s="820"/>
      <c r="AP39" s="176"/>
      <c r="AQ39" s="804"/>
      <c r="AR39" s="804"/>
      <c r="AS39" s="804"/>
      <c r="AT39" s="804"/>
      <c r="AU39" s="804"/>
      <c r="AV39" s="804"/>
      <c r="AW39" s="820"/>
      <c r="AX39" s="820"/>
      <c r="AY39" s="820"/>
      <c r="AZ39" s="177"/>
      <c r="BA39" s="804"/>
      <c r="BB39" s="804"/>
      <c r="BC39" s="804"/>
      <c r="BD39" s="804"/>
      <c r="BE39" s="804"/>
      <c r="BF39" s="804"/>
      <c r="BG39" s="804"/>
      <c r="BH39" s="804"/>
      <c r="BI39" s="804"/>
      <c r="BJ39" s="804"/>
      <c r="BK39" s="804"/>
      <c r="BL39" s="804"/>
      <c r="BM39" s="804"/>
      <c r="BN39" s="804"/>
      <c r="BO39" s="804"/>
      <c r="BP39" s="804"/>
      <c r="BQ39" s="804"/>
      <c r="BR39" s="814"/>
      <c r="BS39" s="814"/>
      <c r="BT39" s="814"/>
      <c r="BU39" s="814"/>
      <c r="BV39" s="814"/>
      <c r="BW39" s="814"/>
      <c r="BX39" s="814"/>
      <c r="BY39" s="814"/>
      <c r="BZ39" s="814"/>
      <c r="CA39" s="814"/>
      <c r="CB39" s="814"/>
      <c r="CC39" s="814"/>
      <c r="CD39" s="814"/>
      <c r="CE39" s="814"/>
      <c r="CF39" s="814"/>
      <c r="CG39" s="814"/>
      <c r="CH39" s="814"/>
      <c r="CI39" s="814"/>
      <c r="CJ39" s="814"/>
      <c r="CK39" s="814"/>
      <c r="CL39" s="814"/>
      <c r="CM39" s="814"/>
      <c r="CN39" s="814"/>
      <c r="CO39" s="814"/>
      <c r="CP39" s="814"/>
      <c r="CQ39" s="814"/>
      <c r="CR39" s="814"/>
      <c r="CS39" s="814"/>
      <c r="CT39" s="814"/>
      <c r="CU39" s="814"/>
      <c r="CV39" s="814"/>
      <c r="CW39" s="814"/>
      <c r="CX39" s="814"/>
      <c r="CY39" s="814"/>
      <c r="CZ39" s="814"/>
      <c r="DA39" s="814"/>
      <c r="DB39" s="814"/>
      <c r="DC39" s="814"/>
      <c r="DD39" s="814"/>
      <c r="DE39" s="814"/>
      <c r="DF39" s="814"/>
      <c r="DG39" s="814"/>
      <c r="DH39" s="814"/>
      <c r="DI39" s="814"/>
      <c r="DJ39" s="814"/>
      <c r="DK39" s="814"/>
      <c r="DL39" s="814"/>
      <c r="DM39" s="814"/>
      <c r="DN39" s="814"/>
      <c r="DO39" s="814"/>
      <c r="DP39" s="814"/>
      <c r="DQ39" s="814"/>
      <c r="DR39" s="814"/>
      <c r="DS39" s="814"/>
      <c r="DT39" s="814"/>
      <c r="DU39" s="814"/>
      <c r="DV39" s="814"/>
      <c r="DW39" s="814"/>
      <c r="DX39" s="814"/>
      <c r="DY39" s="814"/>
      <c r="DZ39" s="814"/>
      <c r="EA39" s="814"/>
      <c r="EB39" s="814"/>
      <c r="EC39" s="814"/>
      <c r="ED39" s="814"/>
      <c r="EE39" s="814"/>
      <c r="EF39" s="814"/>
      <c r="EG39" s="814"/>
      <c r="EH39" s="814"/>
      <c r="EI39" s="814"/>
      <c r="EJ39" s="814"/>
      <c r="EK39" s="814"/>
      <c r="EL39" s="814"/>
      <c r="EM39" s="814"/>
      <c r="EN39" s="814"/>
      <c r="EO39" s="814"/>
      <c r="EP39" s="814"/>
      <c r="EQ39" s="814"/>
      <c r="ER39" s="814"/>
      <c r="ES39" s="814"/>
      <c r="ET39" s="814"/>
      <c r="EU39" s="814"/>
      <c r="EV39" s="814"/>
      <c r="EW39" s="814"/>
      <c r="EX39" s="814"/>
      <c r="EY39" s="814"/>
      <c r="EZ39" s="814"/>
      <c r="FA39" s="814"/>
      <c r="FB39" s="814"/>
      <c r="FC39" s="814"/>
      <c r="FD39" s="814"/>
      <c r="FE39" s="814"/>
      <c r="FF39" s="814"/>
      <c r="FG39" s="814"/>
      <c r="FH39" s="814"/>
      <c r="FI39" s="814"/>
      <c r="FJ39" s="814"/>
      <c r="FK39" s="814"/>
      <c r="FL39" s="814"/>
      <c r="FM39" s="814"/>
      <c r="FN39" s="814"/>
      <c r="FO39" s="814"/>
      <c r="FP39" s="814"/>
      <c r="FQ39" s="814"/>
      <c r="FR39" s="814"/>
      <c r="FS39" s="814"/>
      <c r="FT39" s="814"/>
      <c r="FU39" s="814"/>
      <c r="FV39" s="814"/>
      <c r="FW39" s="814"/>
      <c r="FX39" s="814"/>
      <c r="FY39" s="814"/>
      <c r="FZ39" s="814"/>
      <c r="GA39" s="814"/>
      <c r="GB39" s="814"/>
      <c r="GC39" s="814"/>
      <c r="GD39" s="814"/>
      <c r="GE39" s="814"/>
      <c r="GF39" s="814"/>
      <c r="GG39" s="814"/>
      <c r="GH39" s="814"/>
      <c r="GI39" s="814"/>
      <c r="GJ39" s="814"/>
      <c r="GK39" s="814"/>
      <c r="GL39" s="814"/>
      <c r="GM39" s="814"/>
      <c r="GN39" s="814"/>
      <c r="GO39" s="814"/>
      <c r="GP39" s="814"/>
      <c r="GQ39" s="814"/>
      <c r="GR39" s="814"/>
      <c r="GS39" s="814"/>
      <c r="GT39" s="814"/>
      <c r="GU39" s="814"/>
      <c r="GV39" s="814"/>
      <c r="GW39" s="814"/>
      <c r="GX39" s="814"/>
      <c r="GY39" s="814"/>
      <c r="GZ39" s="814"/>
      <c r="HA39" s="814"/>
      <c r="HB39" s="814"/>
      <c r="HC39" s="814"/>
      <c r="HD39" s="814"/>
      <c r="HE39" s="814"/>
      <c r="HF39" s="814"/>
      <c r="HG39" s="814"/>
      <c r="HH39" s="814"/>
      <c r="HI39" s="814"/>
      <c r="HJ39" s="814"/>
      <c r="HK39" s="814"/>
      <c r="HL39" s="814"/>
      <c r="HM39" s="814"/>
      <c r="HN39" s="814"/>
      <c r="HO39" s="814"/>
      <c r="HP39" s="814"/>
      <c r="HQ39" s="814"/>
      <c r="HR39" s="814"/>
      <c r="HS39" s="814"/>
      <c r="HT39" s="814"/>
      <c r="HU39" s="814"/>
      <c r="HV39" s="814"/>
      <c r="HW39" s="814"/>
      <c r="HX39" s="814"/>
      <c r="HY39" s="814"/>
      <c r="HZ39" s="814"/>
      <c r="IA39" s="814"/>
      <c r="IB39" s="814"/>
      <c r="IC39" s="814"/>
      <c r="ID39" s="814"/>
      <c r="IE39" s="814"/>
      <c r="IF39" s="814"/>
      <c r="IG39" s="814"/>
      <c r="IH39" s="814"/>
      <c r="II39" s="814"/>
      <c r="IJ39" s="814"/>
      <c r="IK39" s="814"/>
      <c r="IL39" s="814"/>
      <c r="IM39" s="814"/>
      <c r="IN39" s="814"/>
      <c r="IO39" s="814"/>
      <c r="IP39" s="814"/>
      <c r="IQ39" s="814"/>
      <c r="IR39" s="814"/>
      <c r="IS39" s="814"/>
      <c r="IT39" s="814"/>
      <c r="IU39" s="814"/>
      <c r="IV39" s="814"/>
      <c r="IW39" s="814"/>
      <c r="IX39" s="814"/>
      <c r="IY39" s="814"/>
      <c r="IZ39" s="814"/>
      <c r="JA39" s="814"/>
      <c r="JB39" s="814"/>
      <c r="JC39" s="814"/>
      <c r="JD39" s="814"/>
      <c r="JE39" s="814"/>
      <c r="JF39" s="814"/>
      <c r="JG39" s="814"/>
      <c r="JH39" s="814"/>
      <c r="JI39" s="814"/>
      <c r="JJ39" s="814"/>
      <c r="JK39" s="814"/>
      <c r="JL39" s="814"/>
      <c r="JM39" s="814"/>
      <c r="JN39" s="814"/>
      <c r="JO39" s="814"/>
      <c r="JP39" s="814"/>
      <c r="JQ39" s="814"/>
      <c r="JR39" s="814"/>
      <c r="JS39" s="814"/>
      <c r="JT39" s="814"/>
      <c r="JU39" s="814"/>
      <c r="JV39" s="814"/>
      <c r="JW39" s="814"/>
      <c r="JX39" s="814"/>
      <c r="JY39" s="814"/>
      <c r="JZ39" s="814"/>
      <c r="KA39" s="814"/>
      <c r="KB39" s="814"/>
      <c r="KC39" s="814"/>
      <c r="KD39" s="814"/>
      <c r="KE39" s="814"/>
      <c r="KF39" s="814"/>
      <c r="KG39" s="814"/>
      <c r="KH39" s="814"/>
      <c r="KI39" s="814"/>
      <c r="KJ39" s="814"/>
      <c r="KK39" s="814"/>
      <c r="KL39" s="814"/>
      <c r="KM39" s="814"/>
      <c r="KN39" s="814"/>
      <c r="KO39" s="814"/>
      <c r="KP39" s="814"/>
      <c r="KQ39" s="814"/>
      <c r="KR39" s="814"/>
      <c r="KS39" s="814"/>
      <c r="KT39" s="814"/>
      <c r="KU39" s="814"/>
      <c r="KV39" s="814"/>
      <c r="KW39" s="814"/>
      <c r="KX39" s="814"/>
      <c r="KY39" s="814"/>
      <c r="KZ39" s="814"/>
      <c r="LA39" s="814"/>
      <c r="LB39" s="814"/>
      <c r="LC39" s="814"/>
      <c r="LD39" s="814"/>
      <c r="LE39" s="814"/>
      <c r="LF39" s="814"/>
      <c r="LG39" s="814"/>
      <c r="LH39" s="814"/>
      <c r="LI39" s="814"/>
      <c r="LJ39" s="814"/>
      <c r="LK39" s="814"/>
      <c r="LL39" s="814"/>
      <c r="LM39" s="814"/>
      <c r="LN39" s="814"/>
      <c r="LO39" s="814"/>
      <c r="LP39" s="814"/>
      <c r="LQ39" s="814"/>
      <c r="LR39" s="814"/>
      <c r="LS39" s="814"/>
      <c r="LT39" s="814"/>
      <c r="LU39" s="814"/>
      <c r="LV39" s="814"/>
      <c r="LW39" s="814"/>
      <c r="LX39" s="814"/>
      <c r="LY39" s="814"/>
      <c r="LZ39" s="814"/>
      <c r="MA39" s="814"/>
      <c r="MB39" s="814"/>
      <c r="MC39" s="814"/>
      <c r="MD39" s="814"/>
      <c r="ME39" s="814"/>
      <c r="MF39" s="814"/>
      <c r="MG39" s="814"/>
      <c r="MH39" s="814"/>
      <c r="MI39" s="814"/>
      <c r="MJ39" s="814"/>
      <c r="MK39" s="814"/>
      <c r="ML39" s="814"/>
      <c r="MM39" s="814"/>
      <c r="MN39" s="814"/>
      <c r="MO39" s="814"/>
      <c r="MP39" s="814"/>
      <c r="MQ39" s="814"/>
      <c r="MR39" s="814"/>
      <c r="MS39" s="814"/>
      <c r="MT39" s="814"/>
      <c r="MU39" s="814"/>
      <c r="MV39" s="814"/>
      <c r="MW39" s="814"/>
      <c r="MX39" s="814"/>
      <c r="MY39" s="814"/>
      <c r="MZ39" s="814"/>
      <c r="NA39" s="814"/>
      <c r="NB39" s="814"/>
      <c r="NC39" s="814"/>
      <c r="ND39" s="814"/>
      <c r="NE39" s="814"/>
      <c r="NF39" s="814"/>
      <c r="NG39" s="814"/>
      <c r="NH39" s="814"/>
      <c r="NI39" s="814"/>
      <c r="NJ39" s="814"/>
      <c r="NK39" s="814"/>
      <c r="NL39" s="814"/>
      <c r="NM39" s="814"/>
      <c r="NN39" s="814"/>
      <c r="NO39" s="814"/>
      <c r="NP39" s="814"/>
      <c r="NQ39" s="814"/>
      <c r="NR39" s="814"/>
      <c r="NS39" s="814"/>
      <c r="NT39" s="814"/>
      <c r="NU39" s="814"/>
      <c r="NV39" s="814"/>
      <c r="NW39" s="814"/>
      <c r="NX39" s="814"/>
      <c r="NY39" s="814"/>
      <c r="NZ39" s="814"/>
      <c r="OA39" s="814"/>
      <c r="OB39" s="814"/>
      <c r="OC39" s="814"/>
      <c r="OD39" s="814"/>
      <c r="OE39" s="814"/>
      <c r="OF39" s="814"/>
      <c r="OG39" s="814"/>
      <c r="OH39" s="814"/>
      <c r="OI39" s="814"/>
      <c r="OJ39" s="814"/>
      <c r="OK39" s="814"/>
      <c r="OL39" s="814"/>
      <c r="OM39" s="814"/>
      <c r="ON39" s="814"/>
      <c r="OO39" s="814"/>
      <c r="OP39" s="814"/>
      <c r="OQ39" s="814"/>
      <c r="OR39" s="814"/>
      <c r="OS39" s="814"/>
      <c r="OT39" s="814"/>
      <c r="OU39" s="814"/>
      <c r="OV39" s="814"/>
      <c r="OW39" s="814"/>
      <c r="OX39" s="814"/>
      <c r="OY39" s="814"/>
      <c r="OZ39" s="814"/>
      <c r="PA39" s="814"/>
      <c r="PB39" s="814"/>
      <c r="PC39" s="814"/>
      <c r="PD39" s="814"/>
      <c r="PE39" s="814"/>
      <c r="PF39" s="814"/>
      <c r="PG39" s="814"/>
      <c r="PH39" s="814"/>
      <c r="PI39" s="814"/>
      <c r="PJ39" s="814"/>
      <c r="PK39" s="814"/>
      <c r="PL39" s="814"/>
      <c r="PM39" s="814"/>
      <c r="PN39" s="814"/>
      <c r="PO39" s="814"/>
      <c r="PP39" s="814"/>
      <c r="PQ39" s="814"/>
      <c r="PR39" s="814"/>
      <c r="PS39" s="814"/>
      <c r="PT39" s="814"/>
      <c r="PU39" s="814"/>
      <c r="PV39" s="814"/>
      <c r="PW39" s="814"/>
      <c r="PX39" s="814"/>
      <c r="PY39" s="814"/>
      <c r="PZ39" s="814"/>
      <c r="QA39" s="814"/>
      <c r="QB39" s="814"/>
      <c r="QC39" s="814"/>
      <c r="QD39" s="814"/>
      <c r="QE39" s="814"/>
      <c r="QF39" s="814"/>
      <c r="QG39" s="814"/>
      <c r="QH39" s="814"/>
      <c r="QI39" s="814"/>
      <c r="QJ39" s="814"/>
      <c r="QK39" s="814"/>
      <c r="QL39" s="814"/>
      <c r="QM39" s="814"/>
      <c r="QN39" s="814"/>
      <c r="QO39" s="814"/>
      <c r="QP39" s="814"/>
      <c r="QQ39" s="814"/>
      <c r="QR39" s="814"/>
      <c r="QS39" s="814"/>
      <c r="QT39" s="814"/>
      <c r="QU39" s="814"/>
      <c r="QV39" s="814"/>
      <c r="QW39" s="814"/>
      <c r="QX39" s="814"/>
      <c r="QY39" s="814"/>
      <c r="QZ39" s="814"/>
      <c r="RA39" s="814"/>
      <c r="RB39" s="814"/>
      <c r="RC39" s="814"/>
      <c r="RD39" s="814"/>
      <c r="RE39" s="814"/>
      <c r="RF39" s="814"/>
      <c r="RG39" s="814"/>
      <c r="RH39" s="814"/>
      <c r="RI39" s="814"/>
      <c r="RJ39" s="814"/>
      <c r="RK39" s="814"/>
      <c r="RL39" s="814"/>
      <c r="RM39" s="814"/>
      <c r="RN39" s="814"/>
      <c r="RO39" s="814"/>
      <c r="RP39" s="814"/>
      <c r="RQ39" s="814"/>
      <c r="RR39" s="814"/>
      <c r="RS39" s="814"/>
      <c r="RT39" s="814"/>
      <c r="RU39" s="814"/>
      <c r="RV39" s="814"/>
      <c r="RW39" s="814"/>
      <c r="RX39" s="814"/>
    </row>
    <row r="40" spans="1:492" s="169" customFormat="1">
      <c r="A40" s="814"/>
      <c r="B40" s="814"/>
      <c r="C40" s="814"/>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4"/>
      <c r="AL40" s="814"/>
      <c r="AM40" s="820"/>
      <c r="AN40" s="820"/>
      <c r="AO40" s="820"/>
      <c r="AP40" s="176"/>
      <c r="AQ40" s="804"/>
      <c r="AR40" s="804"/>
      <c r="AS40" s="804"/>
      <c r="AT40" s="804"/>
      <c r="AU40" s="804"/>
      <c r="AV40" s="804"/>
      <c r="AW40" s="820"/>
      <c r="AX40" s="820"/>
      <c r="AY40" s="820"/>
      <c r="AZ40" s="177"/>
      <c r="BA40" s="804"/>
      <c r="BB40" s="820"/>
      <c r="BC40" s="820"/>
      <c r="BD40" s="178"/>
      <c r="BE40" s="178"/>
      <c r="BF40" s="804"/>
      <c r="BG40" s="820"/>
      <c r="BH40" s="820"/>
      <c r="BI40" s="178"/>
      <c r="BJ40" s="178"/>
      <c r="BK40" s="804"/>
      <c r="BL40" s="820"/>
      <c r="BM40" s="820"/>
      <c r="BN40" s="178"/>
      <c r="BO40" s="178"/>
      <c r="BP40" s="804"/>
      <c r="BQ40" s="804"/>
      <c r="BR40" s="814"/>
      <c r="BS40" s="814"/>
      <c r="BT40" s="814"/>
      <c r="BU40" s="814"/>
      <c r="BV40" s="814"/>
      <c r="BW40" s="814"/>
      <c r="BX40" s="814"/>
      <c r="BY40" s="814"/>
      <c r="BZ40" s="814"/>
      <c r="CA40" s="814"/>
      <c r="CB40" s="814"/>
      <c r="CC40" s="814"/>
      <c r="CD40" s="814"/>
      <c r="CE40" s="814"/>
      <c r="CF40" s="814"/>
      <c r="CG40" s="814"/>
      <c r="CH40" s="814"/>
      <c r="CI40" s="814"/>
      <c r="CJ40" s="814"/>
      <c r="CK40" s="814"/>
      <c r="CL40" s="814"/>
      <c r="CM40" s="814"/>
      <c r="CN40" s="814"/>
      <c r="CO40" s="814"/>
      <c r="CP40" s="814"/>
      <c r="CQ40" s="814"/>
      <c r="CR40" s="814"/>
      <c r="CS40" s="814"/>
      <c r="CT40" s="814"/>
      <c r="CU40" s="814"/>
      <c r="CV40" s="814"/>
      <c r="CW40" s="814"/>
      <c r="CX40" s="814"/>
      <c r="CY40" s="814"/>
      <c r="CZ40" s="814"/>
      <c r="DA40" s="814"/>
      <c r="DB40" s="814"/>
      <c r="DC40" s="814"/>
      <c r="DD40" s="814"/>
      <c r="DE40" s="814"/>
      <c r="DF40" s="814"/>
      <c r="DG40" s="814"/>
      <c r="DH40" s="814"/>
      <c r="DI40" s="814"/>
      <c r="DJ40" s="814"/>
      <c r="DK40" s="814"/>
      <c r="DL40" s="814"/>
      <c r="DM40" s="814"/>
      <c r="DN40" s="814"/>
      <c r="DO40" s="814"/>
      <c r="DP40" s="814"/>
      <c r="DQ40" s="814"/>
      <c r="DR40" s="814"/>
      <c r="DS40" s="814"/>
      <c r="DT40" s="814"/>
      <c r="DU40" s="814"/>
      <c r="DV40" s="814"/>
      <c r="DW40" s="814"/>
      <c r="DX40" s="814"/>
      <c r="DY40" s="814"/>
      <c r="DZ40" s="814"/>
      <c r="EA40" s="814"/>
      <c r="EB40" s="814"/>
      <c r="EC40" s="814"/>
      <c r="ED40" s="814"/>
      <c r="EE40" s="814"/>
      <c r="EF40" s="814"/>
      <c r="EG40" s="814"/>
      <c r="EH40" s="814"/>
      <c r="EI40" s="814"/>
      <c r="EJ40" s="814"/>
      <c r="EK40" s="814"/>
      <c r="EL40" s="814"/>
      <c r="EM40" s="814"/>
      <c r="EN40" s="814"/>
      <c r="EO40" s="814"/>
      <c r="EP40" s="814"/>
      <c r="EQ40" s="814"/>
      <c r="ER40" s="814"/>
      <c r="ES40" s="814"/>
      <c r="ET40" s="814"/>
      <c r="EU40" s="814"/>
      <c r="EV40" s="814"/>
      <c r="EW40" s="814"/>
      <c r="EX40" s="814"/>
      <c r="EY40" s="814"/>
      <c r="EZ40" s="814"/>
      <c r="FA40" s="814"/>
      <c r="FB40" s="814"/>
      <c r="FC40" s="814"/>
      <c r="FD40" s="814"/>
      <c r="FE40" s="814"/>
      <c r="FF40" s="814"/>
      <c r="FG40" s="814"/>
      <c r="FH40" s="814"/>
      <c r="FI40" s="814"/>
      <c r="FJ40" s="814"/>
      <c r="FK40" s="814"/>
      <c r="FL40" s="814"/>
      <c r="FM40" s="814"/>
      <c r="FN40" s="814"/>
      <c r="FO40" s="814"/>
      <c r="FP40" s="814"/>
      <c r="FQ40" s="814"/>
      <c r="FR40" s="814"/>
      <c r="FS40" s="814"/>
      <c r="FT40" s="814"/>
      <c r="FU40" s="814"/>
      <c r="FV40" s="814"/>
      <c r="FW40" s="814"/>
      <c r="FX40" s="814"/>
      <c r="FY40" s="814"/>
      <c r="FZ40" s="814"/>
      <c r="GA40" s="814"/>
      <c r="GB40" s="814"/>
      <c r="GC40" s="814"/>
      <c r="GD40" s="814"/>
      <c r="GE40" s="814"/>
      <c r="GF40" s="814"/>
      <c r="GG40" s="814"/>
      <c r="GH40" s="814"/>
      <c r="GI40" s="814"/>
      <c r="GJ40" s="814"/>
      <c r="GK40" s="814"/>
      <c r="GL40" s="814"/>
      <c r="GM40" s="814"/>
      <c r="GN40" s="814"/>
      <c r="GO40" s="814"/>
      <c r="GP40" s="814"/>
      <c r="GQ40" s="814"/>
      <c r="GR40" s="814"/>
      <c r="GS40" s="814"/>
      <c r="GT40" s="814"/>
      <c r="GU40" s="814"/>
      <c r="GV40" s="814"/>
      <c r="GW40" s="814"/>
      <c r="GX40" s="814"/>
      <c r="GY40" s="814"/>
      <c r="GZ40" s="814"/>
      <c r="HA40" s="814"/>
      <c r="HB40" s="814"/>
      <c r="HC40" s="814"/>
      <c r="HD40" s="814"/>
      <c r="HE40" s="814"/>
      <c r="HF40" s="814"/>
      <c r="HG40" s="814"/>
      <c r="HH40" s="814"/>
      <c r="HI40" s="814"/>
      <c r="HJ40" s="814"/>
      <c r="HK40" s="814"/>
      <c r="HL40" s="814"/>
      <c r="HM40" s="814"/>
      <c r="HN40" s="814"/>
      <c r="HO40" s="814"/>
      <c r="HP40" s="814"/>
      <c r="HQ40" s="814"/>
      <c r="HR40" s="814"/>
      <c r="HS40" s="814"/>
      <c r="HT40" s="814"/>
      <c r="HU40" s="814"/>
      <c r="HV40" s="814"/>
      <c r="HW40" s="814"/>
      <c r="HX40" s="814"/>
      <c r="HY40" s="814"/>
      <c r="HZ40" s="814"/>
      <c r="IA40" s="814"/>
      <c r="IB40" s="814"/>
      <c r="IC40" s="814"/>
      <c r="ID40" s="814"/>
      <c r="IE40" s="814"/>
      <c r="IF40" s="814"/>
      <c r="IG40" s="814"/>
      <c r="IH40" s="814"/>
      <c r="II40" s="814"/>
      <c r="IJ40" s="814"/>
      <c r="IK40" s="814"/>
      <c r="IL40" s="814"/>
      <c r="IM40" s="814"/>
      <c r="IN40" s="814"/>
      <c r="IO40" s="814"/>
      <c r="IP40" s="814"/>
      <c r="IQ40" s="814"/>
      <c r="IR40" s="814"/>
      <c r="IS40" s="814"/>
      <c r="IT40" s="814"/>
      <c r="IU40" s="814"/>
      <c r="IV40" s="814"/>
      <c r="IW40" s="814"/>
      <c r="IX40" s="814"/>
      <c r="IY40" s="814"/>
      <c r="IZ40" s="814"/>
      <c r="JA40" s="814"/>
      <c r="JB40" s="814"/>
      <c r="JC40" s="814"/>
      <c r="JD40" s="814"/>
      <c r="JE40" s="814"/>
      <c r="JF40" s="814"/>
      <c r="JG40" s="814"/>
      <c r="JH40" s="814"/>
      <c r="JI40" s="814"/>
      <c r="JJ40" s="814"/>
      <c r="JK40" s="814"/>
      <c r="JL40" s="814"/>
      <c r="JM40" s="814"/>
      <c r="JN40" s="814"/>
      <c r="JO40" s="814"/>
      <c r="JP40" s="814"/>
      <c r="JQ40" s="814"/>
      <c r="JR40" s="814"/>
      <c r="JS40" s="814"/>
      <c r="JT40" s="814"/>
      <c r="JU40" s="814"/>
      <c r="JV40" s="814"/>
      <c r="JW40" s="814"/>
      <c r="JX40" s="814"/>
      <c r="JY40" s="814"/>
      <c r="JZ40" s="814"/>
      <c r="KA40" s="814"/>
      <c r="KB40" s="814"/>
      <c r="KC40" s="814"/>
      <c r="KD40" s="814"/>
      <c r="KE40" s="814"/>
      <c r="KF40" s="814"/>
      <c r="KG40" s="814"/>
      <c r="KH40" s="814"/>
      <c r="KI40" s="814"/>
      <c r="KJ40" s="814"/>
      <c r="KK40" s="814"/>
      <c r="KL40" s="814"/>
      <c r="KM40" s="814"/>
      <c r="KN40" s="814"/>
      <c r="KO40" s="814"/>
      <c r="KP40" s="814"/>
      <c r="KQ40" s="814"/>
      <c r="KR40" s="814"/>
      <c r="KS40" s="814"/>
      <c r="KT40" s="814"/>
      <c r="KU40" s="814"/>
      <c r="KV40" s="814"/>
      <c r="KW40" s="814"/>
      <c r="KX40" s="814"/>
      <c r="KY40" s="814"/>
      <c r="KZ40" s="814"/>
      <c r="LA40" s="814"/>
      <c r="LB40" s="814"/>
      <c r="LC40" s="814"/>
      <c r="LD40" s="814"/>
      <c r="LE40" s="814"/>
      <c r="LF40" s="814"/>
      <c r="LG40" s="814"/>
      <c r="LH40" s="814"/>
      <c r="LI40" s="814"/>
      <c r="LJ40" s="814"/>
      <c r="LK40" s="814"/>
      <c r="LL40" s="814"/>
      <c r="LM40" s="814"/>
      <c r="LN40" s="814"/>
      <c r="LO40" s="814"/>
      <c r="LP40" s="814"/>
      <c r="LQ40" s="814"/>
      <c r="LR40" s="814"/>
      <c r="LS40" s="814"/>
      <c r="LT40" s="814"/>
      <c r="LU40" s="814"/>
      <c r="LV40" s="814"/>
      <c r="LW40" s="814"/>
      <c r="LX40" s="814"/>
      <c r="LY40" s="814"/>
      <c r="LZ40" s="814"/>
      <c r="MA40" s="814"/>
      <c r="MB40" s="814"/>
      <c r="MC40" s="814"/>
      <c r="MD40" s="814"/>
      <c r="ME40" s="814"/>
      <c r="MF40" s="814"/>
      <c r="MG40" s="814"/>
      <c r="MH40" s="814"/>
      <c r="MI40" s="814"/>
      <c r="MJ40" s="814"/>
      <c r="MK40" s="814"/>
      <c r="ML40" s="814"/>
      <c r="MM40" s="814"/>
      <c r="MN40" s="814"/>
      <c r="MO40" s="814"/>
      <c r="MP40" s="814"/>
      <c r="MQ40" s="814"/>
      <c r="MR40" s="814"/>
      <c r="MS40" s="814"/>
      <c r="MT40" s="814"/>
      <c r="MU40" s="814"/>
      <c r="MV40" s="814"/>
      <c r="MW40" s="814"/>
      <c r="MX40" s="814"/>
      <c r="MY40" s="814"/>
      <c r="MZ40" s="814"/>
      <c r="NA40" s="814"/>
      <c r="NB40" s="814"/>
      <c r="NC40" s="814"/>
      <c r="ND40" s="814"/>
      <c r="NE40" s="814"/>
      <c r="NF40" s="814"/>
      <c r="NG40" s="814"/>
      <c r="NH40" s="814"/>
      <c r="NI40" s="814"/>
      <c r="NJ40" s="814"/>
      <c r="NK40" s="814"/>
      <c r="NL40" s="814"/>
      <c r="NM40" s="814"/>
      <c r="NN40" s="814"/>
      <c r="NO40" s="814"/>
      <c r="NP40" s="814"/>
      <c r="NQ40" s="814"/>
      <c r="NR40" s="814"/>
      <c r="NS40" s="814"/>
      <c r="NT40" s="814"/>
      <c r="NU40" s="814"/>
      <c r="NV40" s="814"/>
      <c r="NW40" s="814"/>
      <c r="NX40" s="814"/>
      <c r="NY40" s="814"/>
      <c r="NZ40" s="814"/>
      <c r="OA40" s="814"/>
      <c r="OB40" s="814"/>
      <c r="OC40" s="814"/>
      <c r="OD40" s="814"/>
      <c r="OE40" s="814"/>
      <c r="OF40" s="814"/>
      <c r="OG40" s="814"/>
      <c r="OH40" s="814"/>
      <c r="OI40" s="814"/>
      <c r="OJ40" s="814"/>
      <c r="OK40" s="814"/>
      <c r="OL40" s="814"/>
      <c r="OM40" s="814"/>
      <c r="ON40" s="814"/>
      <c r="OO40" s="814"/>
      <c r="OP40" s="814"/>
      <c r="OQ40" s="814"/>
      <c r="OR40" s="814"/>
      <c r="OS40" s="814"/>
      <c r="OT40" s="814"/>
      <c r="OU40" s="814"/>
      <c r="OV40" s="814"/>
      <c r="OW40" s="814"/>
      <c r="OX40" s="814"/>
      <c r="OY40" s="814"/>
      <c r="OZ40" s="814"/>
      <c r="PA40" s="814"/>
      <c r="PB40" s="814"/>
      <c r="PC40" s="814"/>
      <c r="PD40" s="814"/>
      <c r="PE40" s="814"/>
      <c r="PF40" s="814"/>
      <c r="PG40" s="814"/>
      <c r="PH40" s="814"/>
      <c r="PI40" s="814"/>
      <c r="PJ40" s="814"/>
      <c r="PK40" s="814"/>
      <c r="PL40" s="814"/>
      <c r="PM40" s="814"/>
      <c r="PN40" s="814"/>
      <c r="PO40" s="814"/>
      <c r="PP40" s="814"/>
      <c r="PQ40" s="814"/>
      <c r="PR40" s="814"/>
      <c r="PS40" s="814"/>
      <c r="PT40" s="814"/>
      <c r="PU40" s="814"/>
      <c r="PV40" s="814"/>
      <c r="PW40" s="814"/>
      <c r="PX40" s="814"/>
      <c r="PY40" s="814"/>
      <c r="PZ40" s="814"/>
      <c r="QA40" s="814"/>
      <c r="QB40" s="814"/>
      <c r="QC40" s="814"/>
      <c r="QD40" s="814"/>
      <c r="QE40" s="814"/>
      <c r="QF40" s="814"/>
      <c r="QG40" s="814"/>
      <c r="QH40" s="814"/>
      <c r="QI40" s="814"/>
      <c r="QJ40" s="814"/>
      <c r="QK40" s="814"/>
      <c r="QL40" s="814"/>
      <c r="QM40" s="814"/>
      <c r="QN40" s="814"/>
      <c r="QO40" s="814"/>
      <c r="QP40" s="814"/>
      <c r="QQ40" s="814"/>
      <c r="QR40" s="814"/>
      <c r="QS40" s="814"/>
      <c r="QT40" s="814"/>
      <c r="QU40" s="814"/>
      <c r="QV40" s="814"/>
      <c r="QW40" s="814"/>
      <c r="QX40" s="814"/>
      <c r="QY40" s="814"/>
      <c r="QZ40" s="814"/>
      <c r="RA40" s="814"/>
      <c r="RB40" s="814"/>
      <c r="RC40" s="814"/>
      <c r="RD40" s="814"/>
      <c r="RE40" s="814"/>
      <c r="RF40" s="814"/>
      <c r="RG40" s="814"/>
      <c r="RH40" s="814"/>
      <c r="RI40" s="814"/>
      <c r="RJ40" s="814"/>
      <c r="RK40" s="814"/>
      <c r="RL40" s="814"/>
      <c r="RM40" s="814"/>
      <c r="RN40" s="814"/>
      <c r="RO40" s="814"/>
      <c r="RP40" s="814"/>
      <c r="RQ40" s="814"/>
      <c r="RR40" s="814"/>
      <c r="RS40" s="814"/>
      <c r="RT40" s="814"/>
      <c r="RU40" s="814"/>
      <c r="RV40" s="814"/>
      <c r="RW40" s="814"/>
      <c r="RX40" s="814"/>
    </row>
    <row r="41" spans="1:492" s="169" customFormat="1">
      <c r="A41" s="814"/>
      <c r="B41" s="814"/>
      <c r="C41" s="814"/>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20"/>
      <c r="AN41" s="820"/>
      <c r="AO41" s="820"/>
      <c r="AP41" s="820"/>
      <c r="AQ41" s="804"/>
      <c r="AR41" s="804"/>
      <c r="AS41" s="804"/>
      <c r="AT41" s="804"/>
      <c r="AU41" s="804"/>
      <c r="AV41" s="804"/>
      <c r="AW41" s="820"/>
      <c r="AX41" s="820"/>
      <c r="AY41" s="820"/>
      <c r="AZ41" s="820"/>
      <c r="BA41" s="804"/>
      <c r="BB41" s="804"/>
      <c r="BC41" s="821"/>
      <c r="BD41" s="820"/>
      <c r="BE41" s="820"/>
      <c r="BF41" s="804"/>
      <c r="BG41" s="804"/>
      <c r="BH41" s="821"/>
      <c r="BI41" s="820"/>
      <c r="BJ41" s="820"/>
      <c r="BK41" s="804"/>
      <c r="BL41" s="804"/>
      <c r="BM41" s="821"/>
      <c r="BN41" s="820"/>
      <c r="BO41" s="820"/>
      <c r="BP41" s="804"/>
      <c r="BQ41" s="804"/>
      <c r="BR41" s="814"/>
      <c r="BS41" s="814"/>
      <c r="BT41" s="814"/>
      <c r="BU41" s="814"/>
      <c r="BV41" s="814"/>
      <c r="BW41" s="814"/>
      <c r="BX41" s="814"/>
      <c r="BY41" s="814"/>
      <c r="BZ41" s="814"/>
      <c r="CA41" s="814"/>
      <c r="CB41" s="814"/>
      <c r="CC41" s="814"/>
      <c r="CD41" s="814"/>
      <c r="CE41" s="814"/>
      <c r="CF41" s="814"/>
      <c r="CG41" s="814"/>
      <c r="CH41" s="814"/>
      <c r="CI41" s="814"/>
      <c r="CJ41" s="814"/>
      <c r="CK41" s="814"/>
      <c r="CL41" s="814"/>
      <c r="CM41" s="814"/>
      <c r="CN41" s="814"/>
      <c r="CO41" s="814"/>
      <c r="CP41" s="814"/>
      <c r="CQ41" s="814"/>
      <c r="CR41" s="814"/>
      <c r="CS41" s="814"/>
      <c r="CT41" s="814"/>
      <c r="CU41" s="814"/>
      <c r="CV41" s="814"/>
      <c r="CW41" s="814"/>
      <c r="CX41" s="814"/>
      <c r="CY41" s="814"/>
      <c r="CZ41" s="814"/>
      <c r="DA41" s="814"/>
      <c r="DB41" s="814"/>
      <c r="DC41" s="814"/>
      <c r="DD41" s="814"/>
      <c r="DE41" s="814"/>
      <c r="DF41" s="814"/>
      <c r="DG41" s="814"/>
      <c r="DH41" s="814"/>
      <c r="DI41" s="814"/>
      <c r="DJ41" s="814"/>
      <c r="DK41" s="814"/>
      <c r="DL41" s="814"/>
      <c r="DM41" s="814"/>
      <c r="DN41" s="814"/>
      <c r="DO41" s="814"/>
      <c r="DP41" s="814"/>
      <c r="DQ41" s="814"/>
      <c r="DR41" s="814"/>
      <c r="DS41" s="814"/>
      <c r="DT41" s="814"/>
      <c r="DU41" s="814"/>
      <c r="DV41" s="814"/>
      <c r="DW41" s="814"/>
      <c r="DX41" s="814"/>
      <c r="DY41" s="814"/>
      <c r="DZ41" s="814"/>
      <c r="EA41" s="814"/>
      <c r="EB41" s="814"/>
      <c r="EC41" s="814"/>
      <c r="ED41" s="814"/>
      <c r="EE41" s="814"/>
      <c r="EF41" s="814"/>
      <c r="EG41" s="814"/>
      <c r="EH41" s="814"/>
      <c r="EI41" s="814"/>
      <c r="EJ41" s="814"/>
      <c r="EK41" s="814"/>
      <c r="EL41" s="814"/>
      <c r="EM41" s="814"/>
      <c r="EN41" s="814"/>
      <c r="EO41" s="814"/>
      <c r="EP41" s="814"/>
      <c r="EQ41" s="814"/>
      <c r="ER41" s="814"/>
      <c r="ES41" s="814"/>
      <c r="ET41" s="814"/>
      <c r="EU41" s="814"/>
      <c r="EV41" s="814"/>
      <c r="EW41" s="814"/>
      <c r="EX41" s="814"/>
      <c r="EY41" s="814"/>
      <c r="EZ41" s="814"/>
      <c r="FA41" s="814"/>
      <c r="FB41" s="814"/>
      <c r="FC41" s="814"/>
      <c r="FD41" s="814"/>
      <c r="FE41" s="814"/>
      <c r="FF41" s="814"/>
      <c r="FG41" s="814"/>
      <c r="FH41" s="814"/>
      <c r="FI41" s="814"/>
      <c r="FJ41" s="814"/>
      <c r="FK41" s="814"/>
      <c r="FL41" s="814"/>
      <c r="FM41" s="814"/>
      <c r="FN41" s="814"/>
      <c r="FO41" s="814"/>
      <c r="FP41" s="814"/>
      <c r="FQ41" s="814"/>
      <c r="FR41" s="814"/>
      <c r="FS41" s="814"/>
      <c r="FT41" s="814"/>
      <c r="FU41" s="814"/>
      <c r="FV41" s="814"/>
      <c r="FW41" s="814"/>
      <c r="FX41" s="814"/>
      <c r="FY41" s="814"/>
      <c r="FZ41" s="814"/>
      <c r="GA41" s="814"/>
      <c r="GB41" s="814"/>
      <c r="GC41" s="814"/>
      <c r="GD41" s="814"/>
      <c r="GE41" s="814"/>
      <c r="GF41" s="814"/>
      <c r="GG41" s="814"/>
      <c r="GH41" s="814"/>
      <c r="GI41" s="814"/>
      <c r="GJ41" s="814"/>
      <c r="GK41" s="814"/>
      <c r="GL41" s="814"/>
      <c r="GM41" s="814"/>
      <c r="GN41" s="814"/>
      <c r="GO41" s="814"/>
      <c r="GP41" s="814"/>
      <c r="GQ41" s="814"/>
      <c r="GR41" s="814"/>
      <c r="GS41" s="814"/>
      <c r="GT41" s="814"/>
      <c r="GU41" s="814"/>
      <c r="GV41" s="814"/>
      <c r="GW41" s="814"/>
      <c r="GX41" s="814"/>
      <c r="GY41" s="814"/>
      <c r="GZ41" s="814"/>
      <c r="HA41" s="814"/>
      <c r="HB41" s="814"/>
      <c r="HC41" s="814"/>
      <c r="HD41" s="814"/>
      <c r="HE41" s="814"/>
      <c r="HF41" s="814"/>
      <c r="HG41" s="814"/>
      <c r="HH41" s="814"/>
      <c r="HI41" s="814"/>
      <c r="HJ41" s="814"/>
      <c r="HK41" s="814"/>
      <c r="HL41" s="814"/>
      <c r="HM41" s="814"/>
      <c r="HN41" s="814"/>
      <c r="HO41" s="814"/>
      <c r="HP41" s="814"/>
      <c r="HQ41" s="814"/>
      <c r="HR41" s="814"/>
      <c r="HS41" s="814"/>
      <c r="HT41" s="814"/>
      <c r="HU41" s="814"/>
      <c r="HV41" s="814"/>
      <c r="HW41" s="814"/>
      <c r="HX41" s="814"/>
      <c r="HY41" s="814"/>
      <c r="HZ41" s="814"/>
      <c r="IA41" s="814"/>
      <c r="IB41" s="814"/>
      <c r="IC41" s="814"/>
      <c r="ID41" s="814"/>
      <c r="IE41" s="814"/>
      <c r="IF41" s="814"/>
      <c r="IG41" s="814"/>
      <c r="IH41" s="814"/>
      <c r="II41" s="814"/>
      <c r="IJ41" s="814"/>
      <c r="IK41" s="814"/>
      <c r="IL41" s="814"/>
      <c r="IM41" s="814"/>
      <c r="IN41" s="814"/>
      <c r="IO41" s="814"/>
      <c r="IP41" s="814"/>
      <c r="IQ41" s="814"/>
      <c r="IR41" s="814"/>
      <c r="IS41" s="814"/>
      <c r="IT41" s="814"/>
      <c r="IU41" s="814"/>
      <c r="IV41" s="814"/>
      <c r="IW41" s="814"/>
      <c r="IX41" s="814"/>
      <c r="IY41" s="814"/>
      <c r="IZ41" s="814"/>
      <c r="JA41" s="814"/>
      <c r="JB41" s="814"/>
      <c r="JC41" s="814"/>
      <c r="JD41" s="814"/>
      <c r="JE41" s="814"/>
      <c r="JF41" s="814"/>
      <c r="JG41" s="814"/>
      <c r="JH41" s="814"/>
      <c r="JI41" s="814"/>
      <c r="JJ41" s="814"/>
      <c r="JK41" s="814"/>
      <c r="JL41" s="814"/>
      <c r="JM41" s="814"/>
      <c r="JN41" s="814"/>
      <c r="JO41" s="814"/>
      <c r="JP41" s="814"/>
      <c r="JQ41" s="814"/>
      <c r="JR41" s="814"/>
      <c r="JS41" s="814"/>
      <c r="JT41" s="814"/>
      <c r="JU41" s="814"/>
      <c r="JV41" s="814"/>
      <c r="JW41" s="814"/>
      <c r="JX41" s="814"/>
      <c r="JY41" s="814"/>
      <c r="JZ41" s="814"/>
      <c r="KA41" s="814"/>
      <c r="KB41" s="814"/>
      <c r="KC41" s="814"/>
      <c r="KD41" s="814"/>
      <c r="KE41" s="814"/>
      <c r="KF41" s="814"/>
      <c r="KG41" s="814"/>
      <c r="KH41" s="814"/>
      <c r="KI41" s="814"/>
      <c r="KJ41" s="814"/>
      <c r="KK41" s="814"/>
      <c r="KL41" s="814"/>
      <c r="KM41" s="814"/>
      <c r="KN41" s="814"/>
      <c r="KO41" s="814"/>
      <c r="KP41" s="814"/>
      <c r="KQ41" s="814"/>
      <c r="KR41" s="814"/>
      <c r="KS41" s="814"/>
      <c r="KT41" s="814"/>
      <c r="KU41" s="814"/>
      <c r="KV41" s="814"/>
      <c r="KW41" s="814"/>
      <c r="KX41" s="814"/>
      <c r="KY41" s="814"/>
      <c r="KZ41" s="814"/>
      <c r="LA41" s="814"/>
      <c r="LB41" s="814"/>
      <c r="LC41" s="814"/>
      <c r="LD41" s="814"/>
      <c r="LE41" s="814"/>
      <c r="LF41" s="814"/>
      <c r="LG41" s="814"/>
      <c r="LH41" s="814"/>
      <c r="LI41" s="814"/>
      <c r="LJ41" s="814"/>
      <c r="LK41" s="814"/>
      <c r="LL41" s="814"/>
      <c r="LM41" s="814"/>
      <c r="LN41" s="814"/>
      <c r="LO41" s="814"/>
      <c r="LP41" s="814"/>
      <c r="LQ41" s="814"/>
      <c r="LR41" s="814"/>
      <c r="LS41" s="814"/>
      <c r="LT41" s="814"/>
      <c r="LU41" s="814"/>
      <c r="LV41" s="814"/>
      <c r="LW41" s="814"/>
      <c r="LX41" s="814"/>
      <c r="LY41" s="814"/>
      <c r="LZ41" s="814"/>
      <c r="MA41" s="814"/>
      <c r="MB41" s="814"/>
      <c r="MC41" s="814"/>
      <c r="MD41" s="814"/>
      <c r="ME41" s="814"/>
      <c r="MF41" s="814"/>
      <c r="MG41" s="814"/>
      <c r="MH41" s="814"/>
      <c r="MI41" s="814"/>
      <c r="MJ41" s="814"/>
      <c r="MK41" s="814"/>
      <c r="ML41" s="814"/>
      <c r="MM41" s="814"/>
      <c r="MN41" s="814"/>
      <c r="MO41" s="814"/>
      <c r="MP41" s="814"/>
      <c r="MQ41" s="814"/>
      <c r="MR41" s="814"/>
      <c r="MS41" s="814"/>
      <c r="MT41" s="814"/>
      <c r="MU41" s="814"/>
      <c r="MV41" s="814"/>
      <c r="MW41" s="814"/>
      <c r="MX41" s="814"/>
      <c r="MY41" s="814"/>
      <c r="MZ41" s="814"/>
      <c r="NA41" s="814"/>
      <c r="NB41" s="814"/>
      <c r="NC41" s="814"/>
      <c r="ND41" s="814"/>
      <c r="NE41" s="814"/>
      <c r="NF41" s="814"/>
      <c r="NG41" s="814"/>
      <c r="NH41" s="814"/>
      <c r="NI41" s="814"/>
      <c r="NJ41" s="814"/>
      <c r="NK41" s="814"/>
      <c r="NL41" s="814"/>
      <c r="NM41" s="814"/>
      <c r="NN41" s="814"/>
      <c r="NO41" s="814"/>
      <c r="NP41" s="814"/>
      <c r="NQ41" s="814"/>
      <c r="NR41" s="814"/>
      <c r="NS41" s="814"/>
      <c r="NT41" s="814"/>
      <c r="NU41" s="814"/>
      <c r="NV41" s="814"/>
      <c r="NW41" s="814"/>
      <c r="NX41" s="814"/>
      <c r="NY41" s="814"/>
      <c r="NZ41" s="814"/>
      <c r="OA41" s="814"/>
      <c r="OB41" s="814"/>
      <c r="OC41" s="814"/>
      <c r="OD41" s="814"/>
      <c r="OE41" s="814"/>
      <c r="OF41" s="814"/>
      <c r="OG41" s="814"/>
      <c r="OH41" s="814"/>
      <c r="OI41" s="814"/>
      <c r="OJ41" s="814"/>
      <c r="OK41" s="814"/>
      <c r="OL41" s="814"/>
      <c r="OM41" s="814"/>
      <c r="ON41" s="814"/>
      <c r="OO41" s="814"/>
      <c r="OP41" s="814"/>
      <c r="OQ41" s="814"/>
      <c r="OR41" s="814"/>
      <c r="OS41" s="814"/>
      <c r="OT41" s="814"/>
      <c r="OU41" s="814"/>
      <c r="OV41" s="814"/>
      <c r="OW41" s="814"/>
      <c r="OX41" s="814"/>
      <c r="OY41" s="814"/>
      <c r="OZ41" s="814"/>
      <c r="PA41" s="814"/>
      <c r="PB41" s="814"/>
      <c r="PC41" s="814"/>
      <c r="PD41" s="814"/>
      <c r="PE41" s="814"/>
      <c r="PF41" s="814"/>
      <c r="PG41" s="814"/>
      <c r="PH41" s="814"/>
      <c r="PI41" s="814"/>
      <c r="PJ41" s="814"/>
      <c r="PK41" s="814"/>
      <c r="PL41" s="814"/>
      <c r="PM41" s="814"/>
      <c r="PN41" s="814"/>
      <c r="PO41" s="814"/>
      <c r="PP41" s="814"/>
      <c r="PQ41" s="814"/>
      <c r="PR41" s="814"/>
      <c r="PS41" s="814"/>
      <c r="PT41" s="814"/>
      <c r="PU41" s="814"/>
      <c r="PV41" s="814"/>
      <c r="PW41" s="814"/>
      <c r="PX41" s="814"/>
      <c r="PY41" s="814"/>
      <c r="PZ41" s="814"/>
      <c r="QA41" s="814"/>
      <c r="QB41" s="814"/>
      <c r="QC41" s="814"/>
      <c r="QD41" s="814"/>
      <c r="QE41" s="814"/>
      <c r="QF41" s="814"/>
      <c r="QG41" s="814"/>
      <c r="QH41" s="814"/>
      <c r="QI41" s="814"/>
      <c r="QJ41" s="814"/>
      <c r="QK41" s="814"/>
      <c r="QL41" s="814"/>
      <c r="QM41" s="814"/>
      <c r="QN41" s="814"/>
      <c r="QO41" s="814"/>
      <c r="QP41" s="814"/>
      <c r="QQ41" s="814"/>
      <c r="QR41" s="814"/>
      <c r="QS41" s="814"/>
      <c r="QT41" s="814"/>
      <c r="QU41" s="814"/>
      <c r="QV41" s="814"/>
      <c r="QW41" s="814"/>
      <c r="QX41" s="814"/>
      <c r="QY41" s="814"/>
      <c r="QZ41" s="814"/>
      <c r="RA41" s="814"/>
      <c r="RB41" s="814"/>
      <c r="RC41" s="814"/>
      <c r="RD41" s="814"/>
      <c r="RE41" s="814"/>
      <c r="RF41" s="814"/>
      <c r="RG41" s="814"/>
      <c r="RH41" s="814"/>
      <c r="RI41" s="814"/>
      <c r="RJ41" s="814"/>
      <c r="RK41" s="814"/>
      <c r="RL41" s="814"/>
      <c r="RM41" s="814"/>
      <c r="RN41" s="814"/>
      <c r="RO41" s="814"/>
      <c r="RP41" s="814"/>
      <c r="RQ41" s="814"/>
      <c r="RR41" s="814"/>
      <c r="RS41" s="814"/>
      <c r="RT41" s="814"/>
      <c r="RU41" s="814"/>
      <c r="RV41" s="814"/>
      <c r="RW41" s="814"/>
      <c r="RX41" s="814"/>
    </row>
    <row r="42" spans="1:492" s="169" customFormat="1">
      <c r="A42" s="814"/>
      <c r="B42" s="814"/>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c r="AG42" s="814"/>
      <c r="AH42" s="814"/>
      <c r="AI42" s="814"/>
      <c r="AJ42" s="814"/>
      <c r="AK42" s="814"/>
      <c r="AL42" s="814"/>
      <c r="AM42" s="820"/>
      <c r="AN42" s="820"/>
      <c r="AO42" s="820"/>
      <c r="AP42" s="820"/>
      <c r="AQ42" s="804"/>
      <c r="AR42" s="804"/>
      <c r="AS42" s="804"/>
      <c r="AT42" s="804"/>
      <c r="AU42" s="804"/>
      <c r="AV42" s="804"/>
      <c r="AW42" s="820"/>
      <c r="AX42" s="820"/>
      <c r="AY42" s="820"/>
      <c r="AZ42" s="820"/>
      <c r="BA42" s="804"/>
      <c r="BB42" s="804"/>
      <c r="BC42" s="804"/>
      <c r="BD42" s="820"/>
      <c r="BE42" s="804"/>
      <c r="BF42" s="175"/>
      <c r="BG42" s="804"/>
      <c r="BH42" s="804"/>
      <c r="BI42" s="820"/>
      <c r="BJ42" s="804"/>
      <c r="BK42" s="175"/>
      <c r="BL42" s="804"/>
      <c r="BM42" s="804"/>
      <c r="BN42" s="820"/>
      <c r="BO42" s="804"/>
      <c r="BP42" s="175"/>
      <c r="BQ42" s="804"/>
      <c r="BR42" s="814"/>
      <c r="BS42" s="814"/>
      <c r="BT42" s="814"/>
      <c r="BU42" s="814"/>
      <c r="BV42" s="814"/>
      <c r="BW42" s="814"/>
      <c r="BX42" s="814"/>
      <c r="BY42" s="814"/>
      <c r="BZ42" s="814"/>
      <c r="CA42" s="814"/>
      <c r="CB42" s="814"/>
      <c r="CC42" s="814"/>
      <c r="CD42" s="814"/>
      <c r="CE42" s="814"/>
      <c r="CF42" s="814"/>
      <c r="CG42" s="814"/>
      <c r="CH42" s="814"/>
      <c r="CI42" s="814"/>
      <c r="CJ42" s="814"/>
      <c r="CK42" s="814"/>
      <c r="CL42" s="814"/>
      <c r="CM42" s="814"/>
      <c r="CN42" s="814"/>
      <c r="CO42" s="814"/>
      <c r="CP42" s="814"/>
      <c r="CQ42" s="814"/>
      <c r="CR42" s="814"/>
      <c r="CS42" s="814"/>
      <c r="CT42" s="814"/>
      <c r="CU42" s="814"/>
      <c r="CV42" s="814"/>
      <c r="CW42" s="814"/>
      <c r="CX42" s="814"/>
      <c r="CY42" s="814"/>
      <c r="CZ42" s="814"/>
      <c r="DA42" s="814"/>
      <c r="DB42" s="814"/>
      <c r="DC42" s="814"/>
      <c r="DD42" s="814"/>
      <c r="DE42" s="814"/>
      <c r="DF42" s="814"/>
      <c r="DG42" s="814"/>
      <c r="DH42" s="814"/>
      <c r="DI42" s="814"/>
      <c r="DJ42" s="814"/>
      <c r="DK42" s="814"/>
      <c r="DL42" s="814"/>
      <c r="DM42" s="814"/>
      <c r="DN42" s="814"/>
      <c r="DO42" s="814"/>
      <c r="DP42" s="814"/>
      <c r="DQ42" s="814"/>
      <c r="DR42" s="814"/>
      <c r="DS42" s="814"/>
      <c r="DT42" s="814"/>
      <c r="DU42" s="814"/>
      <c r="DV42" s="814"/>
      <c r="DW42" s="814"/>
      <c r="DX42" s="814"/>
      <c r="DY42" s="814"/>
      <c r="DZ42" s="814"/>
      <c r="EA42" s="814"/>
      <c r="EB42" s="814"/>
      <c r="EC42" s="814"/>
      <c r="ED42" s="814"/>
      <c r="EE42" s="814"/>
      <c r="EF42" s="814"/>
      <c r="EG42" s="814"/>
      <c r="EH42" s="814"/>
      <c r="EI42" s="814"/>
      <c r="EJ42" s="814"/>
      <c r="EK42" s="814"/>
      <c r="EL42" s="814"/>
      <c r="EM42" s="814"/>
      <c r="EN42" s="814"/>
      <c r="EO42" s="814"/>
      <c r="EP42" s="814"/>
      <c r="EQ42" s="814"/>
      <c r="ER42" s="814"/>
      <c r="ES42" s="814"/>
      <c r="ET42" s="814"/>
      <c r="EU42" s="814"/>
      <c r="EV42" s="814"/>
      <c r="EW42" s="814"/>
      <c r="EX42" s="814"/>
      <c r="EY42" s="814"/>
      <c r="EZ42" s="814"/>
      <c r="FA42" s="814"/>
      <c r="FB42" s="814"/>
      <c r="FC42" s="814"/>
      <c r="FD42" s="814"/>
      <c r="FE42" s="814"/>
      <c r="FF42" s="814"/>
      <c r="FG42" s="814"/>
      <c r="FH42" s="814"/>
      <c r="FI42" s="814"/>
      <c r="FJ42" s="814"/>
      <c r="FK42" s="814"/>
      <c r="FL42" s="814"/>
      <c r="FM42" s="814"/>
      <c r="FN42" s="814"/>
      <c r="FO42" s="814"/>
      <c r="FP42" s="814"/>
      <c r="FQ42" s="814"/>
      <c r="FR42" s="814"/>
      <c r="FS42" s="814"/>
      <c r="FT42" s="814"/>
      <c r="FU42" s="814"/>
      <c r="FV42" s="814"/>
      <c r="FW42" s="814"/>
      <c r="FX42" s="814"/>
      <c r="FY42" s="814"/>
      <c r="FZ42" s="814"/>
      <c r="GA42" s="814"/>
      <c r="GB42" s="814"/>
      <c r="GC42" s="814"/>
      <c r="GD42" s="814"/>
      <c r="GE42" s="814"/>
      <c r="GF42" s="814"/>
      <c r="GG42" s="814"/>
      <c r="GH42" s="814"/>
      <c r="GI42" s="814"/>
      <c r="GJ42" s="814"/>
      <c r="GK42" s="814"/>
      <c r="GL42" s="814"/>
      <c r="GM42" s="814"/>
      <c r="GN42" s="814"/>
      <c r="GO42" s="814"/>
      <c r="GP42" s="814"/>
      <c r="GQ42" s="814"/>
      <c r="GR42" s="814"/>
      <c r="GS42" s="814"/>
      <c r="GT42" s="814"/>
      <c r="GU42" s="814"/>
      <c r="GV42" s="814"/>
      <c r="GW42" s="814"/>
      <c r="GX42" s="814"/>
      <c r="GY42" s="814"/>
      <c r="GZ42" s="814"/>
      <c r="HA42" s="814"/>
      <c r="HB42" s="814"/>
      <c r="HC42" s="814"/>
      <c r="HD42" s="814"/>
      <c r="HE42" s="814"/>
      <c r="HF42" s="814"/>
      <c r="HG42" s="814"/>
      <c r="HH42" s="814"/>
      <c r="HI42" s="814"/>
      <c r="HJ42" s="814"/>
      <c r="HK42" s="814"/>
      <c r="HL42" s="814"/>
      <c r="HM42" s="814"/>
      <c r="HN42" s="814"/>
      <c r="HO42" s="814"/>
      <c r="HP42" s="814"/>
      <c r="HQ42" s="814"/>
      <c r="HR42" s="814"/>
      <c r="HS42" s="814"/>
      <c r="HT42" s="814"/>
      <c r="HU42" s="814"/>
      <c r="HV42" s="814"/>
      <c r="HW42" s="814"/>
      <c r="HX42" s="814"/>
      <c r="HY42" s="814"/>
      <c r="HZ42" s="814"/>
      <c r="IA42" s="814"/>
      <c r="IB42" s="814"/>
      <c r="IC42" s="814"/>
      <c r="ID42" s="814"/>
      <c r="IE42" s="814"/>
      <c r="IF42" s="814"/>
      <c r="IG42" s="814"/>
      <c r="IH42" s="814"/>
      <c r="II42" s="814"/>
      <c r="IJ42" s="814"/>
      <c r="IK42" s="814"/>
      <c r="IL42" s="814"/>
      <c r="IM42" s="814"/>
      <c r="IN42" s="814"/>
      <c r="IO42" s="814"/>
      <c r="IP42" s="814"/>
      <c r="IQ42" s="814"/>
      <c r="IR42" s="814"/>
      <c r="IS42" s="814"/>
      <c r="IT42" s="814"/>
      <c r="IU42" s="814"/>
      <c r="IV42" s="814"/>
      <c r="IW42" s="814"/>
      <c r="IX42" s="814"/>
      <c r="IY42" s="814"/>
      <c r="IZ42" s="814"/>
      <c r="JA42" s="814"/>
      <c r="JB42" s="814"/>
      <c r="JC42" s="814"/>
      <c r="JD42" s="814"/>
      <c r="JE42" s="814"/>
      <c r="JF42" s="814"/>
      <c r="JG42" s="814"/>
      <c r="JH42" s="814"/>
      <c r="JI42" s="814"/>
      <c r="JJ42" s="814"/>
      <c r="JK42" s="814"/>
      <c r="JL42" s="814"/>
      <c r="JM42" s="814"/>
      <c r="JN42" s="814"/>
      <c r="JO42" s="814"/>
      <c r="JP42" s="814"/>
      <c r="JQ42" s="814"/>
      <c r="JR42" s="814"/>
      <c r="JS42" s="814"/>
      <c r="JT42" s="814"/>
      <c r="JU42" s="814"/>
      <c r="JV42" s="814"/>
      <c r="JW42" s="814"/>
      <c r="JX42" s="814"/>
      <c r="JY42" s="814"/>
      <c r="JZ42" s="814"/>
      <c r="KA42" s="814"/>
      <c r="KB42" s="814"/>
      <c r="KC42" s="814"/>
      <c r="KD42" s="814"/>
      <c r="KE42" s="814"/>
      <c r="KF42" s="814"/>
      <c r="KG42" s="814"/>
      <c r="KH42" s="814"/>
      <c r="KI42" s="814"/>
      <c r="KJ42" s="814"/>
      <c r="KK42" s="814"/>
      <c r="KL42" s="814"/>
      <c r="KM42" s="814"/>
      <c r="KN42" s="814"/>
      <c r="KO42" s="814"/>
      <c r="KP42" s="814"/>
      <c r="KQ42" s="814"/>
      <c r="KR42" s="814"/>
      <c r="KS42" s="814"/>
      <c r="KT42" s="814"/>
      <c r="KU42" s="814"/>
      <c r="KV42" s="814"/>
      <c r="KW42" s="814"/>
      <c r="KX42" s="814"/>
      <c r="KY42" s="814"/>
      <c r="KZ42" s="814"/>
      <c r="LA42" s="814"/>
      <c r="LB42" s="814"/>
      <c r="LC42" s="814"/>
      <c r="LD42" s="814"/>
      <c r="LE42" s="814"/>
      <c r="LF42" s="814"/>
      <c r="LG42" s="814"/>
      <c r="LH42" s="814"/>
      <c r="LI42" s="814"/>
      <c r="LJ42" s="814"/>
      <c r="LK42" s="814"/>
      <c r="LL42" s="814"/>
      <c r="LM42" s="814"/>
      <c r="LN42" s="814"/>
      <c r="LO42" s="814"/>
      <c r="LP42" s="814"/>
      <c r="LQ42" s="814"/>
      <c r="LR42" s="814"/>
      <c r="LS42" s="814"/>
      <c r="LT42" s="814"/>
      <c r="LU42" s="814"/>
      <c r="LV42" s="814"/>
      <c r="LW42" s="814"/>
      <c r="LX42" s="814"/>
      <c r="LY42" s="814"/>
      <c r="LZ42" s="814"/>
      <c r="MA42" s="814"/>
      <c r="MB42" s="814"/>
      <c r="MC42" s="814"/>
      <c r="MD42" s="814"/>
      <c r="ME42" s="814"/>
      <c r="MF42" s="814"/>
      <c r="MG42" s="814"/>
      <c r="MH42" s="814"/>
      <c r="MI42" s="814"/>
      <c r="MJ42" s="814"/>
      <c r="MK42" s="814"/>
      <c r="ML42" s="814"/>
      <c r="MM42" s="814"/>
      <c r="MN42" s="814"/>
      <c r="MO42" s="814"/>
      <c r="MP42" s="814"/>
      <c r="MQ42" s="814"/>
      <c r="MR42" s="814"/>
      <c r="MS42" s="814"/>
      <c r="MT42" s="814"/>
      <c r="MU42" s="814"/>
      <c r="MV42" s="814"/>
      <c r="MW42" s="814"/>
      <c r="MX42" s="814"/>
      <c r="MY42" s="814"/>
      <c r="MZ42" s="814"/>
      <c r="NA42" s="814"/>
      <c r="NB42" s="814"/>
      <c r="NC42" s="814"/>
      <c r="ND42" s="814"/>
      <c r="NE42" s="814"/>
      <c r="NF42" s="814"/>
      <c r="NG42" s="814"/>
      <c r="NH42" s="814"/>
      <c r="NI42" s="814"/>
      <c r="NJ42" s="814"/>
      <c r="NK42" s="814"/>
      <c r="NL42" s="814"/>
      <c r="NM42" s="814"/>
      <c r="NN42" s="814"/>
      <c r="NO42" s="814"/>
      <c r="NP42" s="814"/>
      <c r="NQ42" s="814"/>
      <c r="NR42" s="814"/>
      <c r="NS42" s="814"/>
      <c r="NT42" s="814"/>
      <c r="NU42" s="814"/>
      <c r="NV42" s="814"/>
      <c r="NW42" s="814"/>
      <c r="NX42" s="814"/>
      <c r="NY42" s="814"/>
      <c r="NZ42" s="814"/>
      <c r="OA42" s="814"/>
      <c r="OB42" s="814"/>
      <c r="OC42" s="814"/>
      <c r="OD42" s="814"/>
      <c r="OE42" s="814"/>
      <c r="OF42" s="814"/>
      <c r="OG42" s="814"/>
      <c r="OH42" s="814"/>
      <c r="OI42" s="814"/>
      <c r="OJ42" s="814"/>
      <c r="OK42" s="814"/>
      <c r="OL42" s="814"/>
      <c r="OM42" s="814"/>
      <c r="ON42" s="814"/>
      <c r="OO42" s="814"/>
      <c r="OP42" s="814"/>
      <c r="OQ42" s="814"/>
      <c r="OR42" s="814"/>
      <c r="OS42" s="814"/>
      <c r="OT42" s="814"/>
      <c r="OU42" s="814"/>
      <c r="OV42" s="814"/>
      <c r="OW42" s="814"/>
      <c r="OX42" s="814"/>
      <c r="OY42" s="814"/>
      <c r="OZ42" s="814"/>
      <c r="PA42" s="814"/>
      <c r="PB42" s="814"/>
      <c r="PC42" s="814"/>
      <c r="PD42" s="814"/>
      <c r="PE42" s="814"/>
      <c r="PF42" s="814"/>
      <c r="PG42" s="814"/>
      <c r="PH42" s="814"/>
      <c r="PI42" s="814"/>
      <c r="PJ42" s="814"/>
      <c r="PK42" s="814"/>
      <c r="PL42" s="814"/>
      <c r="PM42" s="814"/>
      <c r="PN42" s="814"/>
      <c r="PO42" s="814"/>
      <c r="PP42" s="814"/>
      <c r="PQ42" s="814"/>
      <c r="PR42" s="814"/>
      <c r="PS42" s="814"/>
      <c r="PT42" s="814"/>
      <c r="PU42" s="814"/>
      <c r="PV42" s="814"/>
      <c r="PW42" s="814"/>
      <c r="PX42" s="814"/>
      <c r="PY42" s="814"/>
      <c r="PZ42" s="814"/>
      <c r="QA42" s="814"/>
      <c r="QB42" s="814"/>
      <c r="QC42" s="814"/>
      <c r="QD42" s="814"/>
      <c r="QE42" s="814"/>
      <c r="QF42" s="814"/>
      <c r="QG42" s="814"/>
      <c r="QH42" s="814"/>
      <c r="QI42" s="814"/>
      <c r="QJ42" s="814"/>
      <c r="QK42" s="814"/>
      <c r="QL42" s="814"/>
      <c r="QM42" s="814"/>
      <c r="QN42" s="814"/>
      <c r="QO42" s="814"/>
      <c r="QP42" s="814"/>
      <c r="QQ42" s="814"/>
      <c r="QR42" s="814"/>
      <c r="QS42" s="814"/>
      <c r="QT42" s="814"/>
      <c r="QU42" s="814"/>
      <c r="QV42" s="814"/>
      <c r="QW42" s="814"/>
      <c r="QX42" s="814"/>
      <c r="QY42" s="814"/>
      <c r="QZ42" s="814"/>
      <c r="RA42" s="814"/>
      <c r="RB42" s="814"/>
      <c r="RC42" s="814"/>
      <c r="RD42" s="814"/>
      <c r="RE42" s="814"/>
      <c r="RF42" s="814"/>
      <c r="RG42" s="814"/>
      <c r="RH42" s="814"/>
      <c r="RI42" s="814"/>
      <c r="RJ42" s="814"/>
      <c r="RK42" s="814"/>
      <c r="RL42" s="814"/>
      <c r="RM42" s="814"/>
      <c r="RN42" s="814"/>
      <c r="RO42" s="814"/>
      <c r="RP42" s="814"/>
      <c r="RQ42" s="814"/>
      <c r="RR42" s="814"/>
      <c r="RS42" s="814"/>
      <c r="RT42" s="814"/>
      <c r="RU42" s="814"/>
      <c r="RV42" s="814"/>
      <c r="RW42" s="814"/>
      <c r="RX42" s="814"/>
    </row>
    <row r="43" spans="1:492" s="169" customFormat="1">
      <c r="A43" s="814"/>
      <c r="B43" s="814"/>
      <c r="C43" s="814"/>
      <c r="D43" s="814"/>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20"/>
      <c r="AN43" s="820"/>
      <c r="AO43" s="820"/>
      <c r="AP43" s="820"/>
      <c r="AQ43" s="804"/>
      <c r="AR43" s="804"/>
      <c r="AS43" s="804"/>
      <c r="AT43" s="804"/>
      <c r="AU43" s="804"/>
      <c r="AV43" s="804"/>
      <c r="AW43" s="820"/>
      <c r="AX43" s="820"/>
      <c r="AY43" s="820"/>
      <c r="AZ43" s="820"/>
      <c r="BA43" s="804"/>
      <c r="BB43" s="804"/>
      <c r="BC43" s="804"/>
      <c r="BD43" s="177"/>
      <c r="BE43" s="175"/>
      <c r="BF43" s="804"/>
      <c r="BG43" s="804"/>
      <c r="BH43" s="804"/>
      <c r="BI43" s="177"/>
      <c r="BJ43" s="175"/>
      <c r="BK43" s="804"/>
      <c r="BL43" s="804"/>
      <c r="BM43" s="804"/>
      <c r="BN43" s="177"/>
      <c r="BO43" s="175"/>
      <c r="BP43" s="804"/>
      <c r="BQ43" s="804"/>
      <c r="BR43" s="814"/>
      <c r="BS43" s="814"/>
      <c r="BT43" s="814"/>
      <c r="BU43" s="814"/>
      <c r="BV43" s="814"/>
      <c r="BW43" s="814"/>
      <c r="BX43" s="814"/>
      <c r="BY43" s="814"/>
      <c r="BZ43" s="814"/>
      <c r="CA43" s="814"/>
      <c r="CB43" s="814"/>
      <c r="CC43" s="814"/>
      <c r="CD43" s="814"/>
      <c r="CE43" s="814"/>
      <c r="CF43" s="814"/>
      <c r="CG43" s="814"/>
      <c r="CH43" s="814"/>
      <c r="CI43" s="814"/>
      <c r="CJ43" s="814"/>
      <c r="CK43" s="814"/>
      <c r="CL43" s="814"/>
      <c r="CM43" s="814"/>
      <c r="CN43" s="814"/>
      <c r="CO43" s="814"/>
      <c r="CP43" s="814"/>
      <c r="CQ43" s="814"/>
      <c r="CR43" s="814"/>
      <c r="CS43" s="814"/>
      <c r="CT43" s="814"/>
      <c r="CU43" s="814"/>
      <c r="CV43" s="814"/>
      <c r="CW43" s="814"/>
      <c r="CX43" s="814"/>
      <c r="CY43" s="814"/>
      <c r="CZ43" s="814"/>
      <c r="DA43" s="814"/>
      <c r="DB43" s="814"/>
      <c r="DC43" s="814"/>
      <c r="DD43" s="814"/>
      <c r="DE43" s="814"/>
      <c r="DF43" s="814"/>
      <c r="DG43" s="814"/>
      <c r="DH43" s="814"/>
      <c r="DI43" s="814"/>
      <c r="DJ43" s="814"/>
      <c r="DK43" s="814"/>
      <c r="DL43" s="814"/>
      <c r="DM43" s="814"/>
      <c r="DN43" s="814"/>
      <c r="DO43" s="814"/>
      <c r="DP43" s="814"/>
      <c r="DQ43" s="814"/>
      <c r="DR43" s="814"/>
      <c r="DS43" s="814"/>
      <c r="DT43" s="814"/>
      <c r="DU43" s="814"/>
      <c r="DV43" s="814"/>
      <c r="DW43" s="814"/>
      <c r="DX43" s="814"/>
      <c r="DY43" s="814"/>
      <c r="DZ43" s="814"/>
      <c r="EA43" s="814"/>
      <c r="EB43" s="814"/>
      <c r="EC43" s="814"/>
      <c r="ED43" s="814"/>
      <c r="EE43" s="814"/>
      <c r="EF43" s="814"/>
      <c r="EG43" s="814"/>
      <c r="EH43" s="814"/>
      <c r="EI43" s="814"/>
      <c r="EJ43" s="814"/>
      <c r="EK43" s="814"/>
      <c r="EL43" s="814"/>
      <c r="EM43" s="814"/>
      <c r="EN43" s="814"/>
      <c r="EO43" s="814"/>
      <c r="EP43" s="814"/>
      <c r="EQ43" s="814"/>
      <c r="ER43" s="814"/>
      <c r="ES43" s="814"/>
      <c r="ET43" s="814"/>
      <c r="EU43" s="814"/>
      <c r="EV43" s="814"/>
      <c r="EW43" s="814"/>
      <c r="EX43" s="814"/>
      <c r="EY43" s="814"/>
      <c r="EZ43" s="814"/>
      <c r="FA43" s="814"/>
      <c r="FB43" s="814"/>
      <c r="FC43" s="814"/>
      <c r="FD43" s="814"/>
      <c r="FE43" s="814"/>
      <c r="FF43" s="814"/>
      <c r="FG43" s="814"/>
      <c r="FH43" s="814"/>
      <c r="FI43" s="814"/>
      <c r="FJ43" s="814"/>
      <c r="FK43" s="814"/>
      <c r="FL43" s="814"/>
      <c r="FM43" s="814"/>
      <c r="FN43" s="814"/>
      <c r="FO43" s="814"/>
      <c r="FP43" s="814"/>
      <c r="FQ43" s="814"/>
      <c r="FR43" s="814"/>
      <c r="FS43" s="814"/>
      <c r="FT43" s="814"/>
      <c r="FU43" s="814"/>
      <c r="FV43" s="814"/>
      <c r="FW43" s="814"/>
      <c r="FX43" s="814"/>
      <c r="FY43" s="814"/>
      <c r="FZ43" s="814"/>
      <c r="GA43" s="814"/>
      <c r="GB43" s="814"/>
      <c r="GC43" s="814"/>
      <c r="GD43" s="814"/>
      <c r="GE43" s="814"/>
      <c r="GF43" s="814"/>
      <c r="GG43" s="814"/>
      <c r="GH43" s="814"/>
      <c r="GI43" s="814"/>
      <c r="GJ43" s="814"/>
      <c r="GK43" s="814"/>
      <c r="GL43" s="814"/>
      <c r="GM43" s="814"/>
      <c r="GN43" s="814"/>
      <c r="GO43" s="814"/>
      <c r="GP43" s="814"/>
      <c r="GQ43" s="814"/>
      <c r="GR43" s="814"/>
      <c r="GS43" s="814"/>
      <c r="GT43" s="814"/>
      <c r="GU43" s="814"/>
      <c r="GV43" s="814"/>
      <c r="GW43" s="814"/>
      <c r="GX43" s="814"/>
      <c r="GY43" s="814"/>
      <c r="GZ43" s="814"/>
      <c r="HA43" s="814"/>
      <c r="HB43" s="814"/>
      <c r="HC43" s="814"/>
      <c r="HD43" s="814"/>
      <c r="HE43" s="814"/>
      <c r="HF43" s="814"/>
      <c r="HG43" s="814"/>
      <c r="HH43" s="814"/>
      <c r="HI43" s="814"/>
      <c r="HJ43" s="814"/>
      <c r="HK43" s="814"/>
      <c r="HL43" s="814"/>
      <c r="HM43" s="814"/>
      <c r="HN43" s="814"/>
      <c r="HO43" s="814"/>
      <c r="HP43" s="814"/>
      <c r="HQ43" s="814"/>
      <c r="HR43" s="814"/>
      <c r="HS43" s="814"/>
      <c r="HT43" s="814"/>
      <c r="HU43" s="814"/>
      <c r="HV43" s="814"/>
      <c r="HW43" s="814"/>
      <c r="HX43" s="814"/>
      <c r="HY43" s="814"/>
      <c r="HZ43" s="814"/>
      <c r="IA43" s="814"/>
      <c r="IB43" s="814"/>
      <c r="IC43" s="814"/>
      <c r="ID43" s="814"/>
      <c r="IE43" s="814"/>
      <c r="IF43" s="814"/>
      <c r="IG43" s="814"/>
      <c r="IH43" s="814"/>
      <c r="II43" s="814"/>
      <c r="IJ43" s="814"/>
      <c r="IK43" s="814"/>
      <c r="IL43" s="814"/>
      <c r="IM43" s="814"/>
      <c r="IN43" s="814"/>
      <c r="IO43" s="814"/>
      <c r="IP43" s="814"/>
      <c r="IQ43" s="814"/>
      <c r="IR43" s="814"/>
      <c r="IS43" s="814"/>
      <c r="IT43" s="814"/>
      <c r="IU43" s="814"/>
      <c r="IV43" s="814"/>
      <c r="IW43" s="814"/>
      <c r="IX43" s="814"/>
      <c r="IY43" s="814"/>
      <c r="IZ43" s="814"/>
      <c r="JA43" s="814"/>
      <c r="JB43" s="814"/>
      <c r="JC43" s="814"/>
      <c r="JD43" s="814"/>
      <c r="JE43" s="814"/>
      <c r="JF43" s="814"/>
      <c r="JG43" s="814"/>
      <c r="JH43" s="814"/>
      <c r="JI43" s="814"/>
      <c r="JJ43" s="814"/>
      <c r="JK43" s="814"/>
      <c r="JL43" s="814"/>
      <c r="JM43" s="814"/>
      <c r="JN43" s="814"/>
      <c r="JO43" s="814"/>
      <c r="JP43" s="814"/>
      <c r="JQ43" s="814"/>
      <c r="JR43" s="814"/>
      <c r="JS43" s="814"/>
      <c r="JT43" s="814"/>
      <c r="JU43" s="814"/>
      <c r="JV43" s="814"/>
      <c r="JW43" s="814"/>
      <c r="JX43" s="814"/>
      <c r="JY43" s="814"/>
      <c r="JZ43" s="814"/>
      <c r="KA43" s="814"/>
      <c r="KB43" s="814"/>
      <c r="KC43" s="814"/>
      <c r="KD43" s="814"/>
      <c r="KE43" s="814"/>
      <c r="KF43" s="814"/>
      <c r="KG43" s="814"/>
      <c r="KH43" s="814"/>
      <c r="KI43" s="814"/>
      <c r="KJ43" s="814"/>
      <c r="KK43" s="814"/>
      <c r="KL43" s="814"/>
      <c r="KM43" s="814"/>
      <c r="KN43" s="814"/>
      <c r="KO43" s="814"/>
      <c r="KP43" s="814"/>
      <c r="KQ43" s="814"/>
      <c r="KR43" s="814"/>
      <c r="KS43" s="814"/>
      <c r="KT43" s="814"/>
      <c r="KU43" s="814"/>
      <c r="KV43" s="814"/>
      <c r="KW43" s="814"/>
      <c r="KX43" s="814"/>
      <c r="KY43" s="814"/>
      <c r="KZ43" s="814"/>
      <c r="LA43" s="814"/>
      <c r="LB43" s="814"/>
      <c r="LC43" s="814"/>
      <c r="LD43" s="814"/>
      <c r="LE43" s="814"/>
      <c r="LF43" s="814"/>
      <c r="LG43" s="814"/>
      <c r="LH43" s="814"/>
      <c r="LI43" s="814"/>
      <c r="LJ43" s="814"/>
      <c r="LK43" s="814"/>
      <c r="LL43" s="814"/>
      <c r="LM43" s="814"/>
      <c r="LN43" s="814"/>
      <c r="LO43" s="814"/>
      <c r="LP43" s="814"/>
      <c r="LQ43" s="814"/>
      <c r="LR43" s="814"/>
      <c r="LS43" s="814"/>
      <c r="LT43" s="814"/>
      <c r="LU43" s="814"/>
      <c r="LV43" s="814"/>
      <c r="LW43" s="814"/>
      <c r="LX43" s="814"/>
      <c r="LY43" s="814"/>
      <c r="LZ43" s="814"/>
      <c r="MA43" s="814"/>
      <c r="MB43" s="814"/>
      <c r="MC43" s="814"/>
      <c r="MD43" s="814"/>
      <c r="ME43" s="814"/>
      <c r="MF43" s="814"/>
      <c r="MG43" s="814"/>
      <c r="MH43" s="814"/>
      <c r="MI43" s="814"/>
      <c r="MJ43" s="814"/>
      <c r="MK43" s="814"/>
      <c r="ML43" s="814"/>
      <c r="MM43" s="814"/>
      <c r="MN43" s="814"/>
      <c r="MO43" s="814"/>
      <c r="MP43" s="814"/>
      <c r="MQ43" s="814"/>
      <c r="MR43" s="814"/>
      <c r="MS43" s="814"/>
      <c r="MT43" s="814"/>
      <c r="MU43" s="814"/>
      <c r="MV43" s="814"/>
      <c r="MW43" s="814"/>
      <c r="MX43" s="814"/>
      <c r="MY43" s="814"/>
      <c r="MZ43" s="814"/>
      <c r="NA43" s="814"/>
      <c r="NB43" s="814"/>
      <c r="NC43" s="814"/>
      <c r="ND43" s="814"/>
      <c r="NE43" s="814"/>
      <c r="NF43" s="814"/>
      <c r="NG43" s="814"/>
      <c r="NH43" s="814"/>
      <c r="NI43" s="814"/>
      <c r="NJ43" s="814"/>
      <c r="NK43" s="814"/>
      <c r="NL43" s="814"/>
      <c r="NM43" s="814"/>
      <c r="NN43" s="814"/>
      <c r="NO43" s="814"/>
      <c r="NP43" s="814"/>
      <c r="NQ43" s="814"/>
      <c r="NR43" s="814"/>
      <c r="NS43" s="814"/>
      <c r="NT43" s="814"/>
      <c r="NU43" s="814"/>
      <c r="NV43" s="814"/>
      <c r="NW43" s="814"/>
      <c r="NX43" s="814"/>
      <c r="NY43" s="814"/>
      <c r="NZ43" s="814"/>
      <c r="OA43" s="814"/>
      <c r="OB43" s="814"/>
      <c r="OC43" s="814"/>
      <c r="OD43" s="814"/>
      <c r="OE43" s="814"/>
      <c r="OF43" s="814"/>
      <c r="OG43" s="814"/>
      <c r="OH43" s="814"/>
      <c r="OI43" s="814"/>
      <c r="OJ43" s="814"/>
      <c r="OK43" s="814"/>
      <c r="OL43" s="814"/>
      <c r="OM43" s="814"/>
      <c r="ON43" s="814"/>
      <c r="OO43" s="814"/>
      <c r="OP43" s="814"/>
      <c r="OQ43" s="814"/>
      <c r="OR43" s="814"/>
      <c r="OS43" s="814"/>
      <c r="OT43" s="814"/>
      <c r="OU43" s="814"/>
      <c r="OV43" s="814"/>
      <c r="OW43" s="814"/>
      <c r="OX43" s="814"/>
      <c r="OY43" s="814"/>
      <c r="OZ43" s="814"/>
      <c r="PA43" s="814"/>
      <c r="PB43" s="814"/>
      <c r="PC43" s="814"/>
      <c r="PD43" s="814"/>
      <c r="PE43" s="814"/>
      <c r="PF43" s="814"/>
      <c r="PG43" s="814"/>
      <c r="PH43" s="814"/>
      <c r="PI43" s="814"/>
      <c r="PJ43" s="814"/>
      <c r="PK43" s="814"/>
      <c r="PL43" s="814"/>
      <c r="PM43" s="814"/>
      <c r="PN43" s="814"/>
      <c r="PO43" s="814"/>
      <c r="PP43" s="814"/>
      <c r="PQ43" s="814"/>
      <c r="PR43" s="814"/>
      <c r="PS43" s="814"/>
      <c r="PT43" s="814"/>
      <c r="PU43" s="814"/>
      <c r="PV43" s="814"/>
      <c r="PW43" s="814"/>
      <c r="PX43" s="814"/>
      <c r="PY43" s="814"/>
      <c r="PZ43" s="814"/>
      <c r="QA43" s="814"/>
      <c r="QB43" s="814"/>
      <c r="QC43" s="814"/>
      <c r="QD43" s="814"/>
      <c r="QE43" s="814"/>
      <c r="QF43" s="814"/>
      <c r="QG43" s="814"/>
      <c r="QH43" s="814"/>
      <c r="QI43" s="814"/>
      <c r="QJ43" s="814"/>
      <c r="QK43" s="814"/>
      <c r="QL43" s="814"/>
      <c r="QM43" s="814"/>
      <c r="QN43" s="814"/>
      <c r="QO43" s="814"/>
      <c r="QP43" s="814"/>
      <c r="QQ43" s="814"/>
      <c r="QR43" s="814"/>
      <c r="QS43" s="814"/>
      <c r="QT43" s="814"/>
      <c r="QU43" s="814"/>
      <c r="QV43" s="814"/>
      <c r="QW43" s="814"/>
      <c r="QX43" s="814"/>
      <c r="QY43" s="814"/>
      <c r="QZ43" s="814"/>
      <c r="RA43" s="814"/>
      <c r="RB43" s="814"/>
      <c r="RC43" s="814"/>
      <c r="RD43" s="814"/>
      <c r="RE43" s="814"/>
      <c r="RF43" s="814"/>
      <c r="RG43" s="814"/>
      <c r="RH43" s="814"/>
      <c r="RI43" s="814"/>
      <c r="RJ43" s="814"/>
      <c r="RK43" s="814"/>
      <c r="RL43" s="814"/>
      <c r="RM43" s="814"/>
      <c r="RN43" s="814"/>
      <c r="RO43" s="814"/>
      <c r="RP43" s="814"/>
      <c r="RQ43" s="814"/>
      <c r="RR43" s="814"/>
      <c r="RS43" s="814"/>
      <c r="RT43" s="814"/>
      <c r="RU43" s="814"/>
      <c r="RV43" s="814"/>
      <c r="RW43" s="814"/>
      <c r="RX43" s="814"/>
    </row>
    <row r="44" spans="1:492" s="169" customFormat="1">
      <c r="A44" s="814"/>
      <c r="B44" s="814"/>
      <c r="C44" s="814"/>
      <c r="D44" s="81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c r="AG44" s="814"/>
      <c r="AH44" s="814"/>
      <c r="AI44" s="814"/>
      <c r="AJ44" s="814"/>
      <c r="AK44" s="814"/>
      <c r="AL44" s="814"/>
      <c r="AM44" s="804"/>
      <c r="AN44" s="804"/>
      <c r="AO44" s="804"/>
      <c r="AP44" s="804"/>
      <c r="AQ44" s="804"/>
      <c r="AR44" s="804"/>
      <c r="AS44" s="804"/>
      <c r="AT44" s="804"/>
      <c r="AU44" s="804"/>
      <c r="AV44" s="804"/>
      <c r="AW44" s="804"/>
      <c r="AX44" s="804"/>
      <c r="AY44" s="804"/>
      <c r="AZ44" s="804"/>
      <c r="BA44" s="804"/>
      <c r="BB44" s="804"/>
      <c r="BC44" s="804"/>
      <c r="BD44" s="804"/>
      <c r="BE44" s="804"/>
      <c r="BF44" s="804"/>
      <c r="BG44" s="804"/>
      <c r="BH44" s="804"/>
      <c r="BI44" s="804"/>
      <c r="BJ44" s="804"/>
      <c r="BK44" s="804"/>
      <c r="BL44" s="804"/>
      <c r="BM44" s="804"/>
      <c r="BN44" s="804"/>
      <c r="BO44" s="804"/>
      <c r="BP44" s="804"/>
      <c r="BQ44" s="804"/>
      <c r="BR44" s="814"/>
      <c r="BS44" s="814"/>
      <c r="BT44" s="814"/>
      <c r="BU44" s="814"/>
      <c r="BV44" s="814"/>
      <c r="BW44" s="814"/>
      <c r="BX44" s="814"/>
      <c r="BY44" s="814"/>
      <c r="BZ44" s="814"/>
      <c r="CA44" s="814"/>
      <c r="CB44" s="814"/>
      <c r="CC44" s="814"/>
      <c r="CD44" s="814"/>
      <c r="CE44" s="814"/>
      <c r="CF44" s="814"/>
      <c r="CG44" s="814"/>
      <c r="CH44" s="814"/>
      <c r="CI44" s="814"/>
      <c r="CJ44" s="814"/>
      <c r="CK44" s="814"/>
      <c r="CL44" s="814"/>
      <c r="CM44" s="814"/>
      <c r="CN44" s="814"/>
      <c r="CO44" s="814"/>
      <c r="CP44" s="814"/>
      <c r="CQ44" s="814"/>
      <c r="CR44" s="814"/>
      <c r="CS44" s="814"/>
      <c r="CT44" s="814"/>
      <c r="CU44" s="814"/>
      <c r="CV44" s="814"/>
      <c r="CW44" s="814"/>
      <c r="CX44" s="814"/>
      <c r="CY44" s="814"/>
      <c r="CZ44" s="814"/>
      <c r="DA44" s="814"/>
      <c r="DB44" s="814"/>
      <c r="DC44" s="814"/>
      <c r="DD44" s="814"/>
      <c r="DE44" s="814"/>
      <c r="DF44" s="814"/>
      <c r="DG44" s="814"/>
      <c r="DH44" s="814"/>
      <c r="DI44" s="814"/>
      <c r="DJ44" s="814"/>
      <c r="DK44" s="814"/>
      <c r="DL44" s="814"/>
      <c r="DM44" s="814"/>
      <c r="DN44" s="814"/>
      <c r="DO44" s="814"/>
      <c r="DP44" s="814"/>
      <c r="DQ44" s="814"/>
      <c r="DR44" s="814"/>
      <c r="DS44" s="814"/>
      <c r="DT44" s="814"/>
      <c r="DU44" s="814"/>
      <c r="DV44" s="814"/>
      <c r="DW44" s="814"/>
      <c r="DX44" s="814"/>
      <c r="DY44" s="814"/>
      <c r="DZ44" s="814"/>
      <c r="EA44" s="814"/>
      <c r="EB44" s="814"/>
      <c r="EC44" s="814"/>
      <c r="ED44" s="814"/>
      <c r="EE44" s="814"/>
      <c r="EF44" s="814"/>
      <c r="EG44" s="814"/>
      <c r="EH44" s="814"/>
      <c r="EI44" s="814"/>
      <c r="EJ44" s="814"/>
      <c r="EK44" s="814"/>
      <c r="EL44" s="814"/>
      <c r="EM44" s="814"/>
      <c r="EN44" s="814"/>
      <c r="EO44" s="814"/>
      <c r="EP44" s="814"/>
      <c r="EQ44" s="814"/>
      <c r="ER44" s="814"/>
      <c r="ES44" s="814"/>
      <c r="ET44" s="814"/>
      <c r="EU44" s="814"/>
      <c r="EV44" s="814"/>
      <c r="EW44" s="814"/>
      <c r="EX44" s="814"/>
      <c r="EY44" s="814"/>
      <c r="EZ44" s="814"/>
      <c r="FA44" s="814"/>
      <c r="FB44" s="814"/>
      <c r="FC44" s="814"/>
      <c r="FD44" s="814"/>
      <c r="FE44" s="814"/>
      <c r="FF44" s="814"/>
      <c r="FG44" s="814"/>
      <c r="FH44" s="814"/>
      <c r="FI44" s="814"/>
      <c r="FJ44" s="814"/>
      <c r="FK44" s="814"/>
      <c r="FL44" s="814"/>
      <c r="FM44" s="814"/>
      <c r="FN44" s="814"/>
      <c r="FO44" s="814"/>
      <c r="FP44" s="814"/>
      <c r="FQ44" s="814"/>
      <c r="FR44" s="814"/>
      <c r="FS44" s="814"/>
      <c r="FT44" s="814"/>
      <c r="FU44" s="814"/>
      <c r="FV44" s="814"/>
      <c r="FW44" s="814"/>
      <c r="FX44" s="814"/>
      <c r="FY44" s="814"/>
      <c r="FZ44" s="814"/>
      <c r="GA44" s="814"/>
      <c r="GB44" s="814"/>
      <c r="GC44" s="814"/>
      <c r="GD44" s="814"/>
      <c r="GE44" s="814"/>
      <c r="GF44" s="814"/>
      <c r="GG44" s="814"/>
      <c r="GH44" s="814"/>
      <c r="GI44" s="814"/>
      <c r="GJ44" s="814"/>
      <c r="GK44" s="814"/>
      <c r="GL44" s="814"/>
      <c r="GM44" s="814"/>
      <c r="GN44" s="814"/>
      <c r="GO44" s="814"/>
      <c r="GP44" s="814"/>
      <c r="GQ44" s="814"/>
      <c r="GR44" s="814"/>
      <c r="GS44" s="814"/>
      <c r="GT44" s="814"/>
      <c r="GU44" s="814"/>
      <c r="GV44" s="814"/>
      <c r="GW44" s="814"/>
      <c r="GX44" s="814"/>
      <c r="GY44" s="814"/>
      <c r="GZ44" s="814"/>
      <c r="HA44" s="814"/>
      <c r="HB44" s="814"/>
      <c r="HC44" s="814"/>
      <c r="HD44" s="814"/>
      <c r="HE44" s="814"/>
      <c r="HF44" s="814"/>
      <c r="HG44" s="814"/>
      <c r="HH44" s="814"/>
      <c r="HI44" s="814"/>
      <c r="HJ44" s="814"/>
      <c r="HK44" s="814"/>
      <c r="HL44" s="814"/>
      <c r="HM44" s="814"/>
      <c r="HN44" s="814"/>
      <c r="HO44" s="814"/>
      <c r="HP44" s="814"/>
      <c r="HQ44" s="814"/>
      <c r="HR44" s="814"/>
      <c r="HS44" s="814"/>
      <c r="HT44" s="814"/>
      <c r="HU44" s="814"/>
      <c r="HV44" s="814"/>
      <c r="HW44" s="814"/>
      <c r="HX44" s="814"/>
      <c r="HY44" s="814"/>
      <c r="HZ44" s="814"/>
      <c r="IA44" s="814"/>
      <c r="IB44" s="814"/>
      <c r="IC44" s="814"/>
      <c r="ID44" s="814"/>
      <c r="IE44" s="814"/>
      <c r="IF44" s="814"/>
      <c r="IG44" s="814"/>
      <c r="IH44" s="814"/>
      <c r="II44" s="814"/>
      <c r="IJ44" s="814"/>
      <c r="IK44" s="814"/>
      <c r="IL44" s="814"/>
      <c r="IM44" s="814"/>
      <c r="IN44" s="814"/>
      <c r="IO44" s="814"/>
      <c r="IP44" s="814"/>
      <c r="IQ44" s="814"/>
      <c r="IR44" s="814"/>
      <c r="IS44" s="814"/>
      <c r="IT44" s="814"/>
      <c r="IU44" s="814"/>
      <c r="IV44" s="814"/>
      <c r="IW44" s="814"/>
      <c r="IX44" s="814"/>
      <c r="IY44" s="814"/>
      <c r="IZ44" s="814"/>
      <c r="JA44" s="814"/>
      <c r="JB44" s="814"/>
      <c r="JC44" s="814"/>
      <c r="JD44" s="814"/>
      <c r="JE44" s="814"/>
      <c r="JF44" s="814"/>
      <c r="JG44" s="814"/>
      <c r="JH44" s="814"/>
      <c r="JI44" s="814"/>
      <c r="JJ44" s="814"/>
      <c r="JK44" s="814"/>
      <c r="JL44" s="814"/>
      <c r="JM44" s="814"/>
      <c r="JN44" s="814"/>
      <c r="JO44" s="814"/>
      <c r="JP44" s="814"/>
      <c r="JQ44" s="814"/>
      <c r="JR44" s="814"/>
      <c r="JS44" s="814"/>
      <c r="JT44" s="814"/>
      <c r="JU44" s="814"/>
      <c r="JV44" s="814"/>
      <c r="JW44" s="814"/>
      <c r="JX44" s="814"/>
      <c r="JY44" s="814"/>
      <c r="JZ44" s="814"/>
      <c r="KA44" s="814"/>
      <c r="KB44" s="814"/>
      <c r="KC44" s="814"/>
      <c r="KD44" s="814"/>
      <c r="KE44" s="814"/>
      <c r="KF44" s="814"/>
      <c r="KG44" s="814"/>
      <c r="KH44" s="814"/>
      <c r="KI44" s="814"/>
      <c r="KJ44" s="814"/>
      <c r="KK44" s="814"/>
      <c r="KL44" s="814"/>
      <c r="KM44" s="814"/>
      <c r="KN44" s="814"/>
      <c r="KO44" s="814"/>
      <c r="KP44" s="814"/>
      <c r="KQ44" s="814"/>
      <c r="KR44" s="814"/>
      <c r="KS44" s="814"/>
      <c r="KT44" s="814"/>
      <c r="KU44" s="814"/>
      <c r="KV44" s="814"/>
      <c r="KW44" s="814"/>
      <c r="KX44" s="814"/>
      <c r="KY44" s="814"/>
      <c r="KZ44" s="814"/>
      <c r="LA44" s="814"/>
      <c r="LB44" s="814"/>
      <c r="LC44" s="814"/>
      <c r="LD44" s="814"/>
      <c r="LE44" s="814"/>
      <c r="LF44" s="814"/>
      <c r="LG44" s="814"/>
      <c r="LH44" s="814"/>
      <c r="LI44" s="814"/>
      <c r="LJ44" s="814"/>
      <c r="LK44" s="814"/>
      <c r="LL44" s="814"/>
      <c r="LM44" s="814"/>
      <c r="LN44" s="814"/>
      <c r="LO44" s="814"/>
      <c r="LP44" s="814"/>
      <c r="LQ44" s="814"/>
      <c r="LR44" s="814"/>
      <c r="LS44" s="814"/>
      <c r="LT44" s="814"/>
      <c r="LU44" s="814"/>
      <c r="LV44" s="814"/>
      <c r="LW44" s="814"/>
      <c r="LX44" s="814"/>
      <c r="LY44" s="814"/>
      <c r="LZ44" s="814"/>
      <c r="MA44" s="814"/>
      <c r="MB44" s="814"/>
      <c r="MC44" s="814"/>
      <c r="MD44" s="814"/>
      <c r="ME44" s="814"/>
      <c r="MF44" s="814"/>
      <c r="MG44" s="814"/>
      <c r="MH44" s="814"/>
      <c r="MI44" s="814"/>
      <c r="MJ44" s="814"/>
      <c r="MK44" s="814"/>
      <c r="ML44" s="814"/>
      <c r="MM44" s="814"/>
      <c r="MN44" s="814"/>
      <c r="MO44" s="814"/>
      <c r="MP44" s="814"/>
      <c r="MQ44" s="814"/>
      <c r="MR44" s="814"/>
      <c r="MS44" s="814"/>
      <c r="MT44" s="814"/>
      <c r="MU44" s="814"/>
      <c r="MV44" s="814"/>
      <c r="MW44" s="814"/>
      <c r="MX44" s="814"/>
      <c r="MY44" s="814"/>
      <c r="MZ44" s="814"/>
      <c r="NA44" s="814"/>
      <c r="NB44" s="814"/>
      <c r="NC44" s="814"/>
      <c r="ND44" s="814"/>
      <c r="NE44" s="814"/>
      <c r="NF44" s="814"/>
      <c r="NG44" s="814"/>
      <c r="NH44" s="814"/>
      <c r="NI44" s="814"/>
      <c r="NJ44" s="814"/>
      <c r="NK44" s="814"/>
      <c r="NL44" s="814"/>
      <c r="NM44" s="814"/>
      <c r="NN44" s="814"/>
      <c r="NO44" s="814"/>
      <c r="NP44" s="814"/>
      <c r="NQ44" s="814"/>
      <c r="NR44" s="814"/>
      <c r="NS44" s="814"/>
      <c r="NT44" s="814"/>
      <c r="NU44" s="814"/>
      <c r="NV44" s="814"/>
      <c r="NW44" s="814"/>
      <c r="NX44" s="814"/>
      <c r="NY44" s="814"/>
      <c r="NZ44" s="814"/>
      <c r="OA44" s="814"/>
      <c r="OB44" s="814"/>
      <c r="OC44" s="814"/>
      <c r="OD44" s="814"/>
      <c r="OE44" s="814"/>
      <c r="OF44" s="814"/>
      <c r="OG44" s="814"/>
      <c r="OH44" s="814"/>
      <c r="OI44" s="814"/>
      <c r="OJ44" s="814"/>
      <c r="OK44" s="814"/>
      <c r="OL44" s="814"/>
      <c r="OM44" s="814"/>
      <c r="ON44" s="814"/>
      <c r="OO44" s="814"/>
      <c r="OP44" s="814"/>
      <c r="OQ44" s="814"/>
      <c r="OR44" s="814"/>
      <c r="OS44" s="814"/>
      <c r="OT44" s="814"/>
      <c r="OU44" s="814"/>
      <c r="OV44" s="814"/>
      <c r="OW44" s="814"/>
      <c r="OX44" s="814"/>
      <c r="OY44" s="814"/>
      <c r="OZ44" s="814"/>
      <c r="PA44" s="814"/>
      <c r="PB44" s="814"/>
      <c r="PC44" s="814"/>
      <c r="PD44" s="814"/>
      <c r="PE44" s="814"/>
      <c r="PF44" s="814"/>
      <c r="PG44" s="814"/>
      <c r="PH44" s="814"/>
      <c r="PI44" s="814"/>
      <c r="PJ44" s="814"/>
      <c r="PK44" s="814"/>
      <c r="PL44" s="814"/>
      <c r="PM44" s="814"/>
      <c r="PN44" s="814"/>
      <c r="PO44" s="814"/>
      <c r="PP44" s="814"/>
      <c r="PQ44" s="814"/>
      <c r="PR44" s="814"/>
      <c r="PS44" s="814"/>
      <c r="PT44" s="814"/>
      <c r="PU44" s="814"/>
      <c r="PV44" s="814"/>
      <c r="PW44" s="814"/>
      <c r="PX44" s="814"/>
      <c r="PY44" s="814"/>
      <c r="PZ44" s="814"/>
      <c r="QA44" s="814"/>
      <c r="QB44" s="814"/>
      <c r="QC44" s="814"/>
      <c r="QD44" s="814"/>
      <c r="QE44" s="814"/>
      <c r="QF44" s="814"/>
      <c r="QG44" s="814"/>
      <c r="QH44" s="814"/>
      <c r="QI44" s="814"/>
      <c r="QJ44" s="814"/>
      <c r="QK44" s="814"/>
      <c r="QL44" s="814"/>
      <c r="QM44" s="814"/>
      <c r="QN44" s="814"/>
      <c r="QO44" s="814"/>
      <c r="QP44" s="814"/>
      <c r="QQ44" s="814"/>
      <c r="QR44" s="814"/>
      <c r="QS44" s="814"/>
      <c r="QT44" s="814"/>
      <c r="QU44" s="814"/>
      <c r="QV44" s="814"/>
      <c r="QW44" s="814"/>
      <c r="QX44" s="814"/>
      <c r="QY44" s="814"/>
      <c r="QZ44" s="814"/>
      <c r="RA44" s="814"/>
      <c r="RB44" s="814"/>
      <c r="RC44" s="814"/>
      <c r="RD44" s="814"/>
      <c r="RE44" s="814"/>
      <c r="RF44" s="814"/>
      <c r="RG44" s="814"/>
      <c r="RH44" s="814"/>
      <c r="RI44" s="814"/>
      <c r="RJ44" s="814"/>
      <c r="RK44" s="814"/>
      <c r="RL44" s="814"/>
      <c r="RM44" s="814"/>
      <c r="RN44" s="814"/>
      <c r="RO44" s="814"/>
      <c r="RP44" s="814"/>
      <c r="RQ44" s="814"/>
      <c r="RR44" s="814"/>
      <c r="RS44" s="814"/>
      <c r="RT44" s="814"/>
      <c r="RU44" s="814"/>
      <c r="RV44" s="814"/>
      <c r="RW44" s="814"/>
      <c r="RX44" s="814"/>
    </row>
    <row r="45" spans="1:492" s="169" customFormat="1">
      <c r="A45" s="814"/>
      <c r="B45" s="814"/>
      <c r="C45" s="814"/>
      <c r="D45" s="814"/>
      <c r="E45" s="814"/>
      <c r="F45" s="814"/>
      <c r="G45" s="814"/>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14"/>
      <c r="BS45" s="814"/>
      <c r="BT45" s="814"/>
      <c r="BU45" s="814"/>
      <c r="BV45" s="814"/>
      <c r="BW45" s="814"/>
      <c r="BX45" s="814"/>
      <c r="BY45" s="814"/>
      <c r="BZ45" s="814"/>
      <c r="CA45" s="814"/>
      <c r="CB45" s="814"/>
      <c r="CC45" s="814"/>
      <c r="CD45" s="814"/>
      <c r="CE45" s="814"/>
      <c r="CF45" s="814"/>
      <c r="CG45" s="814"/>
      <c r="CH45" s="814"/>
      <c r="CI45" s="814"/>
      <c r="CJ45" s="814"/>
      <c r="CK45" s="814"/>
      <c r="CL45" s="814"/>
      <c r="CM45" s="814"/>
      <c r="CN45" s="814"/>
      <c r="CO45" s="814"/>
      <c r="CP45" s="814"/>
      <c r="CQ45" s="814"/>
      <c r="CR45" s="814"/>
      <c r="CS45" s="814"/>
      <c r="CT45" s="814"/>
      <c r="CU45" s="814"/>
      <c r="CV45" s="814"/>
      <c r="CW45" s="814"/>
      <c r="CX45" s="814"/>
      <c r="CY45" s="814"/>
      <c r="CZ45" s="814"/>
      <c r="DA45" s="814"/>
      <c r="DB45" s="814"/>
      <c r="DC45" s="814"/>
      <c r="DD45" s="814"/>
      <c r="DE45" s="814"/>
      <c r="DF45" s="814"/>
      <c r="DG45" s="814"/>
      <c r="DH45" s="814"/>
      <c r="DI45" s="814"/>
      <c r="DJ45" s="814"/>
      <c r="DK45" s="814"/>
      <c r="DL45" s="814"/>
      <c r="DM45" s="814"/>
      <c r="DN45" s="814"/>
      <c r="DO45" s="814"/>
      <c r="DP45" s="814"/>
      <c r="DQ45" s="814"/>
      <c r="DR45" s="814"/>
      <c r="DS45" s="814"/>
      <c r="DT45" s="814"/>
      <c r="DU45" s="814"/>
      <c r="DV45" s="814"/>
      <c r="DW45" s="814"/>
      <c r="DX45" s="814"/>
      <c r="DY45" s="814"/>
      <c r="DZ45" s="814"/>
      <c r="EA45" s="814"/>
      <c r="EB45" s="814"/>
      <c r="EC45" s="814"/>
      <c r="ED45" s="814"/>
      <c r="EE45" s="814"/>
      <c r="EF45" s="814"/>
      <c r="EG45" s="814"/>
      <c r="EH45" s="814"/>
      <c r="EI45" s="814"/>
      <c r="EJ45" s="814"/>
      <c r="EK45" s="814"/>
      <c r="EL45" s="814"/>
      <c r="EM45" s="814"/>
      <c r="EN45" s="814"/>
      <c r="EO45" s="814"/>
      <c r="EP45" s="814"/>
      <c r="EQ45" s="814"/>
      <c r="ER45" s="814"/>
      <c r="ES45" s="814"/>
      <c r="ET45" s="814"/>
      <c r="EU45" s="814"/>
      <c r="EV45" s="814"/>
      <c r="EW45" s="814"/>
      <c r="EX45" s="814"/>
      <c r="EY45" s="814"/>
      <c r="EZ45" s="814"/>
      <c r="FA45" s="814"/>
      <c r="FB45" s="814"/>
      <c r="FC45" s="814"/>
      <c r="FD45" s="814"/>
      <c r="FE45" s="814"/>
      <c r="FF45" s="814"/>
      <c r="FG45" s="814"/>
      <c r="FH45" s="814"/>
      <c r="FI45" s="814"/>
      <c r="FJ45" s="814"/>
      <c r="FK45" s="814"/>
      <c r="FL45" s="814"/>
      <c r="FM45" s="814"/>
      <c r="FN45" s="814"/>
      <c r="FO45" s="814"/>
      <c r="FP45" s="814"/>
      <c r="FQ45" s="814"/>
      <c r="FR45" s="814"/>
      <c r="FS45" s="814"/>
      <c r="FT45" s="814"/>
      <c r="FU45" s="814"/>
      <c r="FV45" s="814"/>
      <c r="FW45" s="814"/>
      <c r="FX45" s="814"/>
      <c r="FY45" s="814"/>
      <c r="FZ45" s="814"/>
      <c r="GA45" s="814"/>
      <c r="GB45" s="814"/>
      <c r="GC45" s="814"/>
      <c r="GD45" s="814"/>
      <c r="GE45" s="814"/>
      <c r="GF45" s="814"/>
      <c r="GG45" s="814"/>
      <c r="GH45" s="814"/>
      <c r="GI45" s="814"/>
      <c r="GJ45" s="814"/>
      <c r="GK45" s="814"/>
      <c r="GL45" s="814"/>
      <c r="GM45" s="814"/>
      <c r="GN45" s="814"/>
      <c r="GO45" s="814"/>
      <c r="GP45" s="814"/>
      <c r="GQ45" s="814"/>
      <c r="GR45" s="814"/>
      <c r="GS45" s="814"/>
      <c r="GT45" s="814"/>
      <c r="GU45" s="814"/>
      <c r="GV45" s="814"/>
      <c r="GW45" s="814"/>
      <c r="GX45" s="814"/>
      <c r="GY45" s="814"/>
      <c r="GZ45" s="814"/>
      <c r="HA45" s="814"/>
      <c r="HB45" s="814"/>
      <c r="HC45" s="814"/>
      <c r="HD45" s="814"/>
      <c r="HE45" s="814"/>
      <c r="HF45" s="814"/>
      <c r="HG45" s="814"/>
      <c r="HH45" s="814"/>
      <c r="HI45" s="814"/>
      <c r="HJ45" s="814"/>
      <c r="HK45" s="814"/>
      <c r="HL45" s="814"/>
      <c r="HM45" s="814"/>
      <c r="HN45" s="814"/>
      <c r="HO45" s="814"/>
      <c r="HP45" s="814"/>
      <c r="HQ45" s="814"/>
      <c r="HR45" s="814"/>
      <c r="HS45" s="814"/>
      <c r="HT45" s="814"/>
      <c r="HU45" s="814"/>
      <c r="HV45" s="814"/>
      <c r="HW45" s="814"/>
      <c r="HX45" s="814"/>
      <c r="HY45" s="814"/>
      <c r="HZ45" s="814"/>
      <c r="IA45" s="814"/>
      <c r="IB45" s="814"/>
      <c r="IC45" s="814"/>
      <c r="ID45" s="814"/>
      <c r="IE45" s="814"/>
      <c r="IF45" s="814"/>
      <c r="IG45" s="814"/>
      <c r="IH45" s="814"/>
      <c r="II45" s="814"/>
      <c r="IJ45" s="814"/>
      <c r="IK45" s="814"/>
      <c r="IL45" s="814"/>
      <c r="IM45" s="814"/>
      <c r="IN45" s="814"/>
      <c r="IO45" s="814"/>
      <c r="IP45" s="814"/>
      <c r="IQ45" s="814"/>
      <c r="IR45" s="814"/>
      <c r="IS45" s="814"/>
      <c r="IT45" s="814"/>
      <c r="IU45" s="814"/>
      <c r="IV45" s="814"/>
      <c r="IW45" s="814"/>
      <c r="IX45" s="814"/>
      <c r="IY45" s="814"/>
      <c r="IZ45" s="814"/>
      <c r="JA45" s="814"/>
      <c r="JB45" s="814"/>
      <c r="JC45" s="814"/>
      <c r="JD45" s="814"/>
      <c r="JE45" s="814"/>
      <c r="JF45" s="814"/>
      <c r="JG45" s="814"/>
      <c r="JH45" s="814"/>
      <c r="JI45" s="814"/>
      <c r="JJ45" s="814"/>
      <c r="JK45" s="814"/>
      <c r="JL45" s="814"/>
      <c r="JM45" s="814"/>
      <c r="JN45" s="814"/>
      <c r="JO45" s="814"/>
      <c r="JP45" s="814"/>
      <c r="JQ45" s="814"/>
      <c r="JR45" s="814"/>
      <c r="JS45" s="814"/>
      <c r="JT45" s="814"/>
      <c r="JU45" s="814"/>
      <c r="JV45" s="814"/>
      <c r="JW45" s="814"/>
      <c r="JX45" s="814"/>
      <c r="JY45" s="814"/>
      <c r="JZ45" s="814"/>
      <c r="KA45" s="814"/>
      <c r="KB45" s="814"/>
      <c r="KC45" s="814"/>
      <c r="KD45" s="814"/>
      <c r="KE45" s="814"/>
      <c r="KF45" s="814"/>
      <c r="KG45" s="814"/>
      <c r="KH45" s="814"/>
      <c r="KI45" s="814"/>
      <c r="KJ45" s="814"/>
      <c r="KK45" s="814"/>
      <c r="KL45" s="814"/>
      <c r="KM45" s="814"/>
      <c r="KN45" s="814"/>
      <c r="KO45" s="814"/>
      <c r="KP45" s="814"/>
      <c r="KQ45" s="814"/>
      <c r="KR45" s="814"/>
      <c r="KS45" s="814"/>
      <c r="KT45" s="814"/>
      <c r="KU45" s="814"/>
      <c r="KV45" s="814"/>
      <c r="KW45" s="814"/>
      <c r="KX45" s="814"/>
      <c r="KY45" s="814"/>
      <c r="KZ45" s="814"/>
      <c r="LA45" s="814"/>
      <c r="LB45" s="814"/>
      <c r="LC45" s="814"/>
      <c r="LD45" s="814"/>
      <c r="LE45" s="814"/>
      <c r="LF45" s="814"/>
      <c r="LG45" s="814"/>
      <c r="LH45" s="814"/>
      <c r="LI45" s="814"/>
      <c r="LJ45" s="814"/>
      <c r="LK45" s="814"/>
      <c r="LL45" s="814"/>
      <c r="LM45" s="814"/>
      <c r="LN45" s="814"/>
      <c r="LO45" s="814"/>
      <c r="LP45" s="814"/>
      <c r="LQ45" s="814"/>
      <c r="LR45" s="814"/>
      <c r="LS45" s="814"/>
      <c r="LT45" s="814"/>
      <c r="LU45" s="814"/>
      <c r="LV45" s="814"/>
      <c r="LW45" s="814"/>
      <c r="LX45" s="814"/>
      <c r="LY45" s="814"/>
      <c r="LZ45" s="814"/>
      <c r="MA45" s="814"/>
      <c r="MB45" s="814"/>
      <c r="MC45" s="814"/>
      <c r="MD45" s="814"/>
      <c r="ME45" s="814"/>
      <c r="MF45" s="814"/>
      <c r="MG45" s="814"/>
      <c r="MH45" s="814"/>
      <c r="MI45" s="814"/>
      <c r="MJ45" s="814"/>
      <c r="MK45" s="814"/>
      <c r="ML45" s="814"/>
      <c r="MM45" s="814"/>
      <c r="MN45" s="814"/>
      <c r="MO45" s="814"/>
      <c r="MP45" s="814"/>
      <c r="MQ45" s="814"/>
      <c r="MR45" s="814"/>
      <c r="MS45" s="814"/>
      <c r="MT45" s="814"/>
      <c r="MU45" s="814"/>
      <c r="MV45" s="814"/>
      <c r="MW45" s="814"/>
      <c r="MX45" s="814"/>
      <c r="MY45" s="814"/>
      <c r="MZ45" s="814"/>
      <c r="NA45" s="814"/>
      <c r="NB45" s="814"/>
      <c r="NC45" s="814"/>
      <c r="ND45" s="814"/>
      <c r="NE45" s="814"/>
      <c r="NF45" s="814"/>
      <c r="NG45" s="814"/>
      <c r="NH45" s="814"/>
      <c r="NI45" s="814"/>
      <c r="NJ45" s="814"/>
      <c r="NK45" s="814"/>
      <c r="NL45" s="814"/>
      <c r="NM45" s="814"/>
      <c r="NN45" s="814"/>
      <c r="NO45" s="814"/>
      <c r="NP45" s="814"/>
      <c r="NQ45" s="814"/>
      <c r="NR45" s="814"/>
      <c r="NS45" s="814"/>
      <c r="NT45" s="814"/>
      <c r="NU45" s="814"/>
      <c r="NV45" s="814"/>
      <c r="NW45" s="814"/>
      <c r="NX45" s="814"/>
      <c r="NY45" s="814"/>
      <c r="NZ45" s="814"/>
      <c r="OA45" s="814"/>
      <c r="OB45" s="814"/>
      <c r="OC45" s="814"/>
      <c r="OD45" s="814"/>
      <c r="OE45" s="814"/>
      <c r="OF45" s="814"/>
      <c r="OG45" s="814"/>
      <c r="OH45" s="814"/>
      <c r="OI45" s="814"/>
      <c r="OJ45" s="814"/>
      <c r="OK45" s="814"/>
      <c r="OL45" s="814"/>
      <c r="OM45" s="814"/>
      <c r="ON45" s="814"/>
      <c r="OO45" s="814"/>
      <c r="OP45" s="814"/>
      <c r="OQ45" s="814"/>
      <c r="OR45" s="814"/>
      <c r="OS45" s="814"/>
      <c r="OT45" s="814"/>
      <c r="OU45" s="814"/>
      <c r="OV45" s="814"/>
      <c r="OW45" s="814"/>
      <c r="OX45" s="814"/>
      <c r="OY45" s="814"/>
      <c r="OZ45" s="814"/>
      <c r="PA45" s="814"/>
      <c r="PB45" s="814"/>
      <c r="PC45" s="814"/>
      <c r="PD45" s="814"/>
      <c r="PE45" s="814"/>
      <c r="PF45" s="814"/>
      <c r="PG45" s="814"/>
      <c r="PH45" s="814"/>
      <c r="PI45" s="814"/>
      <c r="PJ45" s="814"/>
      <c r="PK45" s="814"/>
      <c r="PL45" s="814"/>
      <c r="PM45" s="814"/>
      <c r="PN45" s="814"/>
      <c r="PO45" s="814"/>
      <c r="PP45" s="814"/>
      <c r="PQ45" s="814"/>
      <c r="PR45" s="814"/>
      <c r="PS45" s="814"/>
      <c r="PT45" s="814"/>
      <c r="PU45" s="814"/>
      <c r="PV45" s="814"/>
      <c r="PW45" s="814"/>
      <c r="PX45" s="814"/>
      <c r="PY45" s="814"/>
      <c r="PZ45" s="814"/>
      <c r="QA45" s="814"/>
      <c r="QB45" s="814"/>
      <c r="QC45" s="814"/>
      <c r="QD45" s="814"/>
      <c r="QE45" s="814"/>
      <c r="QF45" s="814"/>
      <c r="QG45" s="814"/>
      <c r="QH45" s="814"/>
      <c r="QI45" s="814"/>
      <c r="QJ45" s="814"/>
      <c r="QK45" s="814"/>
      <c r="QL45" s="814"/>
      <c r="QM45" s="814"/>
      <c r="QN45" s="814"/>
      <c r="QO45" s="814"/>
      <c r="QP45" s="814"/>
      <c r="QQ45" s="814"/>
      <c r="QR45" s="814"/>
      <c r="QS45" s="814"/>
      <c r="QT45" s="814"/>
      <c r="QU45" s="814"/>
      <c r="QV45" s="814"/>
      <c r="QW45" s="814"/>
      <c r="QX45" s="814"/>
      <c r="QY45" s="814"/>
      <c r="QZ45" s="814"/>
      <c r="RA45" s="814"/>
      <c r="RB45" s="814"/>
      <c r="RC45" s="814"/>
      <c r="RD45" s="814"/>
      <c r="RE45" s="814"/>
      <c r="RF45" s="814"/>
      <c r="RG45" s="814"/>
      <c r="RH45" s="814"/>
      <c r="RI45" s="814"/>
      <c r="RJ45" s="814"/>
      <c r="RK45" s="814"/>
      <c r="RL45" s="814"/>
      <c r="RM45" s="814"/>
      <c r="RN45" s="814"/>
      <c r="RO45" s="814"/>
      <c r="RP45" s="814"/>
      <c r="RQ45" s="814"/>
      <c r="RR45" s="814"/>
      <c r="RS45" s="814"/>
      <c r="RT45" s="814"/>
      <c r="RU45" s="814"/>
      <c r="RV45" s="814"/>
      <c r="RW45" s="814"/>
      <c r="RX45" s="814"/>
    </row>
    <row r="46" spans="1:492" s="169" customFormat="1">
      <c r="A46" s="814"/>
      <c r="B46" s="814"/>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c r="AM46" s="804"/>
      <c r="AN46" s="804"/>
      <c r="AO46" s="804"/>
      <c r="AP46" s="804"/>
      <c r="AQ46" s="804"/>
      <c r="AR46" s="804"/>
      <c r="AS46" s="804"/>
      <c r="AT46" s="804"/>
      <c r="AU46" s="804"/>
      <c r="AV46" s="804"/>
      <c r="AW46" s="820"/>
      <c r="AX46" s="820"/>
      <c r="AY46" s="820"/>
      <c r="AZ46" s="820"/>
      <c r="BA46" s="804"/>
      <c r="BB46" s="804"/>
      <c r="BC46" s="804"/>
      <c r="BD46" s="804"/>
      <c r="BE46" s="804"/>
      <c r="BF46" s="804"/>
      <c r="BG46" s="804"/>
      <c r="BH46" s="804"/>
      <c r="BI46" s="804"/>
      <c r="BJ46" s="804"/>
      <c r="BK46" s="804"/>
      <c r="BL46" s="804"/>
      <c r="BM46" s="804"/>
      <c r="BN46" s="804"/>
      <c r="BO46" s="804"/>
      <c r="BP46" s="804"/>
      <c r="BQ46" s="804"/>
      <c r="BR46" s="814"/>
      <c r="BS46" s="814"/>
      <c r="BT46" s="814"/>
      <c r="BU46" s="814"/>
      <c r="BV46" s="814"/>
      <c r="BW46" s="814"/>
      <c r="BX46" s="814"/>
      <c r="BY46" s="814"/>
      <c r="BZ46" s="814"/>
      <c r="CA46" s="814"/>
      <c r="CB46" s="814"/>
      <c r="CC46" s="814"/>
      <c r="CD46" s="814"/>
      <c r="CE46" s="814"/>
      <c r="CF46" s="814"/>
      <c r="CG46" s="814"/>
      <c r="CH46" s="814"/>
      <c r="CI46" s="814"/>
      <c r="CJ46" s="814"/>
      <c r="CK46" s="814"/>
      <c r="CL46" s="814"/>
      <c r="CM46" s="814"/>
      <c r="CN46" s="814"/>
      <c r="CO46" s="814"/>
      <c r="CP46" s="814"/>
      <c r="CQ46" s="814"/>
      <c r="CR46" s="814"/>
      <c r="CS46" s="814"/>
      <c r="CT46" s="814"/>
      <c r="CU46" s="814"/>
      <c r="CV46" s="814"/>
      <c r="CW46" s="814"/>
      <c r="CX46" s="814"/>
      <c r="CY46" s="814"/>
      <c r="CZ46" s="814"/>
      <c r="DA46" s="814"/>
      <c r="DB46" s="814"/>
      <c r="DC46" s="814"/>
      <c r="DD46" s="814"/>
      <c r="DE46" s="814"/>
      <c r="DF46" s="814"/>
      <c r="DG46" s="814"/>
      <c r="DH46" s="814"/>
      <c r="DI46" s="814"/>
      <c r="DJ46" s="814"/>
      <c r="DK46" s="814"/>
      <c r="DL46" s="814"/>
      <c r="DM46" s="814"/>
      <c r="DN46" s="814"/>
      <c r="DO46" s="814"/>
      <c r="DP46" s="814"/>
      <c r="DQ46" s="814"/>
      <c r="DR46" s="814"/>
      <c r="DS46" s="814"/>
      <c r="DT46" s="814"/>
      <c r="DU46" s="814"/>
      <c r="DV46" s="814"/>
      <c r="DW46" s="814"/>
      <c r="DX46" s="814"/>
      <c r="DY46" s="814"/>
      <c r="DZ46" s="814"/>
      <c r="EA46" s="814"/>
      <c r="EB46" s="814"/>
      <c r="EC46" s="814"/>
      <c r="ED46" s="814"/>
      <c r="EE46" s="814"/>
      <c r="EF46" s="814"/>
      <c r="EG46" s="814"/>
      <c r="EH46" s="814"/>
      <c r="EI46" s="814"/>
      <c r="EJ46" s="814"/>
      <c r="EK46" s="814"/>
      <c r="EL46" s="814"/>
      <c r="EM46" s="814"/>
      <c r="EN46" s="814"/>
      <c r="EO46" s="814"/>
      <c r="EP46" s="814"/>
      <c r="EQ46" s="814"/>
      <c r="ER46" s="814"/>
      <c r="ES46" s="814"/>
      <c r="ET46" s="814"/>
      <c r="EU46" s="814"/>
      <c r="EV46" s="814"/>
      <c r="EW46" s="814"/>
      <c r="EX46" s="814"/>
      <c r="EY46" s="814"/>
      <c r="EZ46" s="814"/>
      <c r="FA46" s="814"/>
      <c r="FB46" s="814"/>
      <c r="FC46" s="814"/>
      <c r="FD46" s="814"/>
      <c r="FE46" s="814"/>
      <c r="FF46" s="814"/>
      <c r="FG46" s="814"/>
      <c r="FH46" s="814"/>
      <c r="FI46" s="814"/>
      <c r="FJ46" s="814"/>
      <c r="FK46" s="814"/>
      <c r="FL46" s="814"/>
      <c r="FM46" s="814"/>
      <c r="FN46" s="814"/>
      <c r="FO46" s="814"/>
      <c r="FP46" s="814"/>
      <c r="FQ46" s="814"/>
      <c r="FR46" s="814"/>
      <c r="FS46" s="814"/>
      <c r="FT46" s="814"/>
      <c r="FU46" s="814"/>
      <c r="FV46" s="814"/>
      <c r="FW46" s="814"/>
      <c r="FX46" s="814"/>
      <c r="FY46" s="814"/>
      <c r="FZ46" s="814"/>
      <c r="GA46" s="814"/>
      <c r="GB46" s="814"/>
      <c r="GC46" s="814"/>
      <c r="GD46" s="814"/>
      <c r="GE46" s="814"/>
      <c r="GF46" s="814"/>
      <c r="GG46" s="814"/>
      <c r="GH46" s="814"/>
      <c r="GI46" s="814"/>
      <c r="GJ46" s="814"/>
      <c r="GK46" s="814"/>
      <c r="GL46" s="814"/>
      <c r="GM46" s="814"/>
      <c r="GN46" s="814"/>
      <c r="GO46" s="814"/>
      <c r="GP46" s="814"/>
      <c r="GQ46" s="814"/>
      <c r="GR46" s="814"/>
      <c r="GS46" s="814"/>
      <c r="GT46" s="814"/>
      <c r="GU46" s="814"/>
      <c r="GV46" s="814"/>
      <c r="GW46" s="814"/>
      <c r="GX46" s="814"/>
      <c r="GY46" s="814"/>
      <c r="GZ46" s="814"/>
      <c r="HA46" s="814"/>
      <c r="HB46" s="814"/>
      <c r="HC46" s="814"/>
      <c r="HD46" s="814"/>
      <c r="HE46" s="814"/>
      <c r="HF46" s="814"/>
      <c r="HG46" s="814"/>
      <c r="HH46" s="814"/>
      <c r="HI46" s="814"/>
      <c r="HJ46" s="814"/>
      <c r="HK46" s="814"/>
      <c r="HL46" s="814"/>
      <c r="HM46" s="814"/>
      <c r="HN46" s="814"/>
      <c r="HO46" s="814"/>
      <c r="HP46" s="814"/>
      <c r="HQ46" s="814"/>
      <c r="HR46" s="814"/>
      <c r="HS46" s="814"/>
      <c r="HT46" s="814"/>
      <c r="HU46" s="814"/>
      <c r="HV46" s="814"/>
      <c r="HW46" s="814"/>
      <c r="HX46" s="814"/>
      <c r="HY46" s="814"/>
      <c r="HZ46" s="814"/>
      <c r="IA46" s="814"/>
      <c r="IB46" s="814"/>
      <c r="IC46" s="814"/>
      <c r="ID46" s="814"/>
      <c r="IE46" s="814"/>
      <c r="IF46" s="814"/>
      <c r="IG46" s="814"/>
      <c r="IH46" s="814"/>
      <c r="II46" s="814"/>
      <c r="IJ46" s="814"/>
      <c r="IK46" s="814"/>
      <c r="IL46" s="814"/>
      <c r="IM46" s="814"/>
      <c r="IN46" s="814"/>
      <c r="IO46" s="814"/>
      <c r="IP46" s="814"/>
      <c r="IQ46" s="814"/>
      <c r="IR46" s="814"/>
      <c r="IS46" s="814"/>
      <c r="IT46" s="814"/>
      <c r="IU46" s="814"/>
      <c r="IV46" s="814"/>
      <c r="IW46" s="814"/>
      <c r="IX46" s="814"/>
      <c r="IY46" s="814"/>
      <c r="IZ46" s="814"/>
      <c r="JA46" s="814"/>
      <c r="JB46" s="814"/>
      <c r="JC46" s="814"/>
      <c r="JD46" s="814"/>
      <c r="JE46" s="814"/>
      <c r="JF46" s="814"/>
      <c r="JG46" s="814"/>
      <c r="JH46" s="814"/>
      <c r="JI46" s="814"/>
      <c r="JJ46" s="814"/>
      <c r="JK46" s="814"/>
      <c r="JL46" s="814"/>
      <c r="JM46" s="814"/>
      <c r="JN46" s="814"/>
      <c r="JO46" s="814"/>
      <c r="JP46" s="814"/>
      <c r="JQ46" s="814"/>
      <c r="JR46" s="814"/>
      <c r="JS46" s="814"/>
      <c r="JT46" s="814"/>
      <c r="JU46" s="814"/>
      <c r="JV46" s="814"/>
      <c r="JW46" s="814"/>
      <c r="JX46" s="814"/>
      <c r="JY46" s="814"/>
      <c r="JZ46" s="814"/>
      <c r="KA46" s="814"/>
      <c r="KB46" s="814"/>
      <c r="KC46" s="814"/>
      <c r="KD46" s="814"/>
      <c r="KE46" s="814"/>
      <c r="KF46" s="814"/>
      <c r="KG46" s="814"/>
      <c r="KH46" s="814"/>
      <c r="KI46" s="814"/>
      <c r="KJ46" s="814"/>
      <c r="KK46" s="814"/>
      <c r="KL46" s="814"/>
      <c r="KM46" s="814"/>
      <c r="KN46" s="814"/>
      <c r="KO46" s="814"/>
      <c r="KP46" s="814"/>
      <c r="KQ46" s="814"/>
      <c r="KR46" s="814"/>
      <c r="KS46" s="814"/>
      <c r="KT46" s="814"/>
      <c r="KU46" s="814"/>
      <c r="KV46" s="814"/>
      <c r="KW46" s="814"/>
      <c r="KX46" s="814"/>
      <c r="KY46" s="814"/>
      <c r="KZ46" s="814"/>
      <c r="LA46" s="814"/>
      <c r="LB46" s="814"/>
      <c r="LC46" s="814"/>
      <c r="LD46" s="814"/>
      <c r="LE46" s="814"/>
      <c r="LF46" s="814"/>
      <c r="LG46" s="814"/>
      <c r="LH46" s="814"/>
      <c r="LI46" s="814"/>
      <c r="LJ46" s="814"/>
      <c r="LK46" s="814"/>
      <c r="LL46" s="814"/>
      <c r="LM46" s="814"/>
      <c r="LN46" s="814"/>
      <c r="LO46" s="814"/>
      <c r="LP46" s="814"/>
      <c r="LQ46" s="814"/>
      <c r="LR46" s="814"/>
      <c r="LS46" s="814"/>
      <c r="LT46" s="814"/>
      <c r="LU46" s="814"/>
      <c r="LV46" s="814"/>
      <c r="LW46" s="814"/>
      <c r="LX46" s="814"/>
      <c r="LY46" s="814"/>
      <c r="LZ46" s="814"/>
      <c r="MA46" s="814"/>
      <c r="MB46" s="814"/>
      <c r="MC46" s="814"/>
      <c r="MD46" s="814"/>
      <c r="ME46" s="814"/>
      <c r="MF46" s="814"/>
      <c r="MG46" s="814"/>
      <c r="MH46" s="814"/>
      <c r="MI46" s="814"/>
      <c r="MJ46" s="814"/>
      <c r="MK46" s="814"/>
      <c r="ML46" s="814"/>
      <c r="MM46" s="814"/>
      <c r="MN46" s="814"/>
      <c r="MO46" s="814"/>
      <c r="MP46" s="814"/>
      <c r="MQ46" s="814"/>
      <c r="MR46" s="814"/>
      <c r="MS46" s="814"/>
      <c r="MT46" s="814"/>
      <c r="MU46" s="814"/>
      <c r="MV46" s="814"/>
      <c r="MW46" s="814"/>
      <c r="MX46" s="814"/>
      <c r="MY46" s="814"/>
      <c r="MZ46" s="814"/>
      <c r="NA46" s="814"/>
      <c r="NB46" s="814"/>
      <c r="NC46" s="814"/>
      <c r="ND46" s="814"/>
      <c r="NE46" s="814"/>
      <c r="NF46" s="814"/>
      <c r="NG46" s="814"/>
      <c r="NH46" s="814"/>
      <c r="NI46" s="814"/>
      <c r="NJ46" s="814"/>
      <c r="NK46" s="814"/>
      <c r="NL46" s="814"/>
      <c r="NM46" s="814"/>
      <c r="NN46" s="814"/>
      <c r="NO46" s="814"/>
      <c r="NP46" s="814"/>
      <c r="NQ46" s="814"/>
      <c r="NR46" s="814"/>
      <c r="NS46" s="814"/>
      <c r="NT46" s="814"/>
      <c r="NU46" s="814"/>
      <c r="NV46" s="814"/>
      <c r="NW46" s="814"/>
      <c r="NX46" s="814"/>
      <c r="NY46" s="814"/>
      <c r="NZ46" s="814"/>
      <c r="OA46" s="814"/>
      <c r="OB46" s="814"/>
      <c r="OC46" s="814"/>
      <c r="OD46" s="814"/>
      <c r="OE46" s="814"/>
      <c r="OF46" s="814"/>
      <c r="OG46" s="814"/>
      <c r="OH46" s="814"/>
      <c r="OI46" s="814"/>
      <c r="OJ46" s="814"/>
      <c r="OK46" s="814"/>
      <c r="OL46" s="814"/>
      <c r="OM46" s="814"/>
      <c r="ON46" s="814"/>
      <c r="OO46" s="814"/>
      <c r="OP46" s="814"/>
      <c r="OQ46" s="814"/>
      <c r="OR46" s="814"/>
      <c r="OS46" s="814"/>
      <c r="OT46" s="814"/>
      <c r="OU46" s="814"/>
      <c r="OV46" s="814"/>
      <c r="OW46" s="814"/>
      <c r="OX46" s="814"/>
      <c r="OY46" s="814"/>
      <c r="OZ46" s="814"/>
      <c r="PA46" s="814"/>
      <c r="PB46" s="814"/>
      <c r="PC46" s="814"/>
      <c r="PD46" s="814"/>
      <c r="PE46" s="814"/>
      <c r="PF46" s="814"/>
      <c r="PG46" s="814"/>
      <c r="PH46" s="814"/>
      <c r="PI46" s="814"/>
      <c r="PJ46" s="814"/>
      <c r="PK46" s="814"/>
      <c r="PL46" s="814"/>
      <c r="PM46" s="814"/>
      <c r="PN46" s="814"/>
      <c r="PO46" s="814"/>
      <c r="PP46" s="814"/>
      <c r="PQ46" s="814"/>
      <c r="PR46" s="814"/>
      <c r="PS46" s="814"/>
      <c r="PT46" s="814"/>
      <c r="PU46" s="814"/>
      <c r="PV46" s="814"/>
      <c r="PW46" s="814"/>
      <c r="PX46" s="814"/>
      <c r="PY46" s="814"/>
      <c r="PZ46" s="814"/>
      <c r="QA46" s="814"/>
      <c r="QB46" s="814"/>
      <c r="QC46" s="814"/>
      <c r="QD46" s="814"/>
      <c r="QE46" s="814"/>
      <c r="QF46" s="814"/>
      <c r="QG46" s="814"/>
      <c r="QH46" s="814"/>
      <c r="QI46" s="814"/>
      <c r="QJ46" s="814"/>
      <c r="QK46" s="814"/>
      <c r="QL46" s="814"/>
      <c r="QM46" s="814"/>
      <c r="QN46" s="814"/>
      <c r="QO46" s="814"/>
      <c r="QP46" s="814"/>
      <c r="QQ46" s="814"/>
      <c r="QR46" s="814"/>
      <c r="QS46" s="814"/>
      <c r="QT46" s="814"/>
      <c r="QU46" s="814"/>
      <c r="QV46" s="814"/>
      <c r="QW46" s="814"/>
      <c r="QX46" s="814"/>
      <c r="QY46" s="814"/>
      <c r="QZ46" s="814"/>
      <c r="RA46" s="814"/>
      <c r="RB46" s="814"/>
      <c r="RC46" s="814"/>
      <c r="RD46" s="814"/>
      <c r="RE46" s="814"/>
      <c r="RF46" s="814"/>
      <c r="RG46" s="814"/>
      <c r="RH46" s="814"/>
      <c r="RI46" s="814"/>
      <c r="RJ46" s="814"/>
      <c r="RK46" s="814"/>
      <c r="RL46" s="814"/>
      <c r="RM46" s="814"/>
      <c r="RN46" s="814"/>
      <c r="RO46" s="814"/>
      <c r="RP46" s="814"/>
      <c r="RQ46" s="814"/>
      <c r="RR46" s="814"/>
      <c r="RS46" s="814"/>
      <c r="RT46" s="814"/>
      <c r="RU46" s="814"/>
      <c r="RV46" s="814"/>
      <c r="RW46" s="814"/>
      <c r="RX46" s="814"/>
    </row>
    <row r="47" spans="1:492" s="169" customFormat="1">
      <c r="A47" s="814"/>
      <c r="B47" s="814"/>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c r="AM47" s="804"/>
      <c r="AN47" s="804"/>
      <c r="AO47" s="804"/>
      <c r="AP47" s="804"/>
      <c r="AQ47" s="804"/>
      <c r="AR47" s="804"/>
      <c r="AS47" s="804"/>
      <c r="AT47" s="804"/>
      <c r="AU47" s="804"/>
      <c r="AV47" s="804"/>
      <c r="AW47" s="820"/>
      <c r="AX47" s="820"/>
      <c r="AY47" s="820"/>
      <c r="AZ47" s="820"/>
      <c r="BA47" s="804"/>
      <c r="BB47" s="804"/>
      <c r="BC47" s="804"/>
      <c r="BD47" s="804"/>
      <c r="BE47" s="804"/>
      <c r="BF47" s="804"/>
      <c r="BG47" s="804"/>
      <c r="BH47" s="804"/>
      <c r="BI47" s="804"/>
      <c r="BJ47" s="804"/>
      <c r="BK47" s="804"/>
      <c r="BL47" s="804"/>
      <c r="BM47" s="804"/>
      <c r="BN47" s="804"/>
      <c r="BO47" s="804"/>
      <c r="BP47" s="804"/>
      <c r="BQ47" s="804"/>
      <c r="BR47" s="814"/>
      <c r="BS47" s="814"/>
      <c r="BT47" s="814"/>
      <c r="BU47" s="814"/>
      <c r="BV47" s="814"/>
      <c r="BW47" s="814"/>
      <c r="BX47" s="814"/>
      <c r="BY47" s="814"/>
      <c r="BZ47" s="814"/>
      <c r="CA47" s="814"/>
      <c r="CB47" s="814"/>
      <c r="CC47" s="814"/>
      <c r="CD47" s="814"/>
      <c r="CE47" s="814"/>
      <c r="CF47" s="814"/>
      <c r="CG47" s="814"/>
      <c r="CH47" s="814"/>
      <c r="CI47" s="814"/>
      <c r="CJ47" s="814"/>
      <c r="CK47" s="814"/>
      <c r="CL47" s="814"/>
      <c r="CM47" s="814"/>
      <c r="CN47" s="814"/>
      <c r="CO47" s="814"/>
      <c r="CP47" s="814"/>
      <c r="CQ47" s="814"/>
      <c r="CR47" s="814"/>
      <c r="CS47" s="814"/>
      <c r="CT47" s="814"/>
      <c r="CU47" s="814"/>
      <c r="CV47" s="814"/>
      <c r="CW47" s="814"/>
      <c r="CX47" s="814"/>
      <c r="CY47" s="814"/>
      <c r="CZ47" s="814"/>
      <c r="DA47" s="814"/>
      <c r="DB47" s="814"/>
      <c r="DC47" s="814"/>
      <c r="DD47" s="814"/>
      <c r="DE47" s="814"/>
      <c r="DF47" s="814"/>
      <c r="DG47" s="814"/>
      <c r="DH47" s="814"/>
      <c r="DI47" s="814"/>
      <c r="DJ47" s="814"/>
      <c r="DK47" s="814"/>
      <c r="DL47" s="814"/>
      <c r="DM47" s="814"/>
      <c r="DN47" s="814"/>
      <c r="DO47" s="814"/>
      <c r="DP47" s="814"/>
      <c r="DQ47" s="814"/>
      <c r="DR47" s="814"/>
      <c r="DS47" s="814"/>
      <c r="DT47" s="814"/>
      <c r="DU47" s="814"/>
      <c r="DV47" s="814"/>
      <c r="DW47" s="814"/>
      <c r="DX47" s="814"/>
      <c r="DY47" s="814"/>
      <c r="DZ47" s="814"/>
      <c r="EA47" s="814"/>
      <c r="EB47" s="814"/>
      <c r="EC47" s="814"/>
      <c r="ED47" s="814"/>
      <c r="EE47" s="814"/>
      <c r="EF47" s="814"/>
      <c r="EG47" s="814"/>
      <c r="EH47" s="814"/>
      <c r="EI47" s="814"/>
      <c r="EJ47" s="814"/>
      <c r="EK47" s="814"/>
      <c r="EL47" s="814"/>
      <c r="EM47" s="814"/>
      <c r="EN47" s="814"/>
      <c r="EO47" s="814"/>
      <c r="EP47" s="814"/>
      <c r="EQ47" s="814"/>
      <c r="ER47" s="814"/>
      <c r="ES47" s="814"/>
      <c r="ET47" s="814"/>
      <c r="EU47" s="814"/>
      <c r="EV47" s="814"/>
      <c r="EW47" s="814"/>
      <c r="EX47" s="814"/>
      <c r="EY47" s="814"/>
      <c r="EZ47" s="814"/>
      <c r="FA47" s="814"/>
      <c r="FB47" s="814"/>
      <c r="FC47" s="814"/>
      <c r="FD47" s="814"/>
      <c r="FE47" s="814"/>
      <c r="FF47" s="814"/>
      <c r="FG47" s="814"/>
      <c r="FH47" s="814"/>
      <c r="FI47" s="814"/>
      <c r="FJ47" s="814"/>
      <c r="FK47" s="814"/>
      <c r="FL47" s="814"/>
      <c r="FM47" s="814"/>
      <c r="FN47" s="814"/>
      <c r="FO47" s="814"/>
      <c r="FP47" s="814"/>
      <c r="FQ47" s="814"/>
      <c r="FR47" s="814"/>
      <c r="FS47" s="814"/>
      <c r="FT47" s="814"/>
      <c r="FU47" s="814"/>
      <c r="FV47" s="814"/>
      <c r="FW47" s="814"/>
      <c r="FX47" s="814"/>
      <c r="FY47" s="814"/>
      <c r="FZ47" s="814"/>
      <c r="GA47" s="814"/>
      <c r="GB47" s="814"/>
      <c r="GC47" s="814"/>
      <c r="GD47" s="814"/>
      <c r="GE47" s="814"/>
      <c r="GF47" s="814"/>
      <c r="GG47" s="814"/>
      <c r="GH47" s="814"/>
      <c r="GI47" s="814"/>
      <c r="GJ47" s="814"/>
      <c r="GK47" s="814"/>
      <c r="GL47" s="814"/>
      <c r="GM47" s="814"/>
      <c r="GN47" s="814"/>
      <c r="GO47" s="814"/>
      <c r="GP47" s="814"/>
      <c r="GQ47" s="814"/>
      <c r="GR47" s="814"/>
      <c r="GS47" s="814"/>
      <c r="GT47" s="814"/>
      <c r="GU47" s="814"/>
      <c r="GV47" s="814"/>
      <c r="GW47" s="814"/>
      <c r="GX47" s="814"/>
      <c r="GY47" s="814"/>
      <c r="GZ47" s="814"/>
      <c r="HA47" s="814"/>
      <c r="HB47" s="814"/>
      <c r="HC47" s="814"/>
      <c r="HD47" s="814"/>
      <c r="HE47" s="814"/>
      <c r="HF47" s="814"/>
      <c r="HG47" s="814"/>
      <c r="HH47" s="814"/>
      <c r="HI47" s="814"/>
      <c r="HJ47" s="814"/>
      <c r="HK47" s="814"/>
      <c r="HL47" s="814"/>
      <c r="HM47" s="814"/>
      <c r="HN47" s="814"/>
      <c r="HO47" s="814"/>
      <c r="HP47" s="814"/>
      <c r="HQ47" s="814"/>
      <c r="HR47" s="814"/>
      <c r="HS47" s="814"/>
      <c r="HT47" s="814"/>
      <c r="HU47" s="814"/>
      <c r="HV47" s="814"/>
      <c r="HW47" s="814"/>
      <c r="HX47" s="814"/>
      <c r="HY47" s="814"/>
      <c r="HZ47" s="814"/>
      <c r="IA47" s="814"/>
      <c r="IB47" s="814"/>
      <c r="IC47" s="814"/>
      <c r="ID47" s="814"/>
      <c r="IE47" s="814"/>
      <c r="IF47" s="814"/>
      <c r="IG47" s="814"/>
      <c r="IH47" s="814"/>
      <c r="II47" s="814"/>
      <c r="IJ47" s="814"/>
      <c r="IK47" s="814"/>
      <c r="IL47" s="814"/>
      <c r="IM47" s="814"/>
      <c r="IN47" s="814"/>
      <c r="IO47" s="814"/>
      <c r="IP47" s="814"/>
      <c r="IQ47" s="814"/>
      <c r="IR47" s="814"/>
      <c r="IS47" s="814"/>
      <c r="IT47" s="814"/>
      <c r="IU47" s="814"/>
      <c r="IV47" s="814"/>
      <c r="IW47" s="814"/>
      <c r="IX47" s="814"/>
      <c r="IY47" s="814"/>
      <c r="IZ47" s="814"/>
      <c r="JA47" s="814"/>
      <c r="JB47" s="814"/>
      <c r="JC47" s="814"/>
      <c r="JD47" s="814"/>
      <c r="JE47" s="814"/>
      <c r="JF47" s="814"/>
      <c r="JG47" s="814"/>
      <c r="JH47" s="814"/>
      <c r="JI47" s="814"/>
      <c r="JJ47" s="814"/>
      <c r="JK47" s="814"/>
      <c r="JL47" s="814"/>
      <c r="JM47" s="814"/>
      <c r="JN47" s="814"/>
      <c r="JO47" s="814"/>
      <c r="JP47" s="814"/>
      <c r="JQ47" s="814"/>
      <c r="JR47" s="814"/>
      <c r="JS47" s="814"/>
      <c r="JT47" s="814"/>
      <c r="JU47" s="814"/>
      <c r="JV47" s="814"/>
      <c r="JW47" s="814"/>
      <c r="JX47" s="814"/>
      <c r="JY47" s="814"/>
      <c r="JZ47" s="814"/>
      <c r="KA47" s="814"/>
      <c r="KB47" s="814"/>
      <c r="KC47" s="814"/>
      <c r="KD47" s="814"/>
      <c r="KE47" s="814"/>
      <c r="KF47" s="814"/>
      <c r="KG47" s="814"/>
      <c r="KH47" s="814"/>
      <c r="KI47" s="814"/>
      <c r="KJ47" s="814"/>
      <c r="KK47" s="814"/>
      <c r="KL47" s="814"/>
      <c r="KM47" s="814"/>
      <c r="KN47" s="814"/>
      <c r="KO47" s="814"/>
      <c r="KP47" s="814"/>
      <c r="KQ47" s="814"/>
      <c r="KR47" s="814"/>
      <c r="KS47" s="814"/>
      <c r="KT47" s="814"/>
      <c r="KU47" s="814"/>
      <c r="KV47" s="814"/>
      <c r="KW47" s="814"/>
      <c r="KX47" s="814"/>
      <c r="KY47" s="814"/>
      <c r="KZ47" s="814"/>
      <c r="LA47" s="814"/>
      <c r="LB47" s="814"/>
      <c r="LC47" s="814"/>
      <c r="LD47" s="814"/>
      <c r="LE47" s="814"/>
      <c r="LF47" s="814"/>
      <c r="LG47" s="814"/>
      <c r="LH47" s="814"/>
      <c r="LI47" s="814"/>
      <c r="LJ47" s="814"/>
      <c r="LK47" s="814"/>
      <c r="LL47" s="814"/>
      <c r="LM47" s="814"/>
      <c r="LN47" s="814"/>
      <c r="LO47" s="814"/>
      <c r="LP47" s="814"/>
      <c r="LQ47" s="814"/>
      <c r="LR47" s="814"/>
      <c r="LS47" s="814"/>
      <c r="LT47" s="814"/>
      <c r="LU47" s="814"/>
      <c r="LV47" s="814"/>
      <c r="LW47" s="814"/>
      <c r="LX47" s="814"/>
      <c r="LY47" s="814"/>
      <c r="LZ47" s="814"/>
      <c r="MA47" s="814"/>
      <c r="MB47" s="814"/>
      <c r="MC47" s="814"/>
      <c r="MD47" s="814"/>
      <c r="ME47" s="814"/>
      <c r="MF47" s="814"/>
      <c r="MG47" s="814"/>
      <c r="MH47" s="814"/>
      <c r="MI47" s="814"/>
      <c r="MJ47" s="814"/>
      <c r="MK47" s="814"/>
      <c r="ML47" s="814"/>
      <c r="MM47" s="814"/>
      <c r="MN47" s="814"/>
      <c r="MO47" s="814"/>
      <c r="MP47" s="814"/>
      <c r="MQ47" s="814"/>
      <c r="MR47" s="814"/>
      <c r="MS47" s="814"/>
      <c r="MT47" s="814"/>
      <c r="MU47" s="814"/>
      <c r="MV47" s="814"/>
      <c r="MW47" s="814"/>
      <c r="MX47" s="814"/>
      <c r="MY47" s="814"/>
      <c r="MZ47" s="814"/>
      <c r="NA47" s="814"/>
      <c r="NB47" s="814"/>
      <c r="NC47" s="814"/>
      <c r="ND47" s="814"/>
      <c r="NE47" s="814"/>
      <c r="NF47" s="814"/>
      <c r="NG47" s="814"/>
      <c r="NH47" s="814"/>
      <c r="NI47" s="814"/>
      <c r="NJ47" s="814"/>
      <c r="NK47" s="814"/>
      <c r="NL47" s="814"/>
      <c r="NM47" s="814"/>
      <c r="NN47" s="814"/>
      <c r="NO47" s="814"/>
      <c r="NP47" s="814"/>
      <c r="NQ47" s="814"/>
      <c r="NR47" s="814"/>
      <c r="NS47" s="814"/>
      <c r="NT47" s="814"/>
      <c r="NU47" s="814"/>
      <c r="NV47" s="814"/>
      <c r="NW47" s="814"/>
      <c r="NX47" s="814"/>
      <c r="NY47" s="814"/>
      <c r="NZ47" s="814"/>
      <c r="OA47" s="814"/>
      <c r="OB47" s="814"/>
      <c r="OC47" s="814"/>
      <c r="OD47" s="814"/>
      <c r="OE47" s="814"/>
      <c r="OF47" s="814"/>
      <c r="OG47" s="814"/>
      <c r="OH47" s="814"/>
      <c r="OI47" s="814"/>
      <c r="OJ47" s="814"/>
      <c r="OK47" s="814"/>
      <c r="OL47" s="814"/>
      <c r="OM47" s="814"/>
      <c r="ON47" s="814"/>
      <c r="OO47" s="814"/>
      <c r="OP47" s="814"/>
      <c r="OQ47" s="814"/>
      <c r="OR47" s="814"/>
      <c r="OS47" s="814"/>
      <c r="OT47" s="814"/>
      <c r="OU47" s="814"/>
      <c r="OV47" s="814"/>
      <c r="OW47" s="814"/>
      <c r="OX47" s="814"/>
      <c r="OY47" s="814"/>
      <c r="OZ47" s="814"/>
      <c r="PA47" s="814"/>
      <c r="PB47" s="814"/>
      <c r="PC47" s="814"/>
      <c r="PD47" s="814"/>
      <c r="PE47" s="814"/>
      <c r="PF47" s="814"/>
      <c r="PG47" s="814"/>
      <c r="PH47" s="814"/>
      <c r="PI47" s="814"/>
      <c r="PJ47" s="814"/>
      <c r="PK47" s="814"/>
      <c r="PL47" s="814"/>
      <c r="PM47" s="814"/>
      <c r="PN47" s="814"/>
      <c r="PO47" s="814"/>
      <c r="PP47" s="814"/>
      <c r="PQ47" s="814"/>
      <c r="PR47" s="814"/>
      <c r="PS47" s="814"/>
      <c r="PT47" s="814"/>
      <c r="PU47" s="814"/>
      <c r="PV47" s="814"/>
      <c r="PW47" s="814"/>
      <c r="PX47" s="814"/>
      <c r="PY47" s="814"/>
      <c r="PZ47" s="814"/>
      <c r="QA47" s="814"/>
      <c r="QB47" s="814"/>
      <c r="QC47" s="814"/>
      <c r="QD47" s="814"/>
      <c r="QE47" s="814"/>
      <c r="QF47" s="814"/>
      <c r="QG47" s="814"/>
      <c r="QH47" s="814"/>
      <c r="QI47" s="814"/>
      <c r="QJ47" s="814"/>
      <c r="QK47" s="814"/>
      <c r="QL47" s="814"/>
      <c r="QM47" s="814"/>
      <c r="QN47" s="814"/>
      <c r="QO47" s="814"/>
      <c r="QP47" s="814"/>
      <c r="QQ47" s="814"/>
      <c r="QR47" s="814"/>
      <c r="QS47" s="814"/>
      <c r="QT47" s="814"/>
      <c r="QU47" s="814"/>
      <c r="QV47" s="814"/>
      <c r="QW47" s="814"/>
      <c r="QX47" s="814"/>
      <c r="QY47" s="814"/>
      <c r="QZ47" s="814"/>
      <c r="RA47" s="814"/>
      <c r="RB47" s="814"/>
      <c r="RC47" s="814"/>
      <c r="RD47" s="814"/>
      <c r="RE47" s="814"/>
      <c r="RF47" s="814"/>
      <c r="RG47" s="814"/>
      <c r="RH47" s="814"/>
      <c r="RI47" s="814"/>
      <c r="RJ47" s="814"/>
      <c r="RK47" s="814"/>
      <c r="RL47" s="814"/>
      <c r="RM47" s="814"/>
      <c r="RN47" s="814"/>
      <c r="RO47" s="814"/>
      <c r="RP47" s="814"/>
      <c r="RQ47" s="814"/>
      <c r="RR47" s="814"/>
      <c r="RS47" s="814"/>
      <c r="RT47" s="814"/>
      <c r="RU47" s="814"/>
      <c r="RV47" s="814"/>
      <c r="RW47" s="814"/>
      <c r="RX47" s="814"/>
    </row>
    <row r="48" spans="1:492" s="169" customFormat="1">
      <c r="A48" s="814"/>
      <c r="B48" s="814"/>
      <c r="C48" s="814"/>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4"/>
      <c r="AK48" s="814"/>
      <c r="AL48" s="814"/>
      <c r="AM48" s="804"/>
      <c r="AN48" s="804"/>
      <c r="AO48" s="804"/>
      <c r="AP48" s="804"/>
      <c r="AQ48" s="804"/>
      <c r="AR48" s="804"/>
      <c r="AS48" s="804"/>
      <c r="AT48" s="804"/>
      <c r="AU48" s="804"/>
      <c r="AV48" s="804"/>
      <c r="AW48" s="820"/>
      <c r="AX48" s="820"/>
      <c r="AY48" s="820"/>
      <c r="AZ48" s="820"/>
      <c r="BA48" s="804"/>
      <c r="BB48" s="804"/>
      <c r="BC48" s="804"/>
      <c r="BD48" s="804"/>
      <c r="BE48" s="804"/>
      <c r="BF48" s="804"/>
      <c r="BG48" s="804"/>
      <c r="BH48" s="804"/>
      <c r="BI48" s="804"/>
      <c r="BJ48" s="804"/>
      <c r="BK48" s="804"/>
      <c r="BL48" s="804"/>
      <c r="BM48" s="804"/>
      <c r="BN48" s="804"/>
      <c r="BO48" s="804"/>
      <c r="BP48" s="804"/>
      <c r="BQ48" s="804"/>
      <c r="BR48" s="814"/>
      <c r="BS48" s="814"/>
      <c r="BT48" s="814"/>
      <c r="BU48" s="814"/>
      <c r="BV48" s="814"/>
      <c r="BW48" s="814"/>
      <c r="BX48" s="814"/>
      <c r="BY48" s="814"/>
      <c r="BZ48" s="814"/>
      <c r="CA48" s="814"/>
      <c r="CB48" s="814"/>
      <c r="CC48" s="814"/>
      <c r="CD48" s="814"/>
      <c r="CE48" s="814"/>
      <c r="CF48" s="814"/>
      <c r="CG48" s="814"/>
      <c r="CH48" s="814"/>
      <c r="CI48" s="814"/>
      <c r="CJ48" s="814"/>
      <c r="CK48" s="814"/>
      <c r="CL48" s="814"/>
      <c r="CM48" s="814"/>
      <c r="CN48" s="814"/>
      <c r="CO48" s="814"/>
      <c r="CP48" s="814"/>
      <c r="CQ48" s="814"/>
      <c r="CR48" s="814"/>
      <c r="CS48" s="814"/>
      <c r="CT48" s="814"/>
      <c r="CU48" s="814"/>
      <c r="CV48" s="814"/>
      <c r="CW48" s="814"/>
      <c r="CX48" s="814"/>
      <c r="CY48" s="814"/>
      <c r="CZ48" s="814"/>
      <c r="DA48" s="814"/>
      <c r="DB48" s="814"/>
      <c r="DC48" s="814"/>
      <c r="DD48" s="814"/>
      <c r="DE48" s="814"/>
      <c r="DF48" s="814"/>
      <c r="DG48" s="814"/>
      <c r="DH48" s="814"/>
      <c r="DI48" s="814"/>
      <c r="DJ48" s="814"/>
      <c r="DK48" s="814"/>
      <c r="DL48" s="814"/>
      <c r="DM48" s="814"/>
      <c r="DN48" s="814"/>
      <c r="DO48" s="814"/>
      <c r="DP48" s="814"/>
      <c r="DQ48" s="814"/>
      <c r="DR48" s="814"/>
      <c r="DS48" s="814"/>
      <c r="DT48" s="814"/>
      <c r="DU48" s="814"/>
      <c r="DV48" s="814"/>
      <c r="DW48" s="814"/>
      <c r="DX48" s="814"/>
      <c r="DY48" s="814"/>
      <c r="DZ48" s="814"/>
      <c r="EA48" s="814"/>
      <c r="EB48" s="814"/>
      <c r="EC48" s="814"/>
      <c r="ED48" s="814"/>
      <c r="EE48" s="814"/>
      <c r="EF48" s="814"/>
      <c r="EG48" s="814"/>
      <c r="EH48" s="814"/>
      <c r="EI48" s="814"/>
      <c r="EJ48" s="814"/>
      <c r="EK48" s="814"/>
      <c r="EL48" s="814"/>
      <c r="EM48" s="814"/>
      <c r="EN48" s="814"/>
      <c r="EO48" s="814"/>
      <c r="EP48" s="814"/>
      <c r="EQ48" s="814"/>
      <c r="ER48" s="814"/>
      <c r="ES48" s="814"/>
      <c r="ET48" s="814"/>
      <c r="EU48" s="814"/>
      <c r="EV48" s="814"/>
      <c r="EW48" s="814"/>
      <c r="EX48" s="814"/>
      <c r="EY48" s="814"/>
      <c r="EZ48" s="814"/>
      <c r="FA48" s="814"/>
      <c r="FB48" s="814"/>
      <c r="FC48" s="814"/>
      <c r="FD48" s="814"/>
      <c r="FE48" s="814"/>
      <c r="FF48" s="814"/>
      <c r="FG48" s="814"/>
      <c r="FH48" s="814"/>
      <c r="FI48" s="814"/>
      <c r="FJ48" s="814"/>
      <c r="FK48" s="814"/>
      <c r="FL48" s="814"/>
      <c r="FM48" s="814"/>
      <c r="FN48" s="814"/>
      <c r="FO48" s="814"/>
      <c r="FP48" s="814"/>
      <c r="FQ48" s="814"/>
      <c r="FR48" s="814"/>
      <c r="FS48" s="814"/>
      <c r="FT48" s="814"/>
      <c r="FU48" s="814"/>
      <c r="FV48" s="814"/>
      <c r="FW48" s="814"/>
      <c r="FX48" s="814"/>
      <c r="FY48" s="814"/>
      <c r="FZ48" s="814"/>
      <c r="GA48" s="814"/>
      <c r="GB48" s="814"/>
      <c r="GC48" s="814"/>
      <c r="GD48" s="814"/>
      <c r="GE48" s="814"/>
      <c r="GF48" s="814"/>
      <c r="GG48" s="814"/>
      <c r="GH48" s="814"/>
      <c r="GI48" s="814"/>
      <c r="GJ48" s="814"/>
      <c r="GK48" s="814"/>
      <c r="GL48" s="814"/>
      <c r="GM48" s="814"/>
      <c r="GN48" s="814"/>
      <c r="GO48" s="814"/>
      <c r="GP48" s="814"/>
      <c r="GQ48" s="814"/>
      <c r="GR48" s="814"/>
      <c r="GS48" s="814"/>
      <c r="GT48" s="814"/>
      <c r="GU48" s="814"/>
      <c r="GV48" s="814"/>
      <c r="GW48" s="814"/>
      <c r="GX48" s="814"/>
      <c r="GY48" s="814"/>
      <c r="GZ48" s="814"/>
      <c r="HA48" s="814"/>
      <c r="HB48" s="814"/>
      <c r="HC48" s="814"/>
      <c r="HD48" s="814"/>
      <c r="HE48" s="814"/>
      <c r="HF48" s="814"/>
      <c r="HG48" s="814"/>
      <c r="HH48" s="814"/>
      <c r="HI48" s="814"/>
      <c r="HJ48" s="814"/>
      <c r="HK48" s="814"/>
      <c r="HL48" s="814"/>
      <c r="HM48" s="814"/>
      <c r="HN48" s="814"/>
      <c r="HO48" s="814"/>
      <c r="HP48" s="814"/>
      <c r="HQ48" s="814"/>
      <c r="HR48" s="814"/>
      <c r="HS48" s="814"/>
      <c r="HT48" s="814"/>
      <c r="HU48" s="814"/>
      <c r="HV48" s="814"/>
      <c r="HW48" s="814"/>
      <c r="HX48" s="814"/>
      <c r="HY48" s="814"/>
      <c r="HZ48" s="814"/>
      <c r="IA48" s="814"/>
      <c r="IB48" s="814"/>
      <c r="IC48" s="814"/>
      <c r="ID48" s="814"/>
      <c r="IE48" s="814"/>
      <c r="IF48" s="814"/>
      <c r="IG48" s="814"/>
      <c r="IH48" s="814"/>
      <c r="II48" s="814"/>
      <c r="IJ48" s="814"/>
      <c r="IK48" s="814"/>
      <c r="IL48" s="814"/>
      <c r="IM48" s="814"/>
      <c r="IN48" s="814"/>
      <c r="IO48" s="814"/>
      <c r="IP48" s="814"/>
      <c r="IQ48" s="814"/>
      <c r="IR48" s="814"/>
      <c r="IS48" s="814"/>
      <c r="IT48" s="814"/>
      <c r="IU48" s="814"/>
      <c r="IV48" s="814"/>
      <c r="IW48" s="814"/>
      <c r="IX48" s="814"/>
      <c r="IY48" s="814"/>
      <c r="IZ48" s="814"/>
      <c r="JA48" s="814"/>
      <c r="JB48" s="814"/>
      <c r="JC48" s="814"/>
      <c r="JD48" s="814"/>
      <c r="JE48" s="814"/>
      <c r="JF48" s="814"/>
      <c r="JG48" s="814"/>
      <c r="JH48" s="814"/>
      <c r="JI48" s="814"/>
      <c r="JJ48" s="814"/>
      <c r="JK48" s="814"/>
      <c r="JL48" s="814"/>
      <c r="JM48" s="814"/>
      <c r="JN48" s="814"/>
      <c r="JO48" s="814"/>
      <c r="JP48" s="814"/>
      <c r="JQ48" s="814"/>
      <c r="JR48" s="814"/>
      <c r="JS48" s="814"/>
      <c r="JT48" s="814"/>
      <c r="JU48" s="814"/>
      <c r="JV48" s="814"/>
      <c r="JW48" s="814"/>
      <c r="JX48" s="814"/>
      <c r="JY48" s="814"/>
      <c r="JZ48" s="814"/>
      <c r="KA48" s="814"/>
      <c r="KB48" s="814"/>
      <c r="KC48" s="814"/>
      <c r="KD48" s="814"/>
      <c r="KE48" s="814"/>
      <c r="KF48" s="814"/>
      <c r="KG48" s="814"/>
      <c r="KH48" s="814"/>
      <c r="KI48" s="814"/>
      <c r="KJ48" s="814"/>
      <c r="KK48" s="814"/>
      <c r="KL48" s="814"/>
      <c r="KM48" s="814"/>
      <c r="KN48" s="814"/>
      <c r="KO48" s="814"/>
      <c r="KP48" s="814"/>
      <c r="KQ48" s="814"/>
      <c r="KR48" s="814"/>
      <c r="KS48" s="814"/>
      <c r="KT48" s="814"/>
      <c r="KU48" s="814"/>
      <c r="KV48" s="814"/>
      <c r="KW48" s="814"/>
      <c r="KX48" s="814"/>
      <c r="KY48" s="814"/>
      <c r="KZ48" s="814"/>
      <c r="LA48" s="814"/>
      <c r="LB48" s="814"/>
      <c r="LC48" s="814"/>
      <c r="LD48" s="814"/>
      <c r="LE48" s="814"/>
      <c r="LF48" s="814"/>
      <c r="LG48" s="814"/>
      <c r="LH48" s="814"/>
      <c r="LI48" s="814"/>
      <c r="LJ48" s="814"/>
      <c r="LK48" s="814"/>
      <c r="LL48" s="814"/>
      <c r="LM48" s="814"/>
      <c r="LN48" s="814"/>
      <c r="LO48" s="814"/>
      <c r="LP48" s="814"/>
      <c r="LQ48" s="814"/>
      <c r="LR48" s="814"/>
      <c r="LS48" s="814"/>
      <c r="LT48" s="814"/>
      <c r="LU48" s="814"/>
      <c r="LV48" s="814"/>
      <c r="LW48" s="814"/>
      <c r="LX48" s="814"/>
      <c r="LY48" s="814"/>
      <c r="LZ48" s="814"/>
      <c r="MA48" s="814"/>
      <c r="MB48" s="814"/>
      <c r="MC48" s="814"/>
      <c r="MD48" s="814"/>
      <c r="ME48" s="814"/>
      <c r="MF48" s="814"/>
      <c r="MG48" s="814"/>
      <c r="MH48" s="814"/>
      <c r="MI48" s="814"/>
      <c r="MJ48" s="814"/>
      <c r="MK48" s="814"/>
      <c r="ML48" s="814"/>
      <c r="MM48" s="814"/>
      <c r="MN48" s="814"/>
      <c r="MO48" s="814"/>
      <c r="MP48" s="814"/>
      <c r="MQ48" s="814"/>
      <c r="MR48" s="814"/>
      <c r="MS48" s="814"/>
      <c r="MT48" s="814"/>
      <c r="MU48" s="814"/>
      <c r="MV48" s="814"/>
      <c r="MW48" s="814"/>
      <c r="MX48" s="814"/>
      <c r="MY48" s="814"/>
      <c r="MZ48" s="814"/>
      <c r="NA48" s="814"/>
      <c r="NB48" s="814"/>
      <c r="NC48" s="814"/>
      <c r="ND48" s="814"/>
      <c r="NE48" s="814"/>
      <c r="NF48" s="814"/>
      <c r="NG48" s="814"/>
      <c r="NH48" s="814"/>
      <c r="NI48" s="814"/>
      <c r="NJ48" s="814"/>
      <c r="NK48" s="814"/>
      <c r="NL48" s="814"/>
      <c r="NM48" s="814"/>
      <c r="NN48" s="814"/>
      <c r="NO48" s="814"/>
      <c r="NP48" s="814"/>
      <c r="NQ48" s="814"/>
      <c r="NR48" s="814"/>
      <c r="NS48" s="814"/>
      <c r="NT48" s="814"/>
      <c r="NU48" s="814"/>
      <c r="NV48" s="814"/>
      <c r="NW48" s="814"/>
      <c r="NX48" s="814"/>
      <c r="NY48" s="814"/>
      <c r="NZ48" s="814"/>
      <c r="OA48" s="814"/>
      <c r="OB48" s="814"/>
      <c r="OC48" s="814"/>
      <c r="OD48" s="814"/>
      <c r="OE48" s="814"/>
      <c r="OF48" s="814"/>
      <c r="OG48" s="814"/>
      <c r="OH48" s="814"/>
      <c r="OI48" s="814"/>
      <c r="OJ48" s="814"/>
      <c r="OK48" s="814"/>
      <c r="OL48" s="814"/>
      <c r="OM48" s="814"/>
      <c r="ON48" s="814"/>
      <c r="OO48" s="814"/>
      <c r="OP48" s="814"/>
      <c r="OQ48" s="814"/>
      <c r="OR48" s="814"/>
      <c r="OS48" s="814"/>
      <c r="OT48" s="814"/>
      <c r="OU48" s="814"/>
      <c r="OV48" s="814"/>
      <c r="OW48" s="814"/>
      <c r="OX48" s="814"/>
      <c r="OY48" s="814"/>
      <c r="OZ48" s="814"/>
      <c r="PA48" s="814"/>
      <c r="PB48" s="814"/>
      <c r="PC48" s="814"/>
      <c r="PD48" s="814"/>
      <c r="PE48" s="814"/>
      <c r="PF48" s="814"/>
      <c r="PG48" s="814"/>
      <c r="PH48" s="814"/>
      <c r="PI48" s="814"/>
      <c r="PJ48" s="814"/>
      <c r="PK48" s="814"/>
      <c r="PL48" s="814"/>
      <c r="PM48" s="814"/>
      <c r="PN48" s="814"/>
      <c r="PO48" s="814"/>
      <c r="PP48" s="814"/>
      <c r="PQ48" s="814"/>
      <c r="PR48" s="814"/>
      <c r="PS48" s="814"/>
      <c r="PT48" s="814"/>
      <c r="PU48" s="814"/>
      <c r="PV48" s="814"/>
      <c r="PW48" s="814"/>
      <c r="PX48" s="814"/>
      <c r="PY48" s="814"/>
      <c r="PZ48" s="814"/>
      <c r="QA48" s="814"/>
      <c r="QB48" s="814"/>
      <c r="QC48" s="814"/>
      <c r="QD48" s="814"/>
      <c r="QE48" s="814"/>
      <c r="QF48" s="814"/>
      <c r="QG48" s="814"/>
      <c r="QH48" s="814"/>
      <c r="QI48" s="814"/>
      <c r="QJ48" s="814"/>
      <c r="QK48" s="814"/>
      <c r="QL48" s="814"/>
      <c r="QM48" s="814"/>
      <c r="QN48" s="814"/>
      <c r="QO48" s="814"/>
      <c r="QP48" s="814"/>
      <c r="QQ48" s="814"/>
      <c r="QR48" s="814"/>
      <c r="QS48" s="814"/>
      <c r="QT48" s="814"/>
      <c r="QU48" s="814"/>
      <c r="QV48" s="814"/>
      <c r="QW48" s="814"/>
      <c r="QX48" s="814"/>
      <c r="QY48" s="814"/>
      <c r="QZ48" s="814"/>
      <c r="RA48" s="814"/>
      <c r="RB48" s="814"/>
      <c r="RC48" s="814"/>
      <c r="RD48" s="814"/>
      <c r="RE48" s="814"/>
      <c r="RF48" s="814"/>
      <c r="RG48" s="814"/>
      <c r="RH48" s="814"/>
      <c r="RI48" s="814"/>
      <c r="RJ48" s="814"/>
      <c r="RK48" s="814"/>
      <c r="RL48" s="814"/>
      <c r="RM48" s="814"/>
      <c r="RN48" s="814"/>
      <c r="RO48" s="814"/>
      <c r="RP48" s="814"/>
      <c r="RQ48" s="814"/>
      <c r="RR48" s="814"/>
      <c r="RS48" s="814"/>
      <c r="RT48" s="814"/>
      <c r="RU48" s="814"/>
      <c r="RV48" s="814"/>
      <c r="RW48" s="814"/>
      <c r="RX48" s="814"/>
    </row>
    <row r="49" spans="1:492" s="169" customFormat="1">
      <c r="A49" s="814"/>
      <c r="B49" s="814"/>
      <c r="C49" s="814"/>
      <c r="D49" s="814"/>
      <c r="E49" s="81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14"/>
      <c r="AK49" s="814"/>
      <c r="AL49" s="814"/>
      <c r="AM49" s="804"/>
      <c r="AN49" s="804"/>
      <c r="AO49" s="804"/>
      <c r="AP49" s="804"/>
      <c r="AQ49" s="804"/>
      <c r="AR49" s="804"/>
      <c r="AS49" s="804"/>
      <c r="AT49" s="804"/>
      <c r="AU49" s="804"/>
      <c r="AV49" s="804"/>
      <c r="AW49" s="820"/>
      <c r="AX49" s="820"/>
      <c r="AY49" s="820"/>
      <c r="AZ49" s="820"/>
      <c r="BA49" s="804"/>
      <c r="BB49" s="804"/>
      <c r="BC49" s="804"/>
      <c r="BD49" s="804"/>
      <c r="BE49" s="804"/>
      <c r="BF49" s="804"/>
      <c r="BG49" s="804"/>
      <c r="BH49" s="804"/>
      <c r="BI49" s="804"/>
      <c r="BJ49" s="804"/>
      <c r="BK49" s="804"/>
      <c r="BL49" s="804"/>
      <c r="BM49" s="804"/>
      <c r="BN49" s="804"/>
      <c r="BO49" s="804"/>
      <c r="BP49" s="804"/>
      <c r="BQ49" s="804"/>
      <c r="BR49" s="814"/>
      <c r="BS49" s="814"/>
      <c r="BT49" s="814"/>
      <c r="BU49" s="814"/>
      <c r="BV49" s="814"/>
      <c r="BW49" s="814"/>
      <c r="BX49" s="814"/>
      <c r="BY49" s="814"/>
      <c r="BZ49" s="814"/>
      <c r="CA49" s="814"/>
      <c r="CB49" s="814"/>
      <c r="CC49" s="814"/>
      <c r="CD49" s="814"/>
      <c r="CE49" s="814"/>
      <c r="CF49" s="814"/>
      <c r="CG49" s="814"/>
      <c r="CH49" s="814"/>
      <c r="CI49" s="814"/>
      <c r="CJ49" s="814"/>
      <c r="CK49" s="814"/>
      <c r="CL49" s="814"/>
      <c r="CM49" s="814"/>
      <c r="CN49" s="814"/>
      <c r="CO49" s="814"/>
      <c r="CP49" s="814"/>
      <c r="CQ49" s="814"/>
      <c r="CR49" s="814"/>
      <c r="CS49" s="814"/>
      <c r="CT49" s="814"/>
      <c r="CU49" s="814"/>
      <c r="CV49" s="814"/>
      <c r="CW49" s="814"/>
      <c r="CX49" s="814"/>
      <c r="CY49" s="814"/>
      <c r="CZ49" s="814"/>
      <c r="DA49" s="814"/>
      <c r="DB49" s="814"/>
      <c r="DC49" s="814"/>
      <c r="DD49" s="814"/>
      <c r="DE49" s="814"/>
      <c r="DF49" s="814"/>
      <c r="DG49" s="814"/>
      <c r="DH49" s="814"/>
      <c r="DI49" s="814"/>
      <c r="DJ49" s="814"/>
      <c r="DK49" s="814"/>
      <c r="DL49" s="814"/>
      <c r="DM49" s="814"/>
      <c r="DN49" s="814"/>
      <c r="DO49" s="814"/>
      <c r="DP49" s="814"/>
      <c r="DQ49" s="814"/>
      <c r="DR49" s="814"/>
      <c r="DS49" s="814"/>
      <c r="DT49" s="814"/>
      <c r="DU49" s="814"/>
      <c r="DV49" s="814"/>
      <c r="DW49" s="814"/>
      <c r="DX49" s="814"/>
      <c r="DY49" s="814"/>
      <c r="DZ49" s="814"/>
      <c r="EA49" s="814"/>
      <c r="EB49" s="814"/>
      <c r="EC49" s="814"/>
      <c r="ED49" s="814"/>
      <c r="EE49" s="814"/>
      <c r="EF49" s="814"/>
      <c r="EG49" s="814"/>
      <c r="EH49" s="814"/>
      <c r="EI49" s="814"/>
      <c r="EJ49" s="814"/>
      <c r="EK49" s="814"/>
      <c r="EL49" s="814"/>
      <c r="EM49" s="814"/>
      <c r="EN49" s="814"/>
      <c r="EO49" s="814"/>
      <c r="EP49" s="814"/>
      <c r="EQ49" s="814"/>
      <c r="ER49" s="814"/>
      <c r="ES49" s="814"/>
      <c r="ET49" s="814"/>
      <c r="EU49" s="814"/>
      <c r="EV49" s="814"/>
      <c r="EW49" s="814"/>
      <c r="EX49" s="814"/>
      <c r="EY49" s="814"/>
      <c r="EZ49" s="814"/>
      <c r="FA49" s="814"/>
      <c r="FB49" s="814"/>
      <c r="FC49" s="814"/>
      <c r="FD49" s="814"/>
      <c r="FE49" s="814"/>
      <c r="FF49" s="814"/>
      <c r="FG49" s="814"/>
      <c r="FH49" s="814"/>
      <c r="FI49" s="814"/>
      <c r="FJ49" s="814"/>
      <c r="FK49" s="814"/>
      <c r="FL49" s="814"/>
      <c r="FM49" s="814"/>
      <c r="FN49" s="814"/>
      <c r="FO49" s="814"/>
      <c r="FP49" s="814"/>
      <c r="FQ49" s="814"/>
      <c r="FR49" s="814"/>
      <c r="FS49" s="814"/>
      <c r="FT49" s="814"/>
      <c r="FU49" s="814"/>
      <c r="FV49" s="814"/>
      <c r="FW49" s="814"/>
      <c r="FX49" s="814"/>
      <c r="FY49" s="814"/>
      <c r="FZ49" s="814"/>
      <c r="GA49" s="814"/>
      <c r="GB49" s="814"/>
      <c r="GC49" s="814"/>
      <c r="GD49" s="814"/>
      <c r="GE49" s="814"/>
      <c r="GF49" s="814"/>
      <c r="GG49" s="814"/>
      <c r="GH49" s="814"/>
      <c r="GI49" s="814"/>
      <c r="GJ49" s="814"/>
      <c r="GK49" s="814"/>
      <c r="GL49" s="814"/>
      <c r="GM49" s="814"/>
      <c r="GN49" s="814"/>
      <c r="GO49" s="814"/>
      <c r="GP49" s="814"/>
      <c r="GQ49" s="814"/>
      <c r="GR49" s="814"/>
      <c r="GS49" s="814"/>
      <c r="GT49" s="814"/>
      <c r="GU49" s="814"/>
      <c r="GV49" s="814"/>
      <c r="GW49" s="814"/>
      <c r="GX49" s="814"/>
      <c r="GY49" s="814"/>
      <c r="GZ49" s="814"/>
      <c r="HA49" s="814"/>
      <c r="HB49" s="814"/>
      <c r="HC49" s="814"/>
      <c r="HD49" s="814"/>
      <c r="HE49" s="814"/>
      <c r="HF49" s="814"/>
      <c r="HG49" s="814"/>
      <c r="HH49" s="814"/>
      <c r="HI49" s="814"/>
      <c r="HJ49" s="814"/>
      <c r="HK49" s="814"/>
      <c r="HL49" s="814"/>
      <c r="HM49" s="814"/>
      <c r="HN49" s="814"/>
      <c r="HO49" s="814"/>
      <c r="HP49" s="814"/>
      <c r="HQ49" s="814"/>
      <c r="HR49" s="814"/>
      <c r="HS49" s="814"/>
      <c r="HT49" s="814"/>
      <c r="HU49" s="814"/>
      <c r="HV49" s="814"/>
      <c r="HW49" s="814"/>
      <c r="HX49" s="814"/>
      <c r="HY49" s="814"/>
      <c r="HZ49" s="814"/>
      <c r="IA49" s="814"/>
      <c r="IB49" s="814"/>
      <c r="IC49" s="814"/>
      <c r="ID49" s="814"/>
      <c r="IE49" s="814"/>
      <c r="IF49" s="814"/>
      <c r="IG49" s="814"/>
      <c r="IH49" s="814"/>
      <c r="II49" s="814"/>
      <c r="IJ49" s="814"/>
      <c r="IK49" s="814"/>
      <c r="IL49" s="814"/>
      <c r="IM49" s="814"/>
      <c r="IN49" s="814"/>
      <c r="IO49" s="814"/>
      <c r="IP49" s="814"/>
      <c r="IQ49" s="814"/>
      <c r="IR49" s="814"/>
      <c r="IS49" s="814"/>
      <c r="IT49" s="814"/>
      <c r="IU49" s="814"/>
      <c r="IV49" s="814"/>
      <c r="IW49" s="814"/>
      <c r="IX49" s="814"/>
      <c r="IY49" s="814"/>
      <c r="IZ49" s="814"/>
      <c r="JA49" s="814"/>
      <c r="JB49" s="814"/>
      <c r="JC49" s="814"/>
      <c r="JD49" s="814"/>
      <c r="JE49" s="814"/>
      <c r="JF49" s="814"/>
      <c r="JG49" s="814"/>
      <c r="JH49" s="814"/>
      <c r="JI49" s="814"/>
      <c r="JJ49" s="814"/>
      <c r="JK49" s="814"/>
      <c r="JL49" s="814"/>
      <c r="JM49" s="814"/>
      <c r="JN49" s="814"/>
      <c r="JO49" s="814"/>
      <c r="JP49" s="814"/>
      <c r="JQ49" s="814"/>
      <c r="JR49" s="814"/>
      <c r="JS49" s="814"/>
      <c r="JT49" s="814"/>
      <c r="JU49" s="814"/>
      <c r="JV49" s="814"/>
      <c r="JW49" s="814"/>
      <c r="JX49" s="814"/>
      <c r="JY49" s="814"/>
      <c r="JZ49" s="814"/>
      <c r="KA49" s="814"/>
      <c r="KB49" s="814"/>
      <c r="KC49" s="814"/>
      <c r="KD49" s="814"/>
      <c r="KE49" s="814"/>
      <c r="KF49" s="814"/>
      <c r="KG49" s="814"/>
      <c r="KH49" s="814"/>
      <c r="KI49" s="814"/>
      <c r="KJ49" s="814"/>
      <c r="KK49" s="814"/>
      <c r="KL49" s="814"/>
      <c r="KM49" s="814"/>
      <c r="KN49" s="814"/>
      <c r="KO49" s="814"/>
      <c r="KP49" s="814"/>
      <c r="KQ49" s="814"/>
      <c r="KR49" s="814"/>
      <c r="KS49" s="814"/>
      <c r="KT49" s="814"/>
      <c r="KU49" s="814"/>
      <c r="KV49" s="814"/>
      <c r="KW49" s="814"/>
      <c r="KX49" s="814"/>
      <c r="KY49" s="814"/>
      <c r="KZ49" s="814"/>
      <c r="LA49" s="814"/>
      <c r="LB49" s="814"/>
      <c r="LC49" s="814"/>
      <c r="LD49" s="814"/>
      <c r="LE49" s="814"/>
      <c r="LF49" s="814"/>
      <c r="LG49" s="814"/>
      <c r="LH49" s="814"/>
      <c r="LI49" s="814"/>
      <c r="LJ49" s="814"/>
      <c r="LK49" s="814"/>
      <c r="LL49" s="814"/>
      <c r="LM49" s="814"/>
      <c r="LN49" s="814"/>
      <c r="LO49" s="814"/>
      <c r="LP49" s="814"/>
      <c r="LQ49" s="814"/>
      <c r="LR49" s="814"/>
      <c r="LS49" s="814"/>
      <c r="LT49" s="814"/>
      <c r="LU49" s="814"/>
      <c r="LV49" s="814"/>
      <c r="LW49" s="814"/>
      <c r="LX49" s="814"/>
      <c r="LY49" s="814"/>
      <c r="LZ49" s="814"/>
      <c r="MA49" s="814"/>
      <c r="MB49" s="814"/>
      <c r="MC49" s="814"/>
      <c r="MD49" s="814"/>
      <c r="ME49" s="814"/>
      <c r="MF49" s="814"/>
      <c r="MG49" s="814"/>
      <c r="MH49" s="814"/>
      <c r="MI49" s="814"/>
      <c r="MJ49" s="814"/>
      <c r="MK49" s="814"/>
      <c r="ML49" s="814"/>
      <c r="MM49" s="814"/>
      <c r="MN49" s="814"/>
      <c r="MO49" s="814"/>
      <c r="MP49" s="814"/>
      <c r="MQ49" s="814"/>
      <c r="MR49" s="814"/>
      <c r="MS49" s="814"/>
      <c r="MT49" s="814"/>
      <c r="MU49" s="814"/>
      <c r="MV49" s="814"/>
      <c r="MW49" s="814"/>
      <c r="MX49" s="814"/>
      <c r="MY49" s="814"/>
      <c r="MZ49" s="814"/>
      <c r="NA49" s="814"/>
      <c r="NB49" s="814"/>
      <c r="NC49" s="814"/>
      <c r="ND49" s="814"/>
      <c r="NE49" s="814"/>
      <c r="NF49" s="814"/>
      <c r="NG49" s="814"/>
      <c r="NH49" s="814"/>
      <c r="NI49" s="814"/>
      <c r="NJ49" s="814"/>
      <c r="NK49" s="814"/>
      <c r="NL49" s="814"/>
      <c r="NM49" s="814"/>
      <c r="NN49" s="814"/>
      <c r="NO49" s="814"/>
      <c r="NP49" s="814"/>
      <c r="NQ49" s="814"/>
      <c r="NR49" s="814"/>
      <c r="NS49" s="814"/>
      <c r="NT49" s="814"/>
      <c r="NU49" s="814"/>
      <c r="NV49" s="814"/>
      <c r="NW49" s="814"/>
      <c r="NX49" s="814"/>
      <c r="NY49" s="814"/>
      <c r="NZ49" s="814"/>
      <c r="OA49" s="814"/>
      <c r="OB49" s="814"/>
      <c r="OC49" s="814"/>
      <c r="OD49" s="814"/>
      <c r="OE49" s="814"/>
      <c r="OF49" s="814"/>
      <c r="OG49" s="814"/>
      <c r="OH49" s="814"/>
      <c r="OI49" s="814"/>
      <c r="OJ49" s="814"/>
      <c r="OK49" s="814"/>
      <c r="OL49" s="814"/>
      <c r="OM49" s="814"/>
      <c r="ON49" s="814"/>
      <c r="OO49" s="814"/>
      <c r="OP49" s="814"/>
      <c r="OQ49" s="814"/>
      <c r="OR49" s="814"/>
      <c r="OS49" s="814"/>
      <c r="OT49" s="814"/>
      <c r="OU49" s="814"/>
      <c r="OV49" s="814"/>
      <c r="OW49" s="814"/>
      <c r="OX49" s="814"/>
      <c r="OY49" s="814"/>
      <c r="OZ49" s="814"/>
      <c r="PA49" s="814"/>
      <c r="PB49" s="814"/>
      <c r="PC49" s="814"/>
      <c r="PD49" s="814"/>
      <c r="PE49" s="814"/>
      <c r="PF49" s="814"/>
      <c r="PG49" s="814"/>
      <c r="PH49" s="814"/>
      <c r="PI49" s="814"/>
      <c r="PJ49" s="814"/>
      <c r="PK49" s="814"/>
      <c r="PL49" s="814"/>
      <c r="PM49" s="814"/>
      <c r="PN49" s="814"/>
      <c r="PO49" s="814"/>
      <c r="PP49" s="814"/>
      <c r="PQ49" s="814"/>
      <c r="PR49" s="814"/>
      <c r="PS49" s="814"/>
      <c r="PT49" s="814"/>
      <c r="PU49" s="814"/>
      <c r="PV49" s="814"/>
      <c r="PW49" s="814"/>
      <c r="PX49" s="814"/>
      <c r="PY49" s="814"/>
      <c r="PZ49" s="814"/>
      <c r="QA49" s="814"/>
      <c r="QB49" s="814"/>
      <c r="QC49" s="814"/>
      <c r="QD49" s="814"/>
      <c r="QE49" s="814"/>
      <c r="QF49" s="814"/>
      <c r="QG49" s="814"/>
      <c r="QH49" s="814"/>
      <c r="QI49" s="814"/>
      <c r="QJ49" s="814"/>
      <c r="QK49" s="814"/>
      <c r="QL49" s="814"/>
      <c r="QM49" s="814"/>
      <c r="QN49" s="814"/>
      <c r="QO49" s="814"/>
      <c r="QP49" s="814"/>
      <c r="QQ49" s="814"/>
      <c r="QR49" s="814"/>
      <c r="QS49" s="814"/>
      <c r="QT49" s="814"/>
      <c r="QU49" s="814"/>
      <c r="QV49" s="814"/>
      <c r="QW49" s="814"/>
      <c r="QX49" s="814"/>
      <c r="QY49" s="814"/>
      <c r="QZ49" s="814"/>
      <c r="RA49" s="814"/>
      <c r="RB49" s="814"/>
      <c r="RC49" s="814"/>
      <c r="RD49" s="814"/>
      <c r="RE49" s="814"/>
      <c r="RF49" s="814"/>
      <c r="RG49" s="814"/>
      <c r="RH49" s="814"/>
      <c r="RI49" s="814"/>
      <c r="RJ49" s="814"/>
      <c r="RK49" s="814"/>
      <c r="RL49" s="814"/>
      <c r="RM49" s="814"/>
      <c r="RN49" s="814"/>
      <c r="RO49" s="814"/>
      <c r="RP49" s="814"/>
      <c r="RQ49" s="814"/>
      <c r="RR49" s="814"/>
      <c r="RS49" s="814"/>
      <c r="RT49" s="814"/>
      <c r="RU49" s="814"/>
      <c r="RV49" s="814"/>
      <c r="RW49" s="814"/>
      <c r="RX49" s="814"/>
    </row>
    <row r="50" spans="1:492" s="169" customFormat="1">
      <c r="A50" s="814"/>
      <c r="B50" s="814"/>
      <c r="C50" s="814"/>
      <c r="D50" s="814"/>
      <c r="E50" s="814"/>
      <c r="F50" s="814"/>
      <c r="G50" s="814"/>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04"/>
      <c r="AN50" s="804"/>
      <c r="AO50" s="804"/>
      <c r="AP50" s="804"/>
      <c r="AQ50" s="804"/>
      <c r="AR50" s="804"/>
      <c r="AS50" s="804"/>
      <c r="AT50" s="804"/>
      <c r="AU50" s="804"/>
      <c r="AV50" s="804"/>
      <c r="AW50" s="820"/>
      <c r="AX50" s="820"/>
      <c r="AY50" s="820"/>
      <c r="AZ50" s="820"/>
      <c r="BA50" s="804"/>
      <c r="BB50" s="804"/>
      <c r="BC50" s="804"/>
      <c r="BD50" s="804"/>
      <c r="BE50" s="804"/>
      <c r="BF50" s="804"/>
      <c r="BG50" s="804"/>
      <c r="BH50" s="804"/>
      <c r="BI50" s="804"/>
      <c r="BJ50" s="804"/>
      <c r="BK50" s="804"/>
      <c r="BL50" s="804"/>
      <c r="BM50" s="804"/>
      <c r="BN50" s="804"/>
      <c r="BO50" s="804"/>
      <c r="BP50" s="804"/>
      <c r="BQ50" s="804"/>
      <c r="BR50" s="814"/>
      <c r="BS50" s="814"/>
      <c r="BT50" s="814"/>
      <c r="BU50" s="814"/>
      <c r="BV50" s="814"/>
      <c r="BW50" s="814"/>
      <c r="BX50" s="814"/>
      <c r="BY50" s="814"/>
      <c r="BZ50" s="814"/>
      <c r="CA50" s="814"/>
      <c r="CB50" s="814"/>
      <c r="CC50" s="814"/>
      <c r="CD50" s="814"/>
      <c r="CE50" s="814"/>
      <c r="CF50" s="814"/>
      <c r="CG50" s="814"/>
      <c r="CH50" s="814"/>
      <c r="CI50" s="814"/>
      <c r="CJ50" s="814"/>
      <c r="CK50" s="814"/>
      <c r="CL50" s="814"/>
      <c r="CM50" s="814"/>
      <c r="CN50" s="814"/>
      <c r="CO50" s="814"/>
      <c r="CP50" s="814"/>
      <c r="CQ50" s="814"/>
      <c r="CR50" s="814"/>
      <c r="CS50" s="814"/>
      <c r="CT50" s="814"/>
      <c r="CU50" s="814"/>
      <c r="CV50" s="814"/>
      <c r="CW50" s="814"/>
      <c r="CX50" s="814"/>
      <c r="CY50" s="814"/>
      <c r="CZ50" s="814"/>
      <c r="DA50" s="814"/>
      <c r="DB50" s="814"/>
      <c r="DC50" s="814"/>
      <c r="DD50" s="814"/>
      <c r="DE50" s="814"/>
      <c r="DF50" s="814"/>
      <c r="DG50" s="814"/>
      <c r="DH50" s="814"/>
      <c r="DI50" s="814"/>
      <c r="DJ50" s="814"/>
      <c r="DK50" s="814"/>
      <c r="DL50" s="814"/>
      <c r="DM50" s="814"/>
      <c r="DN50" s="814"/>
      <c r="DO50" s="814"/>
      <c r="DP50" s="814"/>
      <c r="DQ50" s="814"/>
      <c r="DR50" s="814"/>
      <c r="DS50" s="814"/>
      <c r="DT50" s="814"/>
      <c r="DU50" s="814"/>
      <c r="DV50" s="814"/>
      <c r="DW50" s="814"/>
      <c r="DX50" s="814"/>
      <c r="DY50" s="814"/>
      <c r="DZ50" s="814"/>
      <c r="EA50" s="814"/>
      <c r="EB50" s="814"/>
      <c r="EC50" s="814"/>
      <c r="ED50" s="814"/>
      <c r="EE50" s="814"/>
      <c r="EF50" s="814"/>
      <c r="EG50" s="814"/>
      <c r="EH50" s="814"/>
      <c r="EI50" s="814"/>
      <c r="EJ50" s="814"/>
      <c r="EK50" s="814"/>
      <c r="EL50" s="814"/>
      <c r="EM50" s="814"/>
      <c r="EN50" s="814"/>
      <c r="EO50" s="814"/>
      <c r="EP50" s="814"/>
      <c r="EQ50" s="814"/>
      <c r="ER50" s="814"/>
      <c r="ES50" s="814"/>
      <c r="ET50" s="814"/>
      <c r="EU50" s="814"/>
      <c r="EV50" s="814"/>
      <c r="EW50" s="814"/>
      <c r="EX50" s="814"/>
      <c r="EY50" s="814"/>
      <c r="EZ50" s="814"/>
      <c r="FA50" s="814"/>
      <c r="FB50" s="814"/>
      <c r="FC50" s="814"/>
      <c r="FD50" s="814"/>
      <c r="FE50" s="814"/>
      <c r="FF50" s="814"/>
      <c r="FG50" s="814"/>
      <c r="FH50" s="814"/>
      <c r="FI50" s="814"/>
      <c r="FJ50" s="814"/>
      <c r="FK50" s="814"/>
      <c r="FL50" s="814"/>
      <c r="FM50" s="814"/>
      <c r="FN50" s="814"/>
      <c r="FO50" s="814"/>
      <c r="FP50" s="814"/>
      <c r="FQ50" s="814"/>
      <c r="FR50" s="814"/>
      <c r="FS50" s="814"/>
      <c r="FT50" s="814"/>
      <c r="FU50" s="814"/>
      <c r="FV50" s="814"/>
      <c r="FW50" s="814"/>
      <c r="FX50" s="814"/>
      <c r="FY50" s="814"/>
      <c r="FZ50" s="814"/>
      <c r="GA50" s="814"/>
      <c r="GB50" s="814"/>
      <c r="GC50" s="814"/>
      <c r="GD50" s="814"/>
      <c r="GE50" s="814"/>
      <c r="GF50" s="814"/>
      <c r="GG50" s="814"/>
      <c r="GH50" s="814"/>
      <c r="GI50" s="814"/>
      <c r="GJ50" s="814"/>
      <c r="GK50" s="814"/>
      <c r="GL50" s="814"/>
      <c r="GM50" s="814"/>
      <c r="GN50" s="814"/>
      <c r="GO50" s="814"/>
      <c r="GP50" s="814"/>
      <c r="GQ50" s="814"/>
      <c r="GR50" s="814"/>
      <c r="GS50" s="814"/>
      <c r="GT50" s="814"/>
      <c r="GU50" s="814"/>
      <c r="GV50" s="814"/>
      <c r="GW50" s="814"/>
      <c r="GX50" s="814"/>
      <c r="GY50" s="814"/>
      <c r="GZ50" s="814"/>
      <c r="HA50" s="814"/>
      <c r="HB50" s="814"/>
      <c r="HC50" s="814"/>
      <c r="HD50" s="814"/>
      <c r="HE50" s="814"/>
      <c r="HF50" s="814"/>
      <c r="HG50" s="814"/>
      <c r="HH50" s="814"/>
      <c r="HI50" s="814"/>
      <c r="HJ50" s="814"/>
      <c r="HK50" s="814"/>
      <c r="HL50" s="814"/>
      <c r="HM50" s="814"/>
      <c r="HN50" s="814"/>
      <c r="HO50" s="814"/>
      <c r="HP50" s="814"/>
      <c r="HQ50" s="814"/>
      <c r="HR50" s="814"/>
      <c r="HS50" s="814"/>
      <c r="HT50" s="814"/>
      <c r="HU50" s="814"/>
      <c r="HV50" s="814"/>
      <c r="HW50" s="814"/>
      <c r="HX50" s="814"/>
      <c r="HY50" s="814"/>
      <c r="HZ50" s="814"/>
      <c r="IA50" s="814"/>
      <c r="IB50" s="814"/>
      <c r="IC50" s="814"/>
      <c r="ID50" s="814"/>
      <c r="IE50" s="814"/>
      <c r="IF50" s="814"/>
      <c r="IG50" s="814"/>
      <c r="IH50" s="814"/>
      <c r="II50" s="814"/>
      <c r="IJ50" s="814"/>
      <c r="IK50" s="814"/>
      <c r="IL50" s="814"/>
      <c r="IM50" s="814"/>
      <c r="IN50" s="814"/>
      <c r="IO50" s="814"/>
      <c r="IP50" s="814"/>
      <c r="IQ50" s="814"/>
      <c r="IR50" s="814"/>
      <c r="IS50" s="814"/>
      <c r="IT50" s="814"/>
      <c r="IU50" s="814"/>
      <c r="IV50" s="814"/>
      <c r="IW50" s="814"/>
      <c r="IX50" s="814"/>
      <c r="IY50" s="814"/>
      <c r="IZ50" s="814"/>
      <c r="JA50" s="814"/>
      <c r="JB50" s="814"/>
      <c r="JC50" s="814"/>
      <c r="JD50" s="814"/>
      <c r="JE50" s="814"/>
      <c r="JF50" s="814"/>
      <c r="JG50" s="814"/>
      <c r="JH50" s="814"/>
      <c r="JI50" s="814"/>
      <c r="JJ50" s="814"/>
      <c r="JK50" s="814"/>
      <c r="JL50" s="814"/>
      <c r="JM50" s="814"/>
      <c r="JN50" s="814"/>
      <c r="JO50" s="814"/>
      <c r="JP50" s="814"/>
      <c r="JQ50" s="814"/>
      <c r="JR50" s="814"/>
      <c r="JS50" s="814"/>
      <c r="JT50" s="814"/>
      <c r="JU50" s="814"/>
      <c r="JV50" s="814"/>
      <c r="JW50" s="814"/>
      <c r="JX50" s="814"/>
      <c r="JY50" s="814"/>
      <c r="JZ50" s="814"/>
      <c r="KA50" s="814"/>
      <c r="KB50" s="814"/>
      <c r="KC50" s="814"/>
      <c r="KD50" s="814"/>
      <c r="KE50" s="814"/>
      <c r="KF50" s="814"/>
      <c r="KG50" s="814"/>
      <c r="KH50" s="814"/>
      <c r="KI50" s="814"/>
      <c r="KJ50" s="814"/>
      <c r="KK50" s="814"/>
      <c r="KL50" s="814"/>
      <c r="KM50" s="814"/>
      <c r="KN50" s="814"/>
      <c r="KO50" s="814"/>
      <c r="KP50" s="814"/>
      <c r="KQ50" s="814"/>
      <c r="KR50" s="814"/>
      <c r="KS50" s="814"/>
      <c r="KT50" s="814"/>
      <c r="KU50" s="814"/>
      <c r="KV50" s="814"/>
      <c r="KW50" s="814"/>
      <c r="KX50" s="814"/>
      <c r="KY50" s="814"/>
      <c r="KZ50" s="814"/>
      <c r="LA50" s="814"/>
      <c r="LB50" s="814"/>
      <c r="LC50" s="814"/>
      <c r="LD50" s="814"/>
      <c r="LE50" s="814"/>
      <c r="LF50" s="814"/>
      <c r="LG50" s="814"/>
      <c r="LH50" s="814"/>
      <c r="LI50" s="814"/>
      <c r="LJ50" s="814"/>
      <c r="LK50" s="814"/>
      <c r="LL50" s="814"/>
      <c r="LM50" s="814"/>
      <c r="LN50" s="814"/>
      <c r="LO50" s="814"/>
      <c r="LP50" s="814"/>
      <c r="LQ50" s="814"/>
      <c r="LR50" s="814"/>
      <c r="LS50" s="814"/>
      <c r="LT50" s="814"/>
      <c r="LU50" s="814"/>
      <c r="LV50" s="814"/>
      <c r="LW50" s="814"/>
      <c r="LX50" s="814"/>
      <c r="LY50" s="814"/>
      <c r="LZ50" s="814"/>
      <c r="MA50" s="814"/>
      <c r="MB50" s="814"/>
      <c r="MC50" s="814"/>
      <c r="MD50" s="814"/>
      <c r="ME50" s="814"/>
      <c r="MF50" s="814"/>
      <c r="MG50" s="814"/>
      <c r="MH50" s="814"/>
      <c r="MI50" s="814"/>
      <c r="MJ50" s="814"/>
      <c r="MK50" s="814"/>
      <c r="ML50" s="814"/>
      <c r="MM50" s="814"/>
      <c r="MN50" s="814"/>
      <c r="MO50" s="814"/>
      <c r="MP50" s="814"/>
      <c r="MQ50" s="814"/>
      <c r="MR50" s="814"/>
      <c r="MS50" s="814"/>
      <c r="MT50" s="814"/>
      <c r="MU50" s="814"/>
      <c r="MV50" s="814"/>
      <c r="MW50" s="814"/>
      <c r="MX50" s="814"/>
      <c r="MY50" s="814"/>
      <c r="MZ50" s="814"/>
      <c r="NA50" s="814"/>
      <c r="NB50" s="814"/>
      <c r="NC50" s="814"/>
      <c r="ND50" s="814"/>
      <c r="NE50" s="814"/>
      <c r="NF50" s="814"/>
      <c r="NG50" s="814"/>
      <c r="NH50" s="814"/>
      <c r="NI50" s="814"/>
      <c r="NJ50" s="814"/>
      <c r="NK50" s="814"/>
      <c r="NL50" s="814"/>
      <c r="NM50" s="814"/>
      <c r="NN50" s="814"/>
      <c r="NO50" s="814"/>
      <c r="NP50" s="814"/>
      <c r="NQ50" s="814"/>
      <c r="NR50" s="814"/>
      <c r="NS50" s="814"/>
      <c r="NT50" s="814"/>
      <c r="NU50" s="814"/>
      <c r="NV50" s="814"/>
      <c r="NW50" s="814"/>
      <c r="NX50" s="814"/>
      <c r="NY50" s="814"/>
      <c r="NZ50" s="814"/>
      <c r="OA50" s="814"/>
      <c r="OB50" s="814"/>
      <c r="OC50" s="814"/>
      <c r="OD50" s="814"/>
      <c r="OE50" s="814"/>
      <c r="OF50" s="814"/>
      <c r="OG50" s="814"/>
      <c r="OH50" s="814"/>
      <c r="OI50" s="814"/>
      <c r="OJ50" s="814"/>
      <c r="OK50" s="814"/>
      <c r="OL50" s="814"/>
      <c r="OM50" s="814"/>
      <c r="ON50" s="814"/>
      <c r="OO50" s="814"/>
      <c r="OP50" s="814"/>
      <c r="OQ50" s="814"/>
      <c r="OR50" s="814"/>
      <c r="OS50" s="814"/>
      <c r="OT50" s="814"/>
      <c r="OU50" s="814"/>
      <c r="OV50" s="814"/>
      <c r="OW50" s="814"/>
      <c r="OX50" s="814"/>
      <c r="OY50" s="814"/>
      <c r="OZ50" s="814"/>
      <c r="PA50" s="814"/>
      <c r="PB50" s="814"/>
      <c r="PC50" s="814"/>
      <c r="PD50" s="814"/>
      <c r="PE50" s="814"/>
      <c r="PF50" s="814"/>
      <c r="PG50" s="814"/>
      <c r="PH50" s="814"/>
      <c r="PI50" s="814"/>
      <c r="PJ50" s="814"/>
      <c r="PK50" s="814"/>
      <c r="PL50" s="814"/>
      <c r="PM50" s="814"/>
      <c r="PN50" s="814"/>
      <c r="PO50" s="814"/>
      <c r="PP50" s="814"/>
      <c r="PQ50" s="814"/>
      <c r="PR50" s="814"/>
      <c r="PS50" s="814"/>
      <c r="PT50" s="814"/>
      <c r="PU50" s="814"/>
      <c r="PV50" s="814"/>
      <c r="PW50" s="814"/>
      <c r="PX50" s="814"/>
      <c r="PY50" s="814"/>
      <c r="PZ50" s="814"/>
      <c r="QA50" s="814"/>
      <c r="QB50" s="814"/>
      <c r="QC50" s="814"/>
      <c r="QD50" s="814"/>
      <c r="QE50" s="814"/>
      <c r="QF50" s="814"/>
      <c r="QG50" s="814"/>
      <c r="QH50" s="814"/>
      <c r="QI50" s="814"/>
      <c r="QJ50" s="814"/>
      <c r="QK50" s="814"/>
      <c r="QL50" s="814"/>
      <c r="QM50" s="814"/>
      <c r="QN50" s="814"/>
      <c r="QO50" s="814"/>
      <c r="QP50" s="814"/>
      <c r="QQ50" s="814"/>
      <c r="QR50" s="814"/>
      <c r="QS50" s="814"/>
      <c r="QT50" s="814"/>
      <c r="QU50" s="814"/>
      <c r="QV50" s="814"/>
      <c r="QW50" s="814"/>
      <c r="QX50" s="814"/>
      <c r="QY50" s="814"/>
      <c r="QZ50" s="814"/>
      <c r="RA50" s="814"/>
      <c r="RB50" s="814"/>
      <c r="RC50" s="814"/>
      <c r="RD50" s="814"/>
      <c r="RE50" s="814"/>
      <c r="RF50" s="814"/>
      <c r="RG50" s="814"/>
      <c r="RH50" s="814"/>
      <c r="RI50" s="814"/>
      <c r="RJ50" s="814"/>
      <c r="RK50" s="814"/>
      <c r="RL50" s="814"/>
      <c r="RM50" s="814"/>
      <c r="RN50" s="814"/>
      <c r="RO50" s="814"/>
      <c r="RP50" s="814"/>
      <c r="RQ50" s="814"/>
      <c r="RR50" s="814"/>
      <c r="RS50" s="814"/>
      <c r="RT50" s="814"/>
      <c r="RU50" s="814"/>
      <c r="RV50" s="814"/>
      <c r="RW50" s="814"/>
      <c r="RX50" s="814"/>
    </row>
    <row r="51" spans="1:492" s="169" customFormat="1">
      <c r="A51" s="814"/>
      <c r="B51" s="814"/>
      <c r="C51" s="814"/>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4"/>
      <c r="AC51" s="814"/>
      <c r="AD51" s="814"/>
      <c r="AE51" s="814"/>
      <c r="AF51" s="814"/>
      <c r="AG51" s="814"/>
      <c r="AH51" s="814"/>
      <c r="AI51" s="814"/>
      <c r="AJ51" s="814"/>
      <c r="AK51" s="814"/>
      <c r="AL51" s="814"/>
      <c r="AM51" s="804"/>
      <c r="AN51" s="804"/>
      <c r="AO51" s="804"/>
      <c r="AP51" s="804"/>
      <c r="AQ51" s="804"/>
      <c r="AR51" s="804"/>
      <c r="AS51" s="804"/>
      <c r="AT51" s="804"/>
      <c r="AU51" s="804"/>
      <c r="AV51" s="804"/>
      <c r="AW51" s="820"/>
      <c r="AX51" s="820"/>
      <c r="AY51" s="820"/>
      <c r="AZ51" s="820"/>
      <c r="BA51" s="804"/>
      <c r="BB51" s="804"/>
      <c r="BC51" s="804"/>
      <c r="BD51" s="804"/>
      <c r="BE51" s="804"/>
      <c r="BF51" s="804"/>
      <c r="BG51" s="804"/>
      <c r="BH51" s="804"/>
      <c r="BI51" s="804"/>
      <c r="BJ51" s="804"/>
      <c r="BK51" s="804"/>
      <c r="BL51" s="804"/>
      <c r="BM51" s="804"/>
      <c r="BN51" s="804"/>
      <c r="BO51" s="804"/>
      <c r="BP51" s="804"/>
      <c r="BQ51" s="804"/>
      <c r="BR51" s="814"/>
      <c r="BS51" s="814"/>
      <c r="BT51" s="814"/>
      <c r="BU51" s="814"/>
      <c r="BV51" s="814"/>
      <c r="BW51" s="814"/>
      <c r="BX51" s="814"/>
      <c r="BY51" s="814"/>
      <c r="BZ51" s="814"/>
      <c r="CA51" s="814"/>
      <c r="CB51" s="814"/>
      <c r="CC51" s="814"/>
      <c r="CD51" s="814"/>
      <c r="CE51" s="814"/>
      <c r="CF51" s="814"/>
      <c r="CG51" s="814"/>
      <c r="CH51" s="814"/>
      <c r="CI51" s="814"/>
      <c r="CJ51" s="814"/>
      <c r="CK51" s="814"/>
      <c r="CL51" s="814"/>
      <c r="CM51" s="814"/>
      <c r="CN51" s="814"/>
      <c r="CO51" s="814"/>
      <c r="CP51" s="814"/>
      <c r="CQ51" s="814"/>
      <c r="CR51" s="814"/>
      <c r="CS51" s="814"/>
      <c r="CT51" s="814"/>
      <c r="CU51" s="814"/>
      <c r="CV51" s="814"/>
      <c r="CW51" s="814"/>
      <c r="CX51" s="814"/>
      <c r="CY51" s="814"/>
      <c r="CZ51" s="814"/>
      <c r="DA51" s="814"/>
      <c r="DB51" s="814"/>
      <c r="DC51" s="814"/>
      <c r="DD51" s="814"/>
      <c r="DE51" s="814"/>
      <c r="DF51" s="814"/>
      <c r="DG51" s="814"/>
      <c r="DH51" s="814"/>
      <c r="DI51" s="814"/>
      <c r="DJ51" s="814"/>
      <c r="DK51" s="814"/>
      <c r="DL51" s="814"/>
      <c r="DM51" s="814"/>
      <c r="DN51" s="814"/>
      <c r="DO51" s="814"/>
      <c r="DP51" s="814"/>
      <c r="DQ51" s="814"/>
      <c r="DR51" s="814"/>
      <c r="DS51" s="814"/>
      <c r="DT51" s="814"/>
      <c r="DU51" s="814"/>
      <c r="DV51" s="814"/>
      <c r="DW51" s="814"/>
      <c r="DX51" s="814"/>
      <c r="DY51" s="814"/>
      <c r="DZ51" s="814"/>
      <c r="EA51" s="814"/>
      <c r="EB51" s="814"/>
      <c r="EC51" s="814"/>
      <c r="ED51" s="814"/>
      <c r="EE51" s="814"/>
      <c r="EF51" s="814"/>
      <c r="EG51" s="814"/>
      <c r="EH51" s="814"/>
      <c r="EI51" s="814"/>
      <c r="EJ51" s="814"/>
      <c r="EK51" s="814"/>
      <c r="EL51" s="814"/>
      <c r="EM51" s="814"/>
      <c r="EN51" s="814"/>
      <c r="EO51" s="814"/>
      <c r="EP51" s="814"/>
      <c r="EQ51" s="814"/>
      <c r="ER51" s="814"/>
      <c r="ES51" s="814"/>
      <c r="ET51" s="814"/>
      <c r="EU51" s="814"/>
      <c r="EV51" s="814"/>
      <c r="EW51" s="814"/>
      <c r="EX51" s="814"/>
      <c r="EY51" s="814"/>
      <c r="EZ51" s="814"/>
      <c r="FA51" s="814"/>
      <c r="FB51" s="814"/>
      <c r="FC51" s="814"/>
      <c r="FD51" s="814"/>
      <c r="FE51" s="814"/>
      <c r="FF51" s="814"/>
      <c r="FG51" s="814"/>
      <c r="FH51" s="814"/>
      <c r="FI51" s="814"/>
      <c r="FJ51" s="814"/>
      <c r="FK51" s="814"/>
      <c r="FL51" s="814"/>
      <c r="FM51" s="814"/>
      <c r="FN51" s="814"/>
      <c r="FO51" s="814"/>
      <c r="FP51" s="814"/>
      <c r="FQ51" s="814"/>
      <c r="FR51" s="814"/>
      <c r="FS51" s="814"/>
      <c r="FT51" s="814"/>
      <c r="FU51" s="814"/>
      <c r="FV51" s="814"/>
      <c r="FW51" s="814"/>
      <c r="FX51" s="814"/>
      <c r="FY51" s="814"/>
      <c r="FZ51" s="814"/>
      <c r="GA51" s="814"/>
      <c r="GB51" s="814"/>
      <c r="GC51" s="814"/>
      <c r="GD51" s="814"/>
      <c r="GE51" s="814"/>
      <c r="GF51" s="814"/>
      <c r="GG51" s="814"/>
      <c r="GH51" s="814"/>
      <c r="GI51" s="814"/>
      <c r="GJ51" s="814"/>
      <c r="GK51" s="814"/>
      <c r="GL51" s="814"/>
      <c r="GM51" s="814"/>
      <c r="GN51" s="814"/>
      <c r="GO51" s="814"/>
      <c r="GP51" s="814"/>
      <c r="GQ51" s="814"/>
      <c r="GR51" s="814"/>
      <c r="GS51" s="814"/>
      <c r="GT51" s="814"/>
      <c r="GU51" s="814"/>
      <c r="GV51" s="814"/>
      <c r="GW51" s="814"/>
      <c r="GX51" s="814"/>
      <c r="GY51" s="814"/>
      <c r="GZ51" s="814"/>
      <c r="HA51" s="814"/>
      <c r="HB51" s="814"/>
      <c r="HC51" s="814"/>
      <c r="HD51" s="814"/>
      <c r="HE51" s="814"/>
      <c r="HF51" s="814"/>
      <c r="HG51" s="814"/>
      <c r="HH51" s="814"/>
      <c r="HI51" s="814"/>
      <c r="HJ51" s="814"/>
      <c r="HK51" s="814"/>
      <c r="HL51" s="814"/>
      <c r="HM51" s="814"/>
      <c r="HN51" s="814"/>
      <c r="HO51" s="814"/>
      <c r="HP51" s="814"/>
      <c r="HQ51" s="814"/>
      <c r="HR51" s="814"/>
      <c r="HS51" s="814"/>
      <c r="HT51" s="814"/>
      <c r="HU51" s="814"/>
      <c r="HV51" s="814"/>
      <c r="HW51" s="814"/>
      <c r="HX51" s="814"/>
      <c r="HY51" s="814"/>
      <c r="HZ51" s="814"/>
      <c r="IA51" s="814"/>
      <c r="IB51" s="814"/>
      <c r="IC51" s="814"/>
      <c r="ID51" s="814"/>
      <c r="IE51" s="814"/>
      <c r="IF51" s="814"/>
      <c r="IG51" s="814"/>
      <c r="IH51" s="814"/>
      <c r="II51" s="814"/>
      <c r="IJ51" s="814"/>
      <c r="IK51" s="814"/>
      <c r="IL51" s="814"/>
      <c r="IM51" s="814"/>
      <c r="IN51" s="814"/>
      <c r="IO51" s="814"/>
      <c r="IP51" s="814"/>
      <c r="IQ51" s="814"/>
      <c r="IR51" s="814"/>
      <c r="IS51" s="814"/>
      <c r="IT51" s="814"/>
      <c r="IU51" s="814"/>
      <c r="IV51" s="814"/>
      <c r="IW51" s="814"/>
      <c r="IX51" s="814"/>
      <c r="IY51" s="814"/>
      <c r="IZ51" s="814"/>
      <c r="JA51" s="814"/>
      <c r="JB51" s="814"/>
      <c r="JC51" s="814"/>
      <c r="JD51" s="814"/>
      <c r="JE51" s="814"/>
      <c r="JF51" s="814"/>
      <c r="JG51" s="814"/>
      <c r="JH51" s="814"/>
      <c r="JI51" s="814"/>
      <c r="JJ51" s="814"/>
      <c r="JK51" s="814"/>
      <c r="JL51" s="814"/>
      <c r="JM51" s="814"/>
      <c r="JN51" s="814"/>
      <c r="JO51" s="814"/>
      <c r="JP51" s="814"/>
      <c r="JQ51" s="814"/>
      <c r="JR51" s="814"/>
      <c r="JS51" s="814"/>
      <c r="JT51" s="814"/>
      <c r="JU51" s="814"/>
      <c r="JV51" s="814"/>
      <c r="JW51" s="814"/>
      <c r="JX51" s="814"/>
      <c r="JY51" s="814"/>
      <c r="JZ51" s="814"/>
      <c r="KA51" s="814"/>
      <c r="KB51" s="814"/>
      <c r="KC51" s="814"/>
      <c r="KD51" s="814"/>
      <c r="KE51" s="814"/>
      <c r="KF51" s="814"/>
      <c r="KG51" s="814"/>
      <c r="KH51" s="814"/>
      <c r="KI51" s="814"/>
      <c r="KJ51" s="814"/>
      <c r="KK51" s="814"/>
      <c r="KL51" s="814"/>
      <c r="KM51" s="814"/>
      <c r="KN51" s="814"/>
      <c r="KO51" s="814"/>
      <c r="KP51" s="814"/>
      <c r="KQ51" s="814"/>
      <c r="KR51" s="814"/>
      <c r="KS51" s="814"/>
      <c r="KT51" s="814"/>
      <c r="KU51" s="814"/>
      <c r="KV51" s="814"/>
      <c r="KW51" s="814"/>
      <c r="KX51" s="814"/>
      <c r="KY51" s="814"/>
      <c r="KZ51" s="814"/>
      <c r="LA51" s="814"/>
      <c r="LB51" s="814"/>
      <c r="LC51" s="814"/>
      <c r="LD51" s="814"/>
      <c r="LE51" s="814"/>
      <c r="LF51" s="814"/>
      <c r="LG51" s="814"/>
      <c r="LH51" s="814"/>
      <c r="LI51" s="814"/>
      <c r="LJ51" s="814"/>
      <c r="LK51" s="814"/>
      <c r="LL51" s="814"/>
      <c r="LM51" s="814"/>
      <c r="LN51" s="814"/>
      <c r="LO51" s="814"/>
      <c r="LP51" s="814"/>
      <c r="LQ51" s="814"/>
      <c r="LR51" s="814"/>
      <c r="LS51" s="814"/>
      <c r="LT51" s="814"/>
      <c r="LU51" s="814"/>
      <c r="LV51" s="814"/>
      <c r="LW51" s="814"/>
      <c r="LX51" s="814"/>
      <c r="LY51" s="814"/>
      <c r="LZ51" s="814"/>
      <c r="MA51" s="814"/>
      <c r="MB51" s="814"/>
      <c r="MC51" s="814"/>
      <c r="MD51" s="814"/>
      <c r="ME51" s="814"/>
      <c r="MF51" s="814"/>
      <c r="MG51" s="814"/>
      <c r="MH51" s="814"/>
      <c r="MI51" s="814"/>
      <c r="MJ51" s="814"/>
      <c r="MK51" s="814"/>
      <c r="ML51" s="814"/>
      <c r="MM51" s="814"/>
      <c r="MN51" s="814"/>
      <c r="MO51" s="814"/>
      <c r="MP51" s="814"/>
      <c r="MQ51" s="814"/>
      <c r="MR51" s="814"/>
      <c r="MS51" s="814"/>
      <c r="MT51" s="814"/>
      <c r="MU51" s="814"/>
      <c r="MV51" s="814"/>
      <c r="MW51" s="814"/>
      <c r="MX51" s="814"/>
      <c r="MY51" s="814"/>
      <c r="MZ51" s="814"/>
      <c r="NA51" s="814"/>
      <c r="NB51" s="814"/>
      <c r="NC51" s="814"/>
      <c r="ND51" s="814"/>
      <c r="NE51" s="814"/>
      <c r="NF51" s="814"/>
      <c r="NG51" s="814"/>
      <c r="NH51" s="814"/>
      <c r="NI51" s="814"/>
      <c r="NJ51" s="814"/>
      <c r="NK51" s="814"/>
      <c r="NL51" s="814"/>
      <c r="NM51" s="814"/>
      <c r="NN51" s="814"/>
      <c r="NO51" s="814"/>
      <c r="NP51" s="814"/>
      <c r="NQ51" s="814"/>
      <c r="NR51" s="814"/>
      <c r="NS51" s="814"/>
      <c r="NT51" s="814"/>
      <c r="NU51" s="814"/>
      <c r="NV51" s="814"/>
      <c r="NW51" s="814"/>
      <c r="NX51" s="814"/>
      <c r="NY51" s="814"/>
      <c r="NZ51" s="814"/>
      <c r="OA51" s="814"/>
      <c r="OB51" s="814"/>
      <c r="OC51" s="814"/>
      <c r="OD51" s="814"/>
      <c r="OE51" s="814"/>
      <c r="OF51" s="814"/>
      <c r="OG51" s="814"/>
      <c r="OH51" s="814"/>
      <c r="OI51" s="814"/>
      <c r="OJ51" s="814"/>
      <c r="OK51" s="814"/>
      <c r="OL51" s="814"/>
      <c r="OM51" s="814"/>
      <c r="ON51" s="814"/>
      <c r="OO51" s="814"/>
      <c r="OP51" s="814"/>
      <c r="OQ51" s="814"/>
      <c r="OR51" s="814"/>
      <c r="OS51" s="814"/>
      <c r="OT51" s="814"/>
      <c r="OU51" s="814"/>
      <c r="OV51" s="814"/>
      <c r="OW51" s="814"/>
      <c r="OX51" s="814"/>
      <c r="OY51" s="814"/>
      <c r="OZ51" s="814"/>
      <c r="PA51" s="814"/>
      <c r="PB51" s="814"/>
      <c r="PC51" s="814"/>
      <c r="PD51" s="814"/>
      <c r="PE51" s="814"/>
      <c r="PF51" s="814"/>
      <c r="PG51" s="814"/>
      <c r="PH51" s="814"/>
      <c r="PI51" s="814"/>
      <c r="PJ51" s="814"/>
      <c r="PK51" s="814"/>
      <c r="PL51" s="814"/>
      <c r="PM51" s="814"/>
      <c r="PN51" s="814"/>
      <c r="PO51" s="814"/>
      <c r="PP51" s="814"/>
      <c r="PQ51" s="814"/>
      <c r="PR51" s="814"/>
      <c r="PS51" s="814"/>
      <c r="PT51" s="814"/>
      <c r="PU51" s="814"/>
      <c r="PV51" s="814"/>
      <c r="PW51" s="814"/>
      <c r="PX51" s="814"/>
      <c r="PY51" s="814"/>
      <c r="PZ51" s="814"/>
      <c r="QA51" s="814"/>
      <c r="QB51" s="814"/>
      <c r="QC51" s="814"/>
      <c r="QD51" s="814"/>
      <c r="QE51" s="814"/>
      <c r="QF51" s="814"/>
      <c r="QG51" s="814"/>
      <c r="QH51" s="814"/>
      <c r="QI51" s="814"/>
      <c r="QJ51" s="814"/>
      <c r="QK51" s="814"/>
      <c r="QL51" s="814"/>
      <c r="QM51" s="814"/>
      <c r="QN51" s="814"/>
      <c r="QO51" s="814"/>
      <c r="QP51" s="814"/>
      <c r="QQ51" s="814"/>
      <c r="QR51" s="814"/>
      <c r="QS51" s="814"/>
      <c r="QT51" s="814"/>
      <c r="QU51" s="814"/>
      <c r="QV51" s="814"/>
      <c r="QW51" s="814"/>
      <c r="QX51" s="814"/>
      <c r="QY51" s="814"/>
      <c r="QZ51" s="814"/>
      <c r="RA51" s="814"/>
      <c r="RB51" s="814"/>
      <c r="RC51" s="814"/>
      <c r="RD51" s="814"/>
      <c r="RE51" s="814"/>
      <c r="RF51" s="814"/>
      <c r="RG51" s="814"/>
      <c r="RH51" s="814"/>
      <c r="RI51" s="814"/>
      <c r="RJ51" s="814"/>
      <c r="RK51" s="814"/>
      <c r="RL51" s="814"/>
      <c r="RM51" s="814"/>
      <c r="RN51" s="814"/>
      <c r="RO51" s="814"/>
      <c r="RP51" s="814"/>
      <c r="RQ51" s="814"/>
      <c r="RR51" s="814"/>
      <c r="RS51" s="814"/>
      <c r="RT51" s="814"/>
      <c r="RU51" s="814"/>
      <c r="RV51" s="814"/>
      <c r="RW51" s="814"/>
      <c r="RX51" s="814"/>
    </row>
    <row r="52" spans="1:492" s="169" customFormat="1">
      <c r="A52" s="814"/>
      <c r="B52" s="814"/>
      <c r="C52" s="814"/>
      <c r="D52" s="814"/>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04"/>
      <c r="AN52" s="804"/>
      <c r="AO52" s="804"/>
      <c r="AP52" s="804"/>
      <c r="AQ52" s="804"/>
      <c r="AR52" s="804"/>
      <c r="AS52" s="804"/>
      <c r="AT52" s="804"/>
      <c r="AU52" s="804"/>
      <c r="AV52" s="804"/>
      <c r="AW52" s="804"/>
      <c r="AX52" s="804"/>
      <c r="AY52" s="804"/>
      <c r="AZ52" s="804"/>
      <c r="BA52" s="804"/>
      <c r="BB52" s="804"/>
      <c r="BC52" s="804"/>
      <c r="BD52" s="804"/>
      <c r="BE52" s="804"/>
      <c r="BF52" s="804"/>
      <c r="BG52" s="804"/>
      <c r="BH52" s="804"/>
      <c r="BI52" s="804"/>
      <c r="BJ52" s="804"/>
      <c r="BK52" s="804"/>
      <c r="BL52" s="804"/>
      <c r="BM52" s="804"/>
      <c r="BN52" s="804"/>
      <c r="BO52" s="804"/>
      <c r="BP52" s="804"/>
      <c r="BQ52" s="804"/>
      <c r="BR52" s="814"/>
      <c r="BS52" s="814"/>
      <c r="BT52" s="814"/>
      <c r="BU52" s="814"/>
      <c r="BV52" s="814"/>
      <c r="BW52" s="814"/>
      <c r="BX52" s="814"/>
      <c r="BY52" s="814"/>
      <c r="BZ52" s="814"/>
      <c r="CA52" s="814"/>
      <c r="CB52" s="814"/>
      <c r="CC52" s="814"/>
      <c r="CD52" s="814"/>
      <c r="CE52" s="814"/>
      <c r="CF52" s="814"/>
      <c r="CG52" s="814"/>
      <c r="CH52" s="814"/>
      <c r="CI52" s="814"/>
      <c r="CJ52" s="814"/>
      <c r="CK52" s="814"/>
      <c r="CL52" s="814"/>
      <c r="CM52" s="814"/>
      <c r="CN52" s="814"/>
      <c r="CO52" s="814"/>
      <c r="CP52" s="814"/>
      <c r="CQ52" s="814"/>
      <c r="CR52" s="814"/>
      <c r="CS52" s="814"/>
      <c r="CT52" s="814"/>
      <c r="CU52" s="814"/>
      <c r="CV52" s="814"/>
      <c r="CW52" s="814"/>
      <c r="CX52" s="814"/>
      <c r="CY52" s="814"/>
      <c r="CZ52" s="814"/>
      <c r="DA52" s="814"/>
      <c r="DB52" s="814"/>
      <c r="DC52" s="814"/>
      <c r="DD52" s="814"/>
      <c r="DE52" s="814"/>
      <c r="DF52" s="814"/>
      <c r="DG52" s="814"/>
      <c r="DH52" s="814"/>
      <c r="DI52" s="814"/>
      <c r="DJ52" s="814"/>
      <c r="DK52" s="814"/>
      <c r="DL52" s="814"/>
      <c r="DM52" s="814"/>
      <c r="DN52" s="814"/>
      <c r="DO52" s="814"/>
      <c r="DP52" s="814"/>
      <c r="DQ52" s="814"/>
      <c r="DR52" s="814"/>
      <c r="DS52" s="814"/>
      <c r="DT52" s="814"/>
      <c r="DU52" s="814"/>
      <c r="DV52" s="814"/>
      <c r="DW52" s="814"/>
      <c r="DX52" s="814"/>
      <c r="DY52" s="814"/>
      <c r="DZ52" s="814"/>
      <c r="EA52" s="814"/>
      <c r="EB52" s="814"/>
      <c r="EC52" s="814"/>
      <c r="ED52" s="814"/>
      <c r="EE52" s="814"/>
      <c r="EF52" s="814"/>
      <c r="EG52" s="814"/>
      <c r="EH52" s="814"/>
      <c r="EI52" s="814"/>
      <c r="EJ52" s="814"/>
      <c r="EK52" s="814"/>
      <c r="EL52" s="814"/>
      <c r="EM52" s="814"/>
      <c r="EN52" s="814"/>
      <c r="EO52" s="814"/>
      <c r="EP52" s="814"/>
      <c r="EQ52" s="814"/>
      <c r="ER52" s="814"/>
      <c r="ES52" s="814"/>
      <c r="ET52" s="814"/>
      <c r="EU52" s="814"/>
      <c r="EV52" s="814"/>
      <c r="EW52" s="814"/>
      <c r="EX52" s="814"/>
      <c r="EY52" s="814"/>
      <c r="EZ52" s="814"/>
      <c r="FA52" s="814"/>
      <c r="FB52" s="814"/>
      <c r="FC52" s="814"/>
      <c r="FD52" s="814"/>
      <c r="FE52" s="814"/>
      <c r="FF52" s="814"/>
      <c r="FG52" s="814"/>
      <c r="FH52" s="814"/>
      <c r="FI52" s="814"/>
      <c r="FJ52" s="814"/>
      <c r="FK52" s="814"/>
      <c r="FL52" s="814"/>
      <c r="FM52" s="814"/>
      <c r="FN52" s="814"/>
      <c r="FO52" s="814"/>
      <c r="FP52" s="814"/>
      <c r="FQ52" s="814"/>
      <c r="FR52" s="814"/>
      <c r="FS52" s="814"/>
      <c r="FT52" s="814"/>
      <c r="FU52" s="814"/>
      <c r="FV52" s="814"/>
      <c r="FW52" s="814"/>
      <c r="FX52" s="814"/>
      <c r="FY52" s="814"/>
      <c r="FZ52" s="814"/>
      <c r="GA52" s="814"/>
      <c r="GB52" s="814"/>
      <c r="GC52" s="814"/>
      <c r="GD52" s="814"/>
      <c r="GE52" s="814"/>
      <c r="GF52" s="814"/>
      <c r="GG52" s="814"/>
      <c r="GH52" s="814"/>
      <c r="GI52" s="814"/>
      <c r="GJ52" s="814"/>
      <c r="GK52" s="814"/>
      <c r="GL52" s="814"/>
      <c r="GM52" s="814"/>
      <c r="GN52" s="814"/>
      <c r="GO52" s="814"/>
      <c r="GP52" s="814"/>
      <c r="GQ52" s="814"/>
      <c r="GR52" s="814"/>
      <c r="GS52" s="814"/>
      <c r="GT52" s="814"/>
      <c r="GU52" s="814"/>
      <c r="GV52" s="814"/>
      <c r="GW52" s="814"/>
      <c r="GX52" s="814"/>
      <c r="GY52" s="814"/>
      <c r="GZ52" s="814"/>
      <c r="HA52" s="814"/>
      <c r="HB52" s="814"/>
      <c r="HC52" s="814"/>
      <c r="HD52" s="814"/>
      <c r="HE52" s="814"/>
      <c r="HF52" s="814"/>
      <c r="HG52" s="814"/>
      <c r="HH52" s="814"/>
      <c r="HI52" s="814"/>
      <c r="HJ52" s="814"/>
      <c r="HK52" s="814"/>
      <c r="HL52" s="814"/>
      <c r="HM52" s="814"/>
      <c r="HN52" s="814"/>
      <c r="HO52" s="814"/>
      <c r="HP52" s="814"/>
      <c r="HQ52" s="814"/>
      <c r="HR52" s="814"/>
      <c r="HS52" s="814"/>
      <c r="HT52" s="814"/>
      <c r="HU52" s="814"/>
      <c r="HV52" s="814"/>
      <c r="HW52" s="814"/>
      <c r="HX52" s="814"/>
      <c r="HY52" s="814"/>
      <c r="HZ52" s="814"/>
      <c r="IA52" s="814"/>
      <c r="IB52" s="814"/>
      <c r="IC52" s="814"/>
      <c r="ID52" s="814"/>
      <c r="IE52" s="814"/>
      <c r="IF52" s="814"/>
      <c r="IG52" s="814"/>
      <c r="IH52" s="814"/>
      <c r="II52" s="814"/>
      <c r="IJ52" s="814"/>
      <c r="IK52" s="814"/>
      <c r="IL52" s="814"/>
      <c r="IM52" s="814"/>
      <c r="IN52" s="814"/>
      <c r="IO52" s="814"/>
      <c r="IP52" s="814"/>
      <c r="IQ52" s="814"/>
      <c r="IR52" s="814"/>
      <c r="IS52" s="814"/>
      <c r="IT52" s="814"/>
      <c r="IU52" s="814"/>
      <c r="IV52" s="814"/>
      <c r="IW52" s="814"/>
      <c r="IX52" s="814"/>
      <c r="IY52" s="814"/>
      <c r="IZ52" s="814"/>
      <c r="JA52" s="814"/>
      <c r="JB52" s="814"/>
      <c r="JC52" s="814"/>
      <c r="JD52" s="814"/>
      <c r="JE52" s="814"/>
      <c r="JF52" s="814"/>
      <c r="JG52" s="814"/>
      <c r="JH52" s="814"/>
      <c r="JI52" s="814"/>
      <c r="JJ52" s="814"/>
      <c r="JK52" s="814"/>
      <c r="JL52" s="814"/>
      <c r="JM52" s="814"/>
      <c r="JN52" s="814"/>
      <c r="JO52" s="814"/>
      <c r="JP52" s="814"/>
      <c r="JQ52" s="814"/>
      <c r="JR52" s="814"/>
      <c r="JS52" s="814"/>
      <c r="JT52" s="814"/>
      <c r="JU52" s="814"/>
      <c r="JV52" s="814"/>
      <c r="JW52" s="814"/>
      <c r="JX52" s="814"/>
      <c r="JY52" s="814"/>
      <c r="JZ52" s="814"/>
      <c r="KA52" s="814"/>
      <c r="KB52" s="814"/>
      <c r="KC52" s="814"/>
      <c r="KD52" s="814"/>
      <c r="KE52" s="814"/>
      <c r="KF52" s="814"/>
      <c r="KG52" s="814"/>
      <c r="KH52" s="814"/>
      <c r="KI52" s="814"/>
      <c r="KJ52" s="814"/>
      <c r="KK52" s="814"/>
      <c r="KL52" s="814"/>
      <c r="KM52" s="814"/>
      <c r="KN52" s="814"/>
      <c r="KO52" s="814"/>
      <c r="KP52" s="814"/>
      <c r="KQ52" s="814"/>
      <c r="KR52" s="814"/>
      <c r="KS52" s="814"/>
      <c r="KT52" s="814"/>
      <c r="KU52" s="814"/>
      <c r="KV52" s="814"/>
      <c r="KW52" s="814"/>
      <c r="KX52" s="814"/>
      <c r="KY52" s="814"/>
      <c r="KZ52" s="814"/>
      <c r="LA52" s="814"/>
      <c r="LB52" s="814"/>
      <c r="LC52" s="814"/>
      <c r="LD52" s="814"/>
      <c r="LE52" s="814"/>
      <c r="LF52" s="814"/>
      <c r="LG52" s="814"/>
      <c r="LH52" s="814"/>
      <c r="LI52" s="814"/>
      <c r="LJ52" s="814"/>
      <c r="LK52" s="814"/>
      <c r="LL52" s="814"/>
      <c r="LM52" s="814"/>
      <c r="LN52" s="814"/>
      <c r="LO52" s="814"/>
      <c r="LP52" s="814"/>
      <c r="LQ52" s="814"/>
      <c r="LR52" s="814"/>
      <c r="LS52" s="814"/>
      <c r="LT52" s="814"/>
      <c r="LU52" s="814"/>
      <c r="LV52" s="814"/>
      <c r="LW52" s="814"/>
      <c r="LX52" s="814"/>
      <c r="LY52" s="814"/>
      <c r="LZ52" s="814"/>
      <c r="MA52" s="814"/>
      <c r="MB52" s="814"/>
      <c r="MC52" s="814"/>
      <c r="MD52" s="814"/>
      <c r="ME52" s="814"/>
      <c r="MF52" s="814"/>
      <c r="MG52" s="814"/>
      <c r="MH52" s="814"/>
      <c r="MI52" s="814"/>
      <c r="MJ52" s="814"/>
      <c r="MK52" s="814"/>
      <c r="ML52" s="814"/>
      <c r="MM52" s="814"/>
      <c r="MN52" s="814"/>
      <c r="MO52" s="814"/>
      <c r="MP52" s="814"/>
      <c r="MQ52" s="814"/>
      <c r="MR52" s="814"/>
      <c r="MS52" s="814"/>
      <c r="MT52" s="814"/>
      <c r="MU52" s="814"/>
      <c r="MV52" s="814"/>
      <c r="MW52" s="814"/>
      <c r="MX52" s="814"/>
      <c r="MY52" s="814"/>
      <c r="MZ52" s="814"/>
      <c r="NA52" s="814"/>
      <c r="NB52" s="814"/>
      <c r="NC52" s="814"/>
      <c r="ND52" s="814"/>
      <c r="NE52" s="814"/>
      <c r="NF52" s="814"/>
      <c r="NG52" s="814"/>
      <c r="NH52" s="814"/>
      <c r="NI52" s="814"/>
      <c r="NJ52" s="814"/>
      <c r="NK52" s="814"/>
      <c r="NL52" s="814"/>
      <c r="NM52" s="814"/>
      <c r="NN52" s="814"/>
      <c r="NO52" s="814"/>
      <c r="NP52" s="814"/>
      <c r="NQ52" s="814"/>
      <c r="NR52" s="814"/>
      <c r="NS52" s="814"/>
      <c r="NT52" s="814"/>
      <c r="NU52" s="814"/>
      <c r="NV52" s="814"/>
      <c r="NW52" s="814"/>
      <c r="NX52" s="814"/>
      <c r="NY52" s="814"/>
      <c r="NZ52" s="814"/>
      <c r="OA52" s="814"/>
      <c r="OB52" s="814"/>
      <c r="OC52" s="814"/>
      <c r="OD52" s="814"/>
      <c r="OE52" s="814"/>
      <c r="OF52" s="814"/>
      <c r="OG52" s="814"/>
      <c r="OH52" s="814"/>
      <c r="OI52" s="814"/>
      <c r="OJ52" s="814"/>
      <c r="OK52" s="814"/>
      <c r="OL52" s="814"/>
      <c r="OM52" s="814"/>
      <c r="ON52" s="814"/>
      <c r="OO52" s="814"/>
      <c r="OP52" s="814"/>
      <c r="OQ52" s="814"/>
      <c r="OR52" s="814"/>
      <c r="OS52" s="814"/>
      <c r="OT52" s="814"/>
      <c r="OU52" s="814"/>
      <c r="OV52" s="814"/>
      <c r="OW52" s="814"/>
      <c r="OX52" s="814"/>
      <c r="OY52" s="814"/>
      <c r="OZ52" s="814"/>
      <c r="PA52" s="814"/>
      <c r="PB52" s="814"/>
      <c r="PC52" s="814"/>
      <c r="PD52" s="814"/>
      <c r="PE52" s="814"/>
      <c r="PF52" s="814"/>
      <c r="PG52" s="814"/>
      <c r="PH52" s="814"/>
      <c r="PI52" s="814"/>
      <c r="PJ52" s="814"/>
      <c r="PK52" s="814"/>
      <c r="PL52" s="814"/>
      <c r="PM52" s="814"/>
      <c r="PN52" s="814"/>
      <c r="PO52" s="814"/>
      <c r="PP52" s="814"/>
      <c r="PQ52" s="814"/>
      <c r="PR52" s="814"/>
      <c r="PS52" s="814"/>
      <c r="PT52" s="814"/>
      <c r="PU52" s="814"/>
      <c r="PV52" s="814"/>
      <c r="PW52" s="814"/>
      <c r="PX52" s="814"/>
      <c r="PY52" s="814"/>
      <c r="PZ52" s="814"/>
      <c r="QA52" s="814"/>
      <c r="QB52" s="814"/>
      <c r="QC52" s="814"/>
      <c r="QD52" s="814"/>
      <c r="QE52" s="814"/>
      <c r="QF52" s="814"/>
      <c r="QG52" s="814"/>
      <c r="QH52" s="814"/>
      <c r="QI52" s="814"/>
      <c r="QJ52" s="814"/>
      <c r="QK52" s="814"/>
      <c r="QL52" s="814"/>
      <c r="QM52" s="814"/>
      <c r="QN52" s="814"/>
      <c r="QO52" s="814"/>
      <c r="QP52" s="814"/>
      <c r="QQ52" s="814"/>
      <c r="QR52" s="814"/>
      <c r="QS52" s="814"/>
      <c r="QT52" s="814"/>
      <c r="QU52" s="814"/>
      <c r="QV52" s="814"/>
      <c r="QW52" s="814"/>
      <c r="QX52" s="814"/>
      <c r="QY52" s="814"/>
      <c r="QZ52" s="814"/>
      <c r="RA52" s="814"/>
      <c r="RB52" s="814"/>
      <c r="RC52" s="814"/>
      <c r="RD52" s="814"/>
      <c r="RE52" s="814"/>
      <c r="RF52" s="814"/>
      <c r="RG52" s="814"/>
      <c r="RH52" s="814"/>
      <c r="RI52" s="814"/>
      <c r="RJ52" s="814"/>
      <c r="RK52" s="814"/>
      <c r="RL52" s="814"/>
      <c r="RM52" s="814"/>
      <c r="RN52" s="814"/>
      <c r="RO52" s="814"/>
      <c r="RP52" s="814"/>
      <c r="RQ52" s="814"/>
      <c r="RR52" s="814"/>
      <c r="RS52" s="814"/>
      <c r="RT52" s="814"/>
      <c r="RU52" s="814"/>
      <c r="RV52" s="814"/>
      <c r="RW52" s="814"/>
      <c r="RX52" s="814"/>
    </row>
    <row r="53" spans="1:492" s="169" customFormat="1">
      <c r="A53" s="814"/>
      <c r="B53" s="814"/>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c r="AL53" s="814"/>
      <c r="AM53" s="804"/>
      <c r="AN53" s="804"/>
      <c r="AO53" s="804"/>
      <c r="AP53" s="804"/>
      <c r="AQ53" s="804"/>
      <c r="AR53" s="804"/>
      <c r="AS53" s="804"/>
      <c r="AT53" s="804"/>
      <c r="AU53" s="804"/>
      <c r="AV53" s="804"/>
      <c r="AW53" s="804"/>
      <c r="AX53" s="804"/>
      <c r="AY53" s="804"/>
      <c r="AZ53" s="804"/>
      <c r="BA53" s="804"/>
      <c r="BB53" s="804"/>
      <c r="BC53" s="804"/>
      <c r="BD53" s="804"/>
      <c r="BE53" s="804"/>
      <c r="BF53" s="804"/>
      <c r="BG53" s="804"/>
      <c r="BH53" s="804"/>
      <c r="BI53" s="804"/>
      <c r="BJ53" s="804"/>
      <c r="BK53" s="804"/>
      <c r="BL53" s="804"/>
      <c r="BM53" s="804"/>
      <c r="BN53" s="804"/>
      <c r="BO53" s="804"/>
      <c r="BP53" s="804"/>
      <c r="BQ53" s="804"/>
      <c r="BR53" s="814"/>
      <c r="BS53" s="814"/>
      <c r="BT53" s="814"/>
      <c r="BU53" s="814"/>
      <c r="BV53" s="814"/>
      <c r="BW53" s="814"/>
      <c r="BX53" s="814"/>
      <c r="BY53" s="814"/>
      <c r="BZ53" s="814"/>
      <c r="CA53" s="814"/>
      <c r="CB53" s="814"/>
      <c r="CC53" s="814"/>
      <c r="CD53" s="814"/>
      <c r="CE53" s="814"/>
      <c r="CF53" s="814"/>
      <c r="CG53" s="814"/>
      <c r="CH53" s="814"/>
      <c r="CI53" s="814"/>
      <c r="CJ53" s="814"/>
      <c r="CK53" s="814"/>
      <c r="CL53" s="814"/>
      <c r="CM53" s="814"/>
      <c r="CN53" s="814"/>
      <c r="CO53" s="814"/>
      <c r="CP53" s="814"/>
      <c r="CQ53" s="814"/>
      <c r="CR53" s="814"/>
      <c r="CS53" s="814"/>
      <c r="CT53" s="814"/>
      <c r="CU53" s="814"/>
      <c r="CV53" s="814"/>
      <c r="CW53" s="814"/>
      <c r="CX53" s="814"/>
      <c r="CY53" s="814"/>
      <c r="CZ53" s="814"/>
      <c r="DA53" s="814"/>
      <c r="DB53" s="814"/>
      <c r="DC53" s="814"/>
      <c r="DD53" s="814"/>
      <c r="DE53" s="814"/>
      <c r="DF53" s="814"/>
      <c r="DG53" s="814"/>
      <c r="DH53" s="814"/>
      <c r="DI53" s="814"/>
      <c r="DJ53" s="814"/>
      <c r="DK53" s="814"/>
      <c r="DL53" s="814"/>
      <c r="DM53" s="814"/>
      <c r="DN53" s="814"/>
      <c r="DO53" s="814"/>
      <c r="DP53" s="814"/>
      <c r="DQ53" s="814"/>
      <c r="DR53" s="814"/>
      <c r="DS53" s="814"/>
      <c r="DT53" s="814"/>
      <c r="DU53" s="814"/>
      <c r="DV53" s="814"/>
      <c r="DW53" s="814"/>
      <c r="DX53" s="814"/>
      <c r="DY53" s="814"/>
      <c r="DZ53" s="814"/>
      <c r="EA53" s="814"/>
      <c r="EB53" s="814"/>
      <c r="EC53" s="814"/>
      <c r="ED53" s="814"/>
      <c r="EE53" s="814"/>
      <c r="EF53" s="814"/>
      <c r="EG53" s="814"/>
      <c r="EH53" s="814"/>
      <c r="EI53" s="814"/>
      <c r="EJ53" s="814"/>
      <c r="EK53" s="814"/>
      <c r="EL53" s="814"/>
      <c r="EM53" s="814"/>
      <c r="EN53" s="814"/>
      <c r="EO53" s="814"/>
      <c r="EP53" s="814"/>
      <c r="EQ53" s="814"/>
      <c r="ER53" s="814"/>
      <c r="ES53" s="814"/>
      <c r="ET53" s="814"/>
      <c r="EU53" s="814"/>
      <c r="EV53" s="814"/>
      <c r="EW53" s="814"/>
      <c r="EX53" s="814"/>
      <c r="EY53" s="814"/>
      <c r="EZ53" s="814"/>
      <c r="FA53" s="814"/>
      <c r="FB53" s="814"/>
      <c r="FC53" s="814"/>
      <c r="FD53" s="814"/>
      <c r="FE53" s="814"/>
      <c r="FF53" s="814"/>
      <c r="FG53" s="814"/>
      <c r="FH53" s="814"/>
      <c r="FI53" s="814"/>
      <c r="FJ53" s="814"/>
      <c r="FK53" s="814"/>
      <c r="FL53" s="814"/>
      <c r="FM53" s="814"/>
      <c r="FN53" s="814"/>
      <c r="FO53" s="814"/>
      <c r="FP53" s="814"/>
      <c r="FQ53" s="814"/>
      <c r="FR53" s="814"/>
      <c r="FS53" s="814"/>
      <c r="FT53" s="814"/>
      <c r="FU53" s="814"/>
      <c r="FV53" s="814"/>
      <c r="FW53" s="814"/>
      <c r="FX53" s="814"/>
      <c r="FY53" s="814"/>
      <c r="FZ53" s="814"/>
      <c r="GA53" s="814"/>
      <c r="GB53" s="814"/>
      <c r="GC53" s="814"/>
      <c r="GD53" s="814"/>
      <c r="GE53" s="814"/>
      <c r="GF53" s="814"/>
      <c r="GG53" s="814"/>
      <c r="GH53" s="814"/>
      <c r="GI53" s="814"/>
      <c r="GJ53" s="814"/>
      <c r="GK53" s="814"/>
      <c r="GL53" s="814"/>
      <c r="GM53" s="814"/>
      <c r="GN53" s="814"/>
      <c r="GO53" s="814"/>
      <c r="GP53" s="814"/>
      <c r="GQ53" s="814"/>
      <c r="GR53" s="814"/>
      <c r="GS53" s="814"/>
      <c r="GT53" s="814"/>
      <c r="GU53" s="814"/>
      <c r="GV53" s="814"/>
      <c r="GW53" s="814"/>
      <c r="GX53" s="814"/>
      <c r="GY53" s="814"/>
      <c r="GZ53" s="814"/>
      <c r="HA53" s="814"/>
      <c r="HB53" s="814"/>
      <c r="HC53" s="814"/>
      <c r="HD53" s="814"/>
      <c r="HE53" s="814"/>
      <c r="HF53" s="814"/>
      <c r="HG53" s="814"/>
      <c r="HH53" s="814"/>
      <c r="HI53" s="814"/>
      <c r="HJ53" s="814"/>
      <c r="HK53" s="814"/>
      <c r="HL53" s="814"/>
      <c r="HM53" s="814"/>
      <c r="HN53" s="814"/>
      <c r="HO53" s="814"/>
      <c r="HP53" s="814"/>
      <c r="HQ53" s="814"/>
      <c r="HR53" s="814"/>
      <c r="HS53" s="814"/>
      <c r="HT53" s="814"/>
      <c r="HU53" s="814"/>
      <c r="HV53" s="814"/>
      <c r="HW53" s="814"/>
      <c r="HX53" s="814"/>
      <c r="HY53" s="814"/>
      <c r="HZ53" s="814"/>
      <c r="IA53" s="814"/>
      <c r="IB53" s="814"/>
      <c r="IC53" s="814"/>
      <c r="ID53" s="814"/>
      <c r="IE53" s="814"/>
      <c r="IF53" s="814"/>
      <c r="IG53" s="814"/>
      <c r="IH53" s="814"/>
      <c r="II53" s="814"/>
      <c r="IJ53" s="814"/>
      <c r="IK53" s="814"/>
      <c r="IL53" s="814"/>
      <c r="IM53" s="814"/>
      <c r="IN53" s="814"/>
      <c r="IO53" s="814"/>
      <c r="IP53" s="814"/>
      <c r="IQ53" s="814"/>
      <c r="IR53" s="814"/>
      <c r="IS53" s="814"/>
      <c r="IT53" s="814"/>
      <c r="IU53" s="814"/>
      <c r="IV53" s="814"/>
      <c r="IW53" s="814"/>
      <c r="IX53" s="814"/>
      <c r="IY53" s="814"/>
      <c r="IZ53" s="814"/>
      <c r="JA53" s="814"/>
      <c r="JB53" s="814"/>
      <c r="JC53" s="814"/>
      <c r="JD53" s="814"/>
      <c r="JE53" s="814"/>
      <c r="JF53" s="814"/>
      <c r="JG53" s="814"/>
      <c r="JH53" s="814"/>
      <c r="JI53" s="814"/>
      <c r="JJ53" s="814"/>
      <c r="JK53" s="814"/>
      <c r="JL53" s="814"/>
      <c r="JM53" s="814"/>
      <c r="JN53" s="814"/>
      <c r="JO53" s="814"/>
      <c r="JP53" s="814"/>
      <c r="JQ53" s="814"/>
      <c r="JR53" s="814"/>
      <c r="JS53" s="814"/>
      <c r="JT53" s="814"/>
      <c r="JU53" s="814"/>
      <c r="JV53" s="814"/>
      <c r="JW53" s="814"/>
      <c r="JX53" s="814"/>
      <c r="JY53" s="814"/>
      <c r="JZ53" s="814"/>
      <c r="KA53" s="814"/>
      <c r="KB53" s="814"/>
      <c r="KC53" s="814"/>
      <c r="KD53" s="814"/>
      <c r="KE53" s="814"/>
      <c r="KF53" s="814"/>
      <c r="KG53" s="814"/>
      <c r="KH53" s="814"/>
      <c r="KI53" s="814"/>
      <c r="KJ53" s="814"/>
      <c r="KK53" s="814"/>
      <c r="KL53" s="814"/>
      <c r="KM53" s="814"/>
      <c r="KN53" s="814"/>
      <c r="KO53" s="814"/>
      <c r="KP53" s="814"/>
      <c r="KQ53" s="814"/>
      <c r="KR53" s="814"/>
      <c r="KS53" s="814"/>
      <c r="KT53" s="814"/>
      <c r="KU53" s="814"/>
      <c r="KV53" s="814"/>
      <c r="KW53" s="814"/>
      <c r="KX53" s="814"/>
      <c r="KY53" s="814"/>
      <c r="KZ53" s="814"/>
      <c r="LA53" s="814"/>
      <c r="LB53" s="814"/>
      <c r="LC53" s="814"/>
      <c r="LD53" s="814"/>
      <c r="LE53" s="814"/>
      <c r="LF53" s="814"/>
      <c r="LG53" s="814"/>
      <c r="LH53" s="814"/>
      <c r="LI53" s="814"/>
      <c r="LJ53" s="814"/>
      <c r="LK53" s="814"/>
      <c r="LL53" s="814"/>
      <c r="LM53" s="814"/>
      <c r="LN53" s="814"/>
      <c r="LO53" s="814"/>
      <c r="LP53" s="814"/>
      <c r="LQ53" s="814"/>
      <c r="LR53" s="814"/>
      <c r="LS53" s="814"/>
      <c r="LT53" s="814"/>
      <c r="LU53" s="814"/>
      <c r="LV53" s="814"/>
      <c r="LW53" s="814"/>
      <c r="LX53" s="814"/>
      <c r="LY53" s="814"/>
      <c r="LZ53" s="814"/>
      <c r="MA53" s="814"/>
      <c r="MB53" s="814"/>
      <c r="MC53" s="814"/>
      <c r="MD53" s="814"/>
      <c r="ME53" s="814"/>
      <c r="MF53" s="814"/>
      <c r="MG53" s="814"/>
      <c r="MH53" s="814"/>
      <c r="MI53" s="814"/>
      <c r="MJ53" s="814"/>
      <c r="MK53" s="814"/>
      <c r="ML53" s="814"/>
      <c r="MM53" s="814"/>
      <c r="MN53" s="814"/>
      <c r="MO53" s="814"/>
      <c r="MP53" s="814"/>
      <c r="MQ53" s="814"/>
      <c r="MR53" s="814"/>
      <c r="MS53" s="814"/>
      <c r="MT53" s="814"/>
      <c r="MU53" s="814"/>
      <c r="MV53" s="814"/>
      <c r="MW53" s="814"/>
      <c r="MX53" s="814"/>
      <c r="MY53" s="814"/>
      <c r="MZ53" s="814"/>
      <c r="NA53" s="814"/>
      <c r="NB53" s="814"/>
      <c r="NC53" s="814"/>
      <c r="ND53" s="814"/>
      <c r="NE53" s="814"/>
      <c r="NF53" s="814"/>
      <c r="NG53" s="814"/>
      <c r="NH53" s="814"/>
      <c r="NI53" s="814"/>
      <c r="NJ53" s="814"/>
      <c r="NK53" s="814"/>
      <c r="NL53" s="814"/>
      <c r="NM53" s="814"/>
      <c r="NN53" s="814"/>
      <c r="NO53" s="814"/>
      <c r="NP53" s="814"/>
      <c r="NQ53" s="814"/>
      <c r="NR53" s="814"/>
      <c r="NS53" s="814"/>
      <c r="NT53" s="814"/>
      <c r="NU53" s="814"/>
      <c r="NV53" s="814"/>
      <c r="NW53" s="814"/>
      <c r="NX53" s="814"/>
      <c r="NY53" s="814"/>
      <c r="NZ53" s="814"/>
      <c r="OA53" s="814"/>
      <c r="OB53" s="814"/>
      <c r="OC53" s="814"/>
      <c r="OD53" s="814"/>
      <c r="OE53" s="814"/>
      <c r="OF53" s="814"/>
      <c r="OG53" s="814"/>
      <c r="OH53" s="814"/>
      <c r="OI53" s="814"/>
      <c r="OJ53" s="814"/>
      <c r="OK53" s="814"/>
      <c r="OL53" s="814"/>
      <c r="OM53" s="814"/>
      <c r="ON53" s="814"/>
      <c r="OO53" s="814"/>
      <c r="OP53" s="814"/>
      <c r="OQ53" s="814"/>
      <c r="OR53" s="814"/>
      <c r="OS53" s="814"/>
      <c r="OT53" s="814"/>
      <c r="OU53" s="814"/>
      <c r="OV53" s="814"/>
      <c r="OW53" s="814"/>
      <c r="OX53" s="814"/>
      <c r="OY53" s="814"/>
      <c r="OZ53" s="814"/>
      <c r="PA53" s="814"/>
      <c r="PB53" s="814"/>
      <c r="PC53" s="814"/>
      <c r="PD53" s="814"/>
      <c r="PE53" s="814"/>
      <c r="PF53" s="814"/>
      <c r="PG53" s="814"/>
      <c r="PH53" s="814"/>
      <c r="PI53" s="814"/>
      <c r="PJ53" s="814"/>
      <c r="PK53" s="814"/>
      <c r="PL53" s="814"/>
      <c r="PM53" s="814"/>
      <c r="PN53" s="814"/>
      <c r="PO53" s="814"/>
      <c r="PP53" s="814"/>
      <c r="PQ53" s="814"/>
      <c r="PR53" s="814"/>
      <c r="PS53" s="814"/>
      <c r="PT53" s="814"/>
      <c r="PU53" s="814"/>
      <c r="PV53" s="814"/>
      <c r="PW53" s="814"/>
      <c r="PX53" s="814"/>
      <c r="PY53" s="814"/>
      <c r="PZ53" s="814"/>
      <c r="QA53" s="814"/>
      <c r="QB53" s="814"/>
      <c r="QC53" s="814"/>
      <c r="QD53" s="814"/>
      <c r="QE53" s="814"/>
      <c r="QF53" s="814"/>
      <c r="QG53" s="814"/>
      <c r="QH53" s="814"/>
      <c r="QI53" s="814"/>
      <c r="QJ53" s="814"/>
      <c r="QK53" s="814"/>
      <c r="QL53" s="814"/>
      <c r="QM53" s="814"/>
      <c r="QN53" s="814"/>
      <c r="QO53" s="814"/>
      <c r="QP53" s="814"/>
      <c r="QQ53" s="814"/>
      <c r="QR53" s="814"/>
      <c r="QS53" s="814"/>
      <c r="QT53" s="814"/>
      <c r="QU53" s="814"/>
      <c r="QV53" s="814"/>
      <c r="QW53" s="814"/>
      <c r="QX53" s="814"/>
      <c r="QY53" s="814"/>
      <c r="QZ53" s="814"/>
      <c r="RA53" s="814"/>
      <c r="RB53" s="814"/>
      <c r="RC53" s="814"/>
      <c r="RD53" s="814"/>
      <c r="RE53" s="814"/>
      <c r="RF53" s="814"/>
      <c r="RG53" s="814"/>
      <c r="RH53" s="814"/>
      <c r="RI53" s="814"/>
      <c r="RJ53" s="814"/>
      <c r="RK53" s="814"/>
      <c r="RL53" s="814"/>
      <c r="RM53" s="814"/>
      <c r="RN53" s="814"/>
      <c r="RO53" s="814"/>
      <c r="RP53" s="814"/>
      <c r="RQ53" s="814"/>
      <c r="RR53" s="814"/>
      <c r="RS53" s="814"/>
      <c r="RT53" s="814"/>
      <c r="RU53" s="814"/>
      <c r="RV53" s="814"/>
      <c r="RW53" s="814"/>
      <c r="RX53" s="814"/>
    </row>
    <row r="54" spans="1:492" s="169" customFormat="1">
      <c r="A54" s="814"/>
      <c r="B54" s="814"/>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c r="AL54" s="814"/>
      <c r="AM54" s="804"/>
      <c r="AN54" s="804"/>
      <c r="AO54" s="804"/>
      <c r="AP54" s="804"/>
      <c r="AQ54" s="804"/>
      <c r="AR54" s="804"/>
      <c r="AS54" s="804"/>
      <c r="AT54" s="804"/>
      <c r="AU54" s="804"/>
      <c r="AV54" s="804"/>
      <c r="AW54" s="804"/>
      <c r="AX54" s="804"/>
      <c r="AY54" s="804"/>
      <c r="AZ54" s="804"/>
      <c r="BA54" s="804"/>
      <c r="BB54" s="804"/>
      <c r="BC54" s="804"/>
      <c r="BD54" s="804"/>
      <c r="BE54" s="804"/>
      <c r="BF54" s="804"/>
      <c r="BG54" s="804"/>
      <c r="BH54" s="804"/>
      <c r="BI54" s="804"/>
      <c r="BJ54" s="804"/>
      <c r="BK54" s="804"/>
      <c r="BL54" s="804"/>
      <c r="BM54" s="804"/>
      <c r="BN54" s="804"/>
      <c r="BO54" s="804"/>
      <c r="BP54" s="804"/>
      <c r="BQ54" s="804"/>
      <c r="BR54" s="814"/>
      <c r="BS54" s="814"/>
      <c r="BT54" s="814"/>
      <c r="BU54" s="814"/>
      <c r="BV54" s="814"/>
      <c r="BW54" s="814"/>
      <c r="BX54" s="814"/>
      <c r="BY54" s="814"/>
      <c r="BZ54" s="814"/>
      <c r="CA54" s="814"/>
      <c r="CB54" s="814"/>
      <c r="CC54" s="814"/>
      <c r="CD54" s="814"/>
      <c r="CE54" s="814"/>
      <c r="CF54" s="814"/>
      <c r="CG54" s="814"/>
      <c r="CH54" s="814"/>
      <c r="CI54" s="814"/>
      <c r="CJ54" s="814"/>
      <c r="CK54" s="814"/>
      <c r="CL54" s="814"/>
      <c r="CM54" s="814"/>
      <c r="CN54" s="814"/>
      <c r="CO54" s="814"/>
      <c r="CP54" s="814"/>
      <c r="CQ54" s="814"/>
      <c r="CR54" s="814"/>
      <c r="CS54" s="814"/>
      <c r="CT54" s="814"/>
      <c r="CU54" s="814"/>
      <c r="CV54" s="814"/>
      <c r="CW54" s="814"/>
      <c r="CX54" s="814"/>
      <c r="CY54" s="814"/>
      <c r="CZ54" s="814"/>
      <c r="DA54" s="814"/>
      <c r="DB54" s="814"/>
      <c r="DC54" s="814"/>
      <c r="DD54" s="814"/>
      <c r="DE54" s="814"/>
      <c r="DF54" s="814"/>
      <c r="DG54" s="814"/>
      <c r="DH54" s="814"/>
      <c r="DI54" s="814"/>
      <c r="DJ54" s="814"/>
      <c r="DK54" s="814"/>
      <c r="DL54" s="814"/>
      <c r="DM54" s="814"/>
      <c r="DN54" s="814"/>
      <c r="DO54" s="814"/>
      <c r="DP54" s="814"/>
      <c r="DQ54" s="814"/>
      <c r="DR54" s="814"/>
      <c r="DS54" s="814"/>
      <c r="DT54" s="814"/>
      <c r="DU54" s="814"/>
      <c r="DV54" s="814"/>
      <c r="DW54" s="814"/>
      <c r="DX54" s="814"/>
      <c r="DY54" s="814"/>
      <c r="DZ54" s="814"/>
      <c r="EA54" s="814"/>
      <c r="EB54" s="814"/>
      <c r="EC54" s="814"/>
      <c r="ED54" s="814"/>
      <c r="EE54" s="814"/>
      <c r="EF54" s="814"/>
      <c r="EG54" s="814"/>
      <c r="EH54" s="814"/>
      <c r="EI54" s="814"/>
      <c r="EJ54" s="814"/>
      <c r="EK54" s="814"/>
      <c r="EL54" s="814"/>
      <c r="EM54" s="814"/>
      <c r="EN54" s="814"/>
      <c r="EO54" s="814"/>
      <c r="EP54" s="814"/>
      <c r="EQ54" s="814"/>
      <c r="ER54" s="814"/>
      <c r="ES54" s="814"/>
      <c r="ET54" s="814"/>
      <c r="EU54" s="814"/>
      <c r="EV54" s="814"/>
      <c r="EW54" s="814"/>
      <c r="EX54" s="814"/>
      <c r="EY54" s="814"/>
      <c r="EZ54" s="814"/>
      <c r="FA54" s="814"/>
      <c r="FB54" s="814"/>
      <c r="FC54" s="814"/>
      <c r="FD54" s="814"/>
      <c r="FE54" s="814"/>
      <c r="FF54" s="814"/>
      <c r="FG54" s="814"/>
      <c r="FH54" s="814"/>
      <c r="FI54" s="814"/>
      <c r="FJ54" s="814"/>
      <c r="FK54" s="814"/>
      <c r="FL54" s="814"/>
      <c r="FM54" s="814"/>
      <c r="FN54" s="814"/>
      <c r="FO54" s="814"/>
      <c r="FP54" s="814"/>
      <c r="FQ54" s="814"/>
      <c r="FR54" s="814"/>
      <c r="FS54" s="814"/>
      <c r="FT54" s="814"/>
      <c r="FU54" s="814"/>
      <c r="FV54" s="814"/>
      <c r="FW54" s="814"/>
      <c r="FX54" s="814"/>
      <c r="FY54" s="814"/>
      <c r="FZ54" s="814"/>
      <c r="GA54" s="814"/>
      <c r="GB54" s="814"/>
      <c r="GC54" s="814"/>
      <c r="GD54" s="814"/>
      <c r="GE54" s="814"/>
      <c r="GF54" s="814"/>
      <c r="GG54" s="814"/>
      <c r="GH54" s="814"/>
      <c r="GI54" s="814"/>
      <c r="GJ54" s="814"/>
      <c r="GK54" s="814"/>
      <c r="GL54" s="814"/>
      <c r="GM54" s="814"/>
      <c r="GN54" s="814"/>
      <c r="GO54" s="814"/>
      <c r="GP54" s="814"/>
      <c r="GQ54" s="814"/>
      <c r="GR54" s="814"/>
      <c r="GS54" s="814"/>
      <c r="GT54" s="814"/>
      <c r="GU54" s="814"/>
      <c r="GV54" s="814"/>
      <c r="GW54" s="814"/>
      <c r="GX54" s="814"/>
      <c r="GY54" s="814"/>
      <c r="GZ54" s="814"/>
      <c r="HA54" s="814"/>
      <c r="HB54" s="814"/>
      <c r="HC54" s="814"/>
      <c r="HD54" s="814"/>
      <c r="HE54" s="814"/>
      <c r="HF54" s="814"/>
      <c r="HG54" s="814"/>
      <c r="HH54" s="814"/>
      <c r="HI54" s="814"/>
      <c r="HJ54" s="814"/>
      <c r="HK54" s="814"/>
      <c r="HL54" s="814"/>
      <c r="HM54" s="814"/>
      <c r="HN54" s="814"/>
      <c r="HO54" s="814"/>
      <c r="HP54" s="814"/>
      <c r="HQ54" s="814"/>
      <c r="HR54" s="814"/>
      <c r="HS54" s="814"/>
      <c r="HT54" s="814"/>
      <c r="HU54" s="814"/>
      <c r="HV54" s="814"/>
      <c r="HW54" s="814"/>
      <c r="HX54" s="814"/>
      <c r="HY54" s="814"/>
      <c r="HZ54" s="814"/>
      <c r="IA54" s="814"/>
      <c r="IB54" s="814"/>
      <c r="IC54" s="814"/>
      <c r="ID54" s="814"/>
      <c r="IE54" s="814"/>
      <c r="IF54" s="814"/>
      <c r="IG54" s="814"/>
      <c r="IH54" s="814"/>
      <c r="II54" s="814"/>
      <c r="IJ54" s="814"/>
      <c r="IK54" s="814"/>
      <c r="IL54" s="814"/>
      <c r="IM54" s="814"/>
      <c r="IN54" s="814"/>
      <c r="IO54" s="814"/>
      <c r="IP54" s="814"/>
      <c r="IQ54" s="814"/>
      <c r="IR54" s="814"/>
      <c r="IS54" s="814"/>
      <c r="IT54" s="814"/>
      <c r="IU54" s="814"/>
      <c r="IV54" s="814"/>
      <c r="IW54" s="814"/>
      <c r="IX54" s="814"/>
      <c r="IY54" s="814"/>
      <c r="IZ54" s="814"/>
      <c r="JA54" s="814"/>
      <c r="JB54" s="814"/>
      <c r="JC54" s="814"/>
      <c r="JD54" s="814"/>
      <c r="JE54" s="814"/>
      <c r="JF54" s="814"/>
      <c r="JG54" s="814"/>
      <c r="JH54" s="814"/>
      <c r="JI54" s="814"/>
      <c r="JJ54" s="814"/>
      <c r="JK54" s="814"/>
      <c r="JL54" s="814"/>
      <c r="JM54" s="814"/>
      <c r="JN54" s="814"/>
      <c r="JO54" s="814"/>
      <c r="JP54" s="814"/>
      <c r="JQ54" s="814"/>
      <c r="JR54" s="814"/>
      <c r="JS54" s="814"/>
      <c r="JT54" s="814"/>
      <c r="JU54" s="814"/>
      <c r="JV54" s="814"/>
      <c r="JW54" s="814"/>
      <c r="JX54" s="814"/>
      <c r="JY54" s="814"/>
      <c r="JZ54" s="814"/>
      <c r="KA54" s="814"/>
      <c r="KB54" s="814"/>
      <c r="KC54" s="814"/>
      <c r="KD54" s="814"/>
      <c r="KE54" s="814"/>
      <c r="KF54" s="814"/>
      <c r="KG54" s="814"/>
      <c r="KH54" s="814"/>
      <c r="KI54" s="814"/>
      <c r="KJ54" s="814"/>
      <c r="KK54" s="814"/>
      <c r="KL54" s="814"/>
      <c r="KM54" s="814"/>
      <c r="KN54" s="814"/>
      <c r="KO54" s="814"/>
      <c r="KP54" s="814"/>
      <c r="KQ54" s="814"/>
      <c r="KR54" s="814"/>
      <c r="KS54" s="814"/>
      <c r="KT54" s="814"/>
      <c r="KU54" s="814"/>
      <c r="KV54" s="814"/>
      <c r="KW54" s="814"/>
      <c r="KX54" s="814"/>
      <c r="KY54" s="814"/>
      <c r="KZ54" s="814"/>
      <c r="LA54" s="814"/>
      <c r="LB54" s="814"/>
      <c r="LC54" s="814"/>
      <c r="LD54" s="814"/>
      <c r="LE54" s="814"/>
      <c r="LF54" s="814"/>
      <c r="LG54" s="814"/>
      <c r="LH54" s="814"/>
      <c r="LI54" s="814"/>
      <c r="LJ54" s="814"/>
      <c r="LK54" s="814"/>
      <c r="LL54" s="814"/>
      <c r="LM54" s="814"/>
      <c r="LN54" s="814"/>
      <c r="LO54" s="814"/>
      <c r="LP54" s="814"/>
      <c r="LQ54" s="814"/>
      <c r="LR54" s="814"/>
      <c r="LS54" s="814"/>
      <c r="LT54" s="814"/>
      <c r="LU54" s="814"/>
      <c r="LV54" s="814"/>
      <c r="LW54" s="814"/>
      <c r="LX54" s="814"/>
      <c r="LY54" s="814"/>
      <c r="LZ54" s="814"/>
      <c r="MA54" s="814"/>
      <c r="MB54" s="814"/>
      <c r="MC54" s="814"/>
      <c r="MD54" s="814"/>
      <c r="ME54" s="814"/>
      <c r="MF54" s="814"/>
      <c r="MG54" s="814"/>
      <c r="MH54" s="814"/>
      <c r="MI54" s="814"/>
      <c r="MJ54" s="814"/>
      <c r="MK54" s="814"/>
      <c r="ML54" s="814"/>
      <c r="MM54" s="814"/>
      <c r="MN54" s="814"/>
      <c r="MO54" s="814"/>
      <c r="MP54" s="814"/>
      <c r="MQ54" s="814"/>
      <c r="MR54" s="814"/>
      <c r="MS54" s="814"/>
      <c r="MT54" s="814"/>
      <c r="MU54" s="814"/>
      <c r="MV54" s="814"/>
      <c r="MW54" s="814"/>
      <c r="MX54" s="814"/>
      <c r="MY54" s="814"/>
      <c r="MZ54" s="814"/>
      <c r="NA54" s="814"/>
      <c r="NB54" s="814"/>
      <c r="NC54" s="814"/>
      <c r="ND54" s="814"/>
      <c r="NE54" s="814"/>
      <c r="NF54" s="814"/>
      <c r="NG54" s="814"/>
      <c r="NH54" s="814"/>
      <c r="NI54" s="814"/>
      <c r="NJ54" s="814"/>
      <c r="NK54" s="814"/>
      <c r="NL54" s="814"/>
      <c r="NM54" s="814"/>
      <c r="NN54" s="814"/>
      <c r="NO54" s="814"/>
      <c r="NP54" s="814"/>
      <c r="NQ54" s="814"/>
      <c r="NR54" s="814"/>
      <c r="NS54" s="814"/>
      <c r="NT54" s="814"/>
      <c r="NU54" s="814"/>
      <c r="NV54" s="814"/>
      <c r="NW54" s="814"/>
      <c r="NX54" s="814"/>
      <c r="NY54" s="814"/>
      <c r="NZ54" s="814"/>
      <c r="OA54" s="814"/>
      <c r="OB54" s="814"/>
      <c r="OC54" s="814"/>
      <c r="OD54" s="814"/>
      <c r="OE54" s="814"/>
      <c r="OF54" s="814"/>
      <c r="OG54" s="814"/>
      <c r="OH54" s="814"/>
      <c r="OI54" s="814"/>
      <c r="OJ54" s="814"/>
      <c r="OK54" s="814"/>
      <c r="OL54" s="814"/>
      <c r="OM54" s="814"/>
      <c r="ON54" s="814"/>
      <c r="OO54" s="814"/>
      <c r="OP54" s="814"/>
      <c r="OQ54" s="814"/>
      <c r="OR54" s="814"/>
      <c r="OS54" s="814"/>
      <c r="OT54" s="814"/>
      <c r="OU54" s="814"/>
      <c r="OV54" s="814"/>
      <c r="OW54" s="814"/>
      <c r="OX54" s="814"/>
      <c r="OY54" s="814"/>
      <c r="OZ54" s="814"/>
      <c r="PA54" s="814"/>
      <c r="PB54" s="814"/>
      <c r="PC54" s="814"/>
      <c r="PD54" s="814"/>
      <c r="PE54" s="814"/>
      <c r="PF54" s="814"/>
      <c r="PG54" s="814"/>
      <c r="PH54" s="814"/>
      <c r="PI54" s="814"/>
      <c r="PJ54" s="814"/>
      <c r="PK54" s="814"/>
      <c r="PL54" s="814"/>
      <c r="PM54" s="814"/>
      <c r="PN54" s="814"/>
      <c r="PO54" s="814"/>
      <c r="PP54" s="814"/>
      <c r="PQ54" s="814"/>
      <c r="PR54" s="814"/>
      <c r="PS54" s="814"/>
      <c r="PT54" s="814"/>
      <c r="PU54" s="814"/>
      <c r="PV54" s="814"/>
      <c r="PW54" s="814"/>
      <c r="PX54" s="814"/>
      <c r="PY54" s="814"/>
      <c r="PZ54" s="814"/>
      <c r="QA54" s="814"/>
      <c r="QB54" s="814"/>
      <c r="QC54" s="814"/>
      <c r="QD54" s="814"/>
      <c r="QE54" s="814"/>
      <c r="QF54" s="814"/>
      <c r="QG54" s="814"/>
      <c r="QH54" s="814"/>
      <c r="QI54" s="814"/>
      <c r="QJ54" s="814"/>
      <c r="QK54" s="814"/>
      <c r="QL54" s="814"/>
      <c r="QM54" s="814"/>
      <c r="QN54" s="814"/>
      <c r="QO54" s="814"/>
      <c r="QP54" s="814"/>
      <c r="QQ54" s="814"/>
      <c r="QR54" s="814"/>
      <c r="QS54" s="814"/>
      <c r="QT54" s="814"/>
      <c r="QU54" s="814"/>
      <c r="QV54" s="814"/>
      <c r="QW54" s="814"/>
      <c r="QX54" s="814"/>
      <c r="QY54" s="814"/>
      <c r="QZ54" s="814"/>
      <c r="RA54" s="814"/>
      <c r="RB54" s="814"/>
      <c r="RC54" s="814"/>
      <c r="RD54" s="814"/>
      <c r="RE54" s="814"/>
      <c r="RF54" s="814"/>
      <c r="RG54" s="814"/>
      <c r="RH54" s="814"/>
      <c r="RI54" s="814"/>
      <c r="RJ54" s="814"/>
      <c r="RK54" s="814"/>
      <c r="RL54" s="814"/>
      <c r="RM54" s="814"/>
      <c r="RN54" s="814"/>
      <c r="RO54" s="814"/>
      <c r="RP54" s="814"/>
      <c r="RQ54" s="814"/>
      <c r="RR54" s="814"/>
      <c r="RS54" s="814"/>
      <c r="RT54" s="814"/>
      <c r="RU54" s="814"/>
      <c r="RV54" s="814"/>
      <c r="RW54" s="814"/>
      <c r="RX54" s="814"/>
    </row>
    <row r="55" spans="1:492" s="169" customFormat="1">
      <c r="A55" s="814"/>
      <c r="B55" s="814"/>
      <c r="C55" s="814"/>
      <c r="D55" s="814"/>
      <c r="E55" s="814"/>
      <c r="F55" s="814"/>
      <c r="G55" s="814"/>
      <c r="H55" s="814"/>
      <c r="I55" s="814"/>
      <c r="J55" s="814"/>
      <c r="K55" s="814"/>
      <c r="L55" s="814"/>
      <c r="M55" s="814"/>
      <c r="N55" s="814"/>
      <c r="O55" s="814"/>
      <c r="P55" s="814"/>
      <c r="Q55" s="814"/>
      <c r="R55" s="814"/>
      <c r="S55" s="814"/>
      <c r="T55" s="814"/>
      <c r="U55" s="814"/>
      <c r="V55" s="814"/>
      <c r="W55" s="814"/>
      <c r="X55" s="814"/>
      <c r="Y55" s="814"/>
      <c r="Z55" s="814"/>
      <c r="AA55" s="814"/>
      <c r="AB55" s="814"/>
      <c r="AC55" s="814"/>
      <c r="AD55" s="814"/>
      <c r="AE55" s="814"/>
      <c r="AF55" s="814"/>
      <c r="AG55" s="814"/>
      <c r="AH55" s="814"/>
      <c r="AI55" s="814"/>
      <c r="AJ55" s="814"/>
      <c r="AK55" s="814"/>
      <c r="AL55" s="814"/>
      <c r="AM55" s="804"/>
      <c r="AN55" s="804"/>
      <c r="AO55" s="804"/>
      <c r="AP55" s="804"/>
      <c r="AQ55" s="804"/>
      <c r="AR55" s="804"/>
      <c r="AS55" s="804"/>
      <c r="AT55" s="804"/>
      <c r="AU55" s="804"/>
      <c r="AV55" s="804"/>
      <c r="AW55" s="804"/>
      <c r="AX55" s="804"/>
      <c r="AY55" s="804"/>
      <c r="AZ55" s="804"/>
      <c r="BA55" s="804"/>
      <c r="BB55" s="804"/>
      <c r="BC55" s="804"/>
      <c r="BD55" s="804"/>
      <c r="BE55" s="804"/>
      <c r="BF55" s="804"/>
      <c r="BG55" s="804"/>
      <c r="BH55" s="804"/>
      <c r="BI55" s="804"/>
      <c r="BJ55" s="804"/>
      <c r="BK55" s="804"/>
      <c r="BL55" s="804"/>
      <c r="BM55" s="804"/>
      <c r="BN55" s="804"/>
      <c r="BO55" s="804"/>
      <c r="BP55" s="804"/>
      <c r="BQ55" s="804"/>
      <c r="BR55" s="814"/>
      <c r="BS55" s="814"/>
      <c r="BT55" s="814"/>
      <c r="BU55" s="814"/>
      <c r="BV55" s="814"/>
      <c r="BW55" s="814"/>
      <c r="BX55" s="814"/>
      <c r="BY55" s="814"/>
      <c r="BZ55" s="814"/>
      <c r="CA55" s="814"/>
      <c r="CB55" s="814"/>
      <c r="CC55" s="814"/>
      <c r="CD55" s="814"/>
      <c r="CE55" s="814"/>
      <c r="CF55" s="814"/>
      <c r="CG55" s="814"/>
      <c r="CH55" s="814"/>
      <c r="CI55" s="814"/>
      <c r="CJ55" s="814"/>
      <c r="CK55" s="814"/>
      <c r="CL55" s="814"/>
      <c r="CM55" s="814"/>
      <c r="CN55" s="814"/>
      <c r="CO55" s="814"/>
      <c r="CP55" s="814"/>
      <c r="CQ55" s="814"/>
      <c r="CR55" s="814"/>
      <c r="CS55" s="814"/>
      <c r="CT55" s="814"/>
      <c r="CU55" s="814"/>
      <c r="CV55" s="814"/>
      <c r="CW55" s="814"/>
      <c r="CX55" s="814"/>
      <c r="CY55" s="814"/>
      <c r="CZ55" s="814"/>
      <c r="DA55" s="814"/>
      <c r="DB55" s="814"/>
      <c r="DC55" s="814"/>
      <c r="DD55" s="814"/>
      <c r="DE55" s="814"/>
      <c r="DF55" s="814"/>
      <c r="DG55" s="814"/>
      <c r="DH55" s="814"/>
      <c r="DI55" s="814"/>
      <c r="DJ55" s="814"/>
      <c r="DK55" s="814"/>
      <c r="DL55" s="814"/>
      <c r="DM55" s="814"/>
      <c r="DN55" s="814"/>
      <c r="DO55" s="814"/>
      <c r="DP55" s="814"/>
      <c r="DQ55" s="814"/>
      <c r="DR55" s="814"/>
      <c r="DS55" s="814"/>
      <c r="DT55" s="814"/>
      <c r="DU55" s="814"/>
      <c r="DV55" s="814"/>
      <c r="DW55" s="814"/>
      <c r="DX55" s="814"/>
      <c r="DY55" s="814"/>
      <c r="DZ55" s="814"/>
      <c r="EA55" s="814"/>
      <c r="EB55" s="814"/>
      <c r="EC55" s="814"/>
      <c r="ED55" s="814"/>
      <c r="EE55" s="814"/>
      <c r="EF55" s="814"/>
      <c r="EG55" s="814"/>
      <c r="EH55" s="814"/>
      <c r="EI55" s="814"/>
      <c r="EJ55" s="814"/>
      <c r="EK55" s="814"/>
      <c r="EL55" s="814"/>
      <c r="EM55" s="814"/>
      <c r="EN55" s="814"/>
      <c r="EO55" s="814"/>
      <c r="EP55" s="814"/>
      <c r="EQ55" s="814"/>
      <c r="ER55" s="814"/>
      <c r="ES55" s="814"/>
      <c r="ET55" s="814"/>
      <c r="EU55" s="814"/>
      <c r="EV55" s="814"/>
      <c r="EW55" s="814"/>
      <c r="EX55" s="814"/>
      <c r="EY55" s="814"/>
      <c r="EZ55" s="814"/>
      <c r="FA55" s="814"/>
      <c r="FB55" s="814"/>
      <c r="FC55" s="814"/>
      <c r="FD55" s="814"/>
      <c r="FE55" s="814"/>
      <c r="FF55" s="814"/>
      <c r="FG55" s="814"/>
      <c r="FH55" s="814"/>
      <c r="FI55" s="814"/>
      <c r="FJ55" s="814"/>
      <c r="FK55" s="814"/>
      <c r="FL55" s="814"/>
      <c r="FM55" s="814"/>
      <c r="FN55" s="814"/>
      <c r="FO55" s="814"/>
      <c r="FP55" s="814"/>
      <c r="FQ55" s="814"/>
      <c r="FR55" s="814"/>
      <c r="FS55" s="814"/>
      <c r="FT55" s="814"/>
      <c r="FU55" s="814"/>
      <c r="FV55" s="814"/>
      <c r="FW55" s="814"/>
      <c r="FX55" s="814"/>
      <c r="FY55" s="814"/>
      <c r="FZ55" s="814"/>
      <c r="GA55" s="814"/>
      <c r="GB55" s="814"/>
      <c r="GC55" s="814"/>
      <c r="GD55" s="814"/>
      <c r="GE55" s="814"/>
      <c r="GF55" s="814"/>
      <c r="GG55" s="814"/>
      <c r="GH55" s="814"/>
      <c r="GI55" s="814"/>
      <c r="GJ55" s="814"/>
      <c r="GK55" s="814"/>
      <c r="GL55" s="814"/>
      <c r="GM55" s="814"/>
      <c r="GN55" s="814"/>
      <c r="GO55" s="814"/>
      <c r="GP55" s="814"/>
      <c r="GQ55" s="814"/>
      <c r="GR55" s="814"/>
      <c r="GS55" s="814"/>
      <c r="GT55" s="814"/>
      <c r="GU55" s="814"/>
      <c r="GV55" s="814"/>
      <c r="GW55" s="814"/>
      <c r="GX55" s="814"/>
      <c r="GY55" s="814"/>
      <c r="GZ55" s="814"/>
      <c r="HA55" s="814"/>
      <c r="HB55" s="814"/>
      <c r="HC55" s="814"/>
      <c r="HD55" s="814"/>
      <c r="HE55" s="814"/>
      <c r="HF55" s="814"/>
      <c r="HG55" s="814"/>
      <c r="HH55" s="814"/>
      <c r="HI55" s="814"/>
      <c r="HJ55" s="814"/>
      <c r="HK55" s="814"/>
      <c r="HL55" s="814"/>
      <c r="HM55" s="814"/>
      <c r="HN55" s="814"/>
      <c r="HO55" s="814"/>
      <c r="HP55" s="814"/>
      <c r="HQ55" s="814"/>
      <c r="HR55" s="814"/>
      <c r="HS55" s="814"/>
      <c r="HT55" s="814"/>
      <c r="HU55" s="814"/>
      <c r="HV55" s="814"/>
      <c r="HW55" s="814"/>
      <c r="HX55" s="814"/>
      <c r="HY55" s="814"/>
      <c r="HZ55" s="814"/>
      <c r="IA55" s="814"/>
      <c r="IB55" s="814"/>
      <c r="IC55" s="814"/>
      <c r="ID55" s="814"/>
      <c r="IE55" s="814"/>
      <c r="IF55" s="814"/>
      <c r="IG55" s="814"/>
      <c r="IH55" s="814"/>
      <c r="II55" s="814"/>
      <c r="IJ55" s="814"/>
      <c r="IK55" s="814"/>
      <c r="IL55" s="814"/>
      <c r="IM55" s="814"/>
      <c r="IN55" s="814"/>
      <c r="IO55" s="814"/>
      <c r="IP55" s="814"/>
      <c r="IQ55" s="814"/>
      <c r="IR55" s="814"/>
      <c r="IS55" s="814"/>
      <c r="IT55" s="814"/>
      <c r="IU55" s="814"/>
      <c r="IV55" s="814"/>
      <c r="IW55" s="814"/>
      <c r="IX55" s="814"/>
      <c r="IY55" s="814"/>
      <c r="IZ55" s="814"/>
      <c r="JA55" s="814"/>
      <c r="JB55" s="814"/>
      <c r="JC55" s="814"/>
      <c r="JD55" s="814"/>
      <c r="JE55" s="814"/>
      <c r="JF55" s="814"/>
      <c r="JG55" s="814"/>
      <c r="JH55" s="814"/>
      <c r="JI55" s="814"/>
      <c r="JJ55" s="814"/>
      <c r="JK55" s="814"/>
      <c r="JL55" s="814"/>
      <c r="JM55" s="814"/>
      <c r="JN55" s="814"/>
      <c r="JO55" s="814"/>
      <c r="JP55" s="814"/>
      <c r="JQ55" s="814"/>
      <c r="JR55" s="814"/>
      <c r="JS55" s="814"/>
      <c r="JT55" s="814"/>
      <c r="JU55" s="814"/>
      <c r="JV55" s="814"/>
      <c r="JW55" s="814"/>
      <c r="JX55" s="814"/>
      <c r="JY55" s="814"/>
      <c r="JZ55" s="814"/>
      <c r="KA55" s="814"/>
      <c r="KB55" s="814"/>
      <c r="KC55" s="814"/>
      <c r="KD55" s="814"/>
      <c r="KE55" s="814"/>
      <c r="KF55" s="814"/>
      <c r="KG55" s="814"/>
      <c r="KH55" s="814"/>
      <c r="KI55" s="814"/>
      <c r="KJ55" s="814"/>
      <c r="KK55" s="814"/>
      <c r="KL55" s="814"/>
      <c r="KM55" s="814"/>
      <c r="KN55" s="814"/>
      <c r="KO55" s="814"/>
      <c r="KP55" s="814"/>
      <c r="KQ55" s="814"/>
      <c r="KR55" s="814"/>
      <c r="KS55" s="814"/>
      <c r="KT55" s="814"/>
      <c r="KU55" s="814"/>
      <c r="KV55" s="814"/>
      <c r="KW55" s="814"/>
      <c r="KX55" s="814"/>
      <c r="KY55" s="814"/>
      <c r="KZ55" s="814"/>
      <c r="LA55" s="814"/>
      <c r="LB55" s="814"/>
      <c r="LC55" s="814"/>
      <c r="LD55" s="814"/>
      <c r="LE55" s="814"/>
      <c r="LF55" s="814"/>
      <c r="LG55" s="814"/>
      <c r="LH55" s="814"/>
      <c r="LI55" s="814"/>
      <c r="LJ55" s="814"/>
      <c r="LK55" s="814"/>
      <c r="LL55" s="814"/>
      <c r="LM55" s="814"/>
      <c r="LN55" s="814"/>
      <c r="LO55" s="814"/>
      <c r="LP55" s="814"/>
      <c r="LQ55" s="814"/>
      <c r="LR55" s="814"/>
      <c r="LS55" s="814"/>
      <c r="LT55" s="814"/>
      <c r="LU55" s="814"/>
      <c r="LV55" s="814"/>
      <c r="LW55" s="814"/>
      <c r="LX55" s="814"/>
      <c r="LY55" s="814"/>
      <c r="LZ55" s="814"/>
      <c r="MA55" s="814"/>
      <c r="MB55" s="814"/>
      <c r="MC55" s="814"/>
      <c r="MD55" s="814"/>
      <c r="ME55" s="814"/>
      <c r="MF55" s="814"/>
      <c r="MG55" s="814"/>
      <c r="MH55" s="814"/>
      <c r="MI55" s="814"/>
      <c r="MJ55" s="814"/>
      <c r="MK55" s="814"/>
      <c r="ML55" s="814"/>
      <c r="MM55" s="814"/>
      <c r="MN55" s="814"/>
      <c r="MO55" s="814"/>
      <c r="MP55" s="814"/>
      <c r="MQ55" s="814"/>
      <c r="MR55" s="814"/>
      <c r="MS55" s="814"/>
      <c r="MT55" s="814"/>
      <c r="MU55" s="814"/>
      <c r="MV55" s="814"/>
      <c r="MW55" s="814"/>
      <c r="MX55" s="814"/>
      <c r="MY55" s="814"/>
      <c r="MZ55" s="814"/>
      <c r="NA55" s="814"/>
      <c r="NB55" s="814"/>
      <c r="NC55" s="814"/>
      <c r="ND55" s="814"/>
      <c r="NE55" s="814"/>
      <c r="NF55" s="814"/>
      <c r="NG55" s="814"/>
      <c r="NH55" s="814"/>
      <c r="NI55" s="814"/>
      <c r="NJ55" s="814"/>
      <c r="NK55" s="814"/>
      <c r="NL55" s="814"/>
      <c r="NM55" s="814"/>
      <c r="NN55" s="814"/>
      <c r="NO55" s="814"/>
      <c r="NP55" s="814"/>
      <c r="NQ55" s="814"/>
      <c r="NR55" s="814"/>
      <c r="NS55" s="814"/>
      <c r="NT55" s="814"/>
      <c r="NU55" s="814"/>
      <c r="NV55" s="814"/>
      <c r="NW55" s="814"/>
      <c r="NX55" s="814"/>
      <c r="NY55" s="814"/>
      <c r="NZ55" s="814"/>
      <c r="OA55" s="814"/>
      <c r="OB55" s="814"/>
      <c r="OC55" s="814"/>
      <c r="OD55" s="814"/>
      <c r="OE55" s="814"/>
      <c r="OF55" s="814"/>
      <c r="OG55" s="814"/>
      <c r="OH55" s="814"/>
      <c r="OI55" s="814"/>
      <c r="OJ55" s="814"/>
      <c r="OK55" s="814"/>
      <c r="OL55" s="814"/>
      <c r="OM55" s="814"/>
      <c r="ON55" s="814"/>
      <c r="OO55" s="814"/>
      <c r="OP55" s="814"/>
      <c r="OQ55" s="814"/>
      <c r="OR55" s="814"/>
      <c r="OS55" s="814"/>
      <c r="OT55" s="814"/>
      <c r="OU55" s="814"/>
      <c r="OV55" s="814"/>
      <c r="OW55" s="814"/>
      <c r="OX55" s="814"/>
      <c r="OY55" s="814"/>
      <c r="OZ55" s="814"/>
      <c r="PA55" s="814"/>
      <c r="PB55" s="814"/>
      <c r="PC55" s="814"/>
      <c r="PD55" s="814"/>
      <c r="PE55" s="814"/>
      <c r="PF55" s="814"/>
      <c r="PG55" s="814"/>
      <c r="PH55" s="814"/>
      <c r="PI55" s="814"/>
      <c r="PJ55" s="814"/>
      <c r="PK55" s="814"/>
      <c r="PL55" s="814"/>
      <c r="PM55" s="814"/>
      <c r="PN55" s="814"/>
      <c r="PO55" s="814"/>
      <c r="PP55" s="814"/>
      <c r="PQ55" s="814"/>
      <c r="PR55" s="814"/>
      <c r="PS55" s="814"/>
      <c r="PT55" s="814"/>
      <c r="PU55" s="814"/>
      <c r="PV55" s="814"/>
      <c r="PW55" s="814"/>
      <c r="PX55" s="814"/>
      <c r="PY55" s="814"/>
      <c r="PZ55" s="814"/>
      <c r="QA55" s="814"/>
      <c r="QB55" s="814"/>
      <c r="QC55" s="814"/>
      <c r="QD55" s="814"/>
      <c r="QE55" s="814"/>
      <c r="QF55" s="814"/>
      <c r="QG55" s="814"/>
      <c r="QH55" s="814"/>
      <c r="QI55" s="814"/>
      <c r="QJ55" s="814"/>
      <c r="QK55" s="814"/>
      <c r="QL55" s="814"/>
      <c r="QM55" s="814"/>
      <c r="QN55" s="814"/>
      <c r="QO55" s="814"/>
      <c r="QP55" s="814"/>
      <c r="QQ55" s="814"/>
      <c r="QR55" s="814"/>
      <c r="QS55" s="814"/>
      <c r="QT55" s="814"/>
      <c r="QU55" s="814"/>
      <c r="QV55" s="814"/>
      <c r="QW55" s="814"/>
      <c r="QX55" s="814"/>
      <c r="QY55" s="814"/>
      <c r="QZ55" s="814"/>
      <c r="RA55" s="814"/>
      <c r="RB55" s="814"/>
      <c r="RC55" s="814"/>
      <c r="RD55" s="814"/>
      <c r="RE55" s="814"/>
      <c r="RF55" s="814"/>
      <c r="RG55" s="814"/>
      <c r="RH55" s="814"/>
      <c r="RI55" s="814"/>
      <c r="RJ55" s="814"/>
      <c r="RK55" s="814"/>
      <c r="RL55" s="814"/>
      <c r="RM55" s="814"/>
      <c r="RN55" s="814"/>
      <c r="RO55" s="814"/>
      <c r="RP55" s="814"/>
      <c r="RQ55" s="814"/>
      <c r="RR55" s="814"/>
      <c r="RS55" s="814"/>
      <c r="RT55" s="814"/>
      <c r="RU55" s="814"/>
      <c r="RV55" s="814"/>
      <c r="RW55" s="814"/>
      <c r="RX55" s="814"/>
    </row>
    <row r="56" spans="1:492" s="169" customFormat="1">
      <c r="A56" s="814"/>
      <c r="B56" s="814"/>
      <c r="C56" s="814"/>
      <c r="D56" s="814"/>
      <c r="E56" s="814"/>
      <c r="F56" s="814"/>
      <c r="G56" s="814"/>
      <c r="H56" s="814"/>
      <c r="I56" s="814"/>
      <c r="J56" s="814"/>
      <c r="K56" s="814"/>
      <c r="L56" s="814"/>
      <c r="M56" s="814"/>
      <c r="N56" s="814"/>
      <c r="O56" s="814"/>
      <c r="P56" s="814"/>
      <c r="Q56" s="814"/>
      <c r="R56" s="814"/>
      <c r="S56" s="814"/>
      <c r="T56" s="814"/>
      <c r="U56" s="814"/>
      <c r="V56" s="814"/>
      <c r="W56" s="814"/>
      <c r="X56" s="814"/>
      <c r="Y56" s="814"/>
      <c r="Z56" s="814"/>
      <c r="AA56" s="814"/>
      <c r="AB56" s="814"/>
      <c r="AC56" s="814"/>
      <c r="AD56" s="814"/>
      <c r="AE56" s="814"/>
      <c r="AF56" s="814"/>
      <c r="AG56" s="814"/>
      <c r="AH56" s="814"/>
      <c r="AI56" s="814"/>
      <c r="AJ56" s="814"/>
      <c r="AK56" s="814"/>
      <c r="AL56" s="814"/>
      <c r="AM56" s="804"/>
      <c r="AN56" s="804"/>
      <c r="AO56" s="804"/>
      <c r="AP56" s="804"/>
      <c r="AQ56" s="804"/>
      <c r="AR56" s="804"/>
      <c r="AS56" s="804"/>
      <c r="AT56" s="804"/>
      <c r="AU56" s="804"/>
      <c r="AV56" s="804"/>
      <c r="AW56" s="804"/>
      <c r="AX56" s="804"/>
      <c r="AY56" s="804"/>
      <c r="AZ56" s="804"/>
      <c r="BA56" s="804"/>
      <c r="BB56" s="804"/>
      <c r="BC56" s="804"/>
      <c r="BD56" s="804"/>
      <c r="BE56" s="804"/>
      <c r="BF56" s="804"/>
      <c r="BG56" s="804"/>
      <c r="BH56" s="804"/>
      <c r="BI56" s="804"/>
      <c r="BJ56" s="804"/>
      <c r="BK56" s="804"/>
      <c r="BL56" s="804"/>
      <c r="BM56" s="804"/>
      <c r="BN56" s="804"/>
      <c r="BO56" s="804"/>
      <c r="BP56" s="804"/>
      <c r="BQ56" s="804"/>
      <c r="BR56" s="814"/>
      <c r="BS56" s="814"/>
      <c r="BT56" s="814"/>
      <c r="BU56" s="814"/>
      <c r="BV56" s="814"/>
      <c r="BW56" s="814"/>
      <c r="BX56" s="814"/>
      <c r="BY56" s="814"/>
      <c r="BZ56" s="814"/>
      <c r="CA56" s="814"/>
      <c r="CB56" s="814"/>
      <c r="CC56" s="814"/>
      <c r="CD56" s="814"/>
      <c r="CE56" s="814"/>
      <c r="CF56" s="814"/>
      <c r="CG56" s="814"/>
      <c r="CH56" s="814"/>
      <c r="CI56" s="814"/>
      <c r="CJ56" s="814"/>
      <c r="CK56" s="814"/>
      <c r="CL56" s="814"/>
      <c r="CM56" s="814"/>
      <c r="CN56" s="814"/>
      <c r="CO56" s="814"/>
      <c r="CP56" s="814"/>
      <c r="CQ56" s="814"/>
      <c r="CR56" s="814"/>
      <c r="CS56" s="814"/>
      <c r="CT56" s="814"/>
      <c r="CU56" s="814"/>
      <c r="CV56" s="814"/>
      <c r="CW56" s="814"/>
      <c r="CX56" s="814"/>
      <c r="CY56" s="814"/>
      <c r="CZ56" s="814"/>
      <c r="DA56" s="814"/>
      <c r="DB56" s="814"/>
      <c r="DC56" s="814"/>
      <c r="DD56" s="814"/>
      <c r="DE56" s="814"/>
      <c r="DF56" s="814"/>
      <c r="DG56" s="814"/>
      <c r="DH56" s="814"/>
      <c r="DI56" s="814"/>
      <c r="DJ56" s="814"/>
      <c r="DK56" s="814"/>
      <c r="DL56" s="814"/>
      <c r="DM56" s="814"/>
      <c r="DN56" s="814"/>
      <c r="DO56" s="814"/>
      <c r="DP56" s="814"/>
      <c r="DQ56" s="814"/>
      <c r="DR56" s="814"/>
      <c r="DS56" s="814"/>
      <c r="DT56" s="814"/>
      <c r="DU56" s="814"/>
      <c r="DV56" s="814"/>
      <c r="DW56" s="814"/>
      <c r="DX56" s="814"/>
      <c r="DY56" s="814"/>
      <c r="DZ56" s="814"/>
      <c r="EA56" s="814"/>
      <c r="EB56" s="814"/>
      <c r="EC56" s="814"/>
      <c r="ED56" s="814"/>
      <c r="EE56" s="814"/>
      <c r="EF56" s="814"/>
      <c r="EG56" s="814"/>
      <c r="EH56" s="814"/>
      <c r="EI56" s="814"/>
      <c r="EJ56" s="814"/>
      <c r="EK56" s="814"/>
      <c r="EL56" s="814"/>
      <c r="EM56" s="814"/>
      <c r="EN56" s="814"/>
      <c r="EO56" s="814"/>
      <c r="EP56" s="814"/>
      <c r="EQ56" s="814"/>
      <c r="ER56" s="814"/>
      <c r="ES56" s="814"/>
      <c r="ET56" s="814"/>
      <c r="EU56" s="814"/>
      <c r="EV56" s="814"/>
      <c r="EW56" s="814"/>
      <c r="EX56" s="814"/>
      <c r="EY56" s="814"/>
      <c r="EZ56" s="814"/>
      <c r="FA56" s="814"/>
      <c r="FB56" s="814"/>
      <c r="FC56" s="814"/>
      <c r="FD56" s="814"/>
      <c r="FE56" s="814"/>
      <c r="FF56" s="814"/>
      <c r="FG56" s="814"/>
      <c r="FH56" s="814"/>
      <c r="FI56" s="814"/>
      <c r="FJ56" s="814"/>
      <c r="FK56" s="814"/>
      <c r="FL56" s="814"/>
      <c r="FM56" s="814"/>
      <c r="FN56" s="814"/>
      <c r="FO56" s="814"/>
      <c r="FP56" s="814"/>
      <c r="FQ56" s="814"/>
      <c r="FR56" s="814"/>
      <c r="FS56" s="814"/>
      <c r="FT56" s="814"/>
      <c r="FU56" s="814"/>
      <c r="FV56" s="814"/>
      <c r="FW56" s="814"/>
      <c r="FX56" s="814"/>
      <c r="FY56" s="814"/>
      <c r="FZ56" s="814"/>
      <c r="GA56" s="814"/>
      <c r="GB56" s="814"/>
      <c r="GC56" s="814"/>
      <c r="GD56" s="814"/>
      <c r="GE56" s="814"/>
      <c r="GF56" s="814"/>
      <c r="GG56" s="814"/>
      <c r="GH56" s="814"/>
      <c r="GI56" s="814"/>
      <c r="GJ56" s="814"/>
      <c r="GK56" s="814"/>
      <c r="GL56" s="814"/>
      <c r="GM56" s="814"/>
      <c r="GN56" s="814"/>
      <c r="GO56" s="814"/>
      <c r="GP56" s="814"/>
      <c r="GQ56" s="814"/>
      <c r="GR56" s="814"/>
      <c r="GS56" s="814"/>
      <c r="GT56" s="814"/>
      <c r="GU56" s="814"/>
      <c r="GV56" s="814"/>
      <c r="GW56" s="814"/>
      <c r="GX56" s="814"/>
      <c r="GY56" s="814"/>
      <c r="GZ56" s="814"/>
      <c r="HA56" s="814"/>
      <c r="HB56" s="814"/>
      <c r="HC56" s="814"/>
      <c r="HD56" s="814"/>
      <c r="HE56" s="814"/>
      <c r="HF56" s="814"/>
      <c r="HG56" s="814"/>
      <c r="HH56" s="814"/>
      <c r="HI56" s="814"/>
      <c r="HJ56" s="814"/>
      <c r="HK56" s="814"/>
      <c r="HL56" s="814"/>
      <c r="HM56" s="814"/>
      <c r="HN56" s="814"/>
      <c r="HO56" s="814"/>
      <c r="HP56" s="814"/>
      <c r="HQ56" s="814"/>
      <c r="HR56" s="814"/>
      <c r="HS56" s="814"/>
      <c r="HT56" s="814"/>
      <c r="HU56" s="814"/>
      <c r="HV56" s="814"/>
      <c r="HW56" s="814"/>
      <c r="HX56" s="814"/>
      <c r="HY56" s="814"/>
      <c r="HZ56" s="814"/>
      <c r="IA56" s="814"/>
      <c r="IB56" s="814"/>
      <c r="IC56" s="814"/>
      <c r="ID56" s="814"/>
      <c r="IE56" s="814"/>
      <c r="IF56" s="814"/>
      <c r="IG56" s="814"/>
      <c r="IH56" s="814"/>
      <c r="II56" s="814"/>
      <c r="IJ56" s="814"/>
      <c r="IK56" s="814"/>
      <c r="IL56" s="814"/>
      <c r="IM56" s="814"/>
      <c r="IN56" s="814"/>
      <c r="IO56" s="814"/>
      <c r="IP56" s="814"/>
      <c r="IQ56" s="814"/>
      <c r="IR56" s="814"/>
      <c r="IS56" s="814"/>
      <c r="IT56" s="814"/>
      <c r="IU56" s="814"/>
      <c r="IV56" s="814"/>
      <c r="IW56" s="814"/>
      <c r="IX56" s="814"/>
      <c r="IY56" s="814"/>
      <c r="IZ56" s="814"/>
      <c r="JA56" s="814"/>
      <c r="JB56" s="814"/>
      <c r="JC56" s="814"/>
      <c r="JD56" s="814"/>
      <c r="JE56" s="814"/>
      <c r="JF56" s="814"/>
      <c r="JG56" s="814"/>
      <c r="JH56" s="814"/>
      <c r="JI56" s="814"/>
      <c r="JJ56" s="814"/>
      <c r="JK56" s="814"/>
      <c r="JL56" s="814"/>
      <c r="JM56" s="814"/>
      <c r="JN56" s="814"/>
      <c r="JO56" s="814"/>
      <c r="JP56" s="814"/>
      <c r="JQ56" s="814"/>
      <c r="JR56" s="814"/>
      <c r="JS56" s="814"/>
      <c r="JT56" s="814"/>
      <c r="JU56" s="814"/>
      <c r="JV56" s="814"/>
      <c r="JW56" s="814"/>
      <c r="JX56" s="814"/>
      <c r="JY56" s="814"/>
      <c r="JZ56" s="814"/>
      <c r="KA56" s="814"/>
      <c r="KB56" s="814"/>
      <c r="KC56" s="814"/>
      <c r="KD56" s="814"/>
      <c r="KE56" s="814"/>
      <c r="KF56" s="814"/>
      <c r="KG56" s="814"/>
      <c r="KH56" s="814"/>
      <c r="KI56" s="814"/>
      <c r="KJ56" s="814"/>
      <c r="KK56" s="814"/>
      <c r="KL56" s="814"/>
      <c r="KM56" s="814"/>
      <c r="KN56" s="814"/>
      <c r="KO56" s="814"/>
      <c r="KP56" s="814"/>
      <c r="KQ56" s="814"/>
      <c r="KR56" s="814"/>
      <c r="KS56" s="814"/>
      <c r="KT56" s="814"/>
      <c r="KU56" s="814"/>
      <c r="KV56" s="814"/>
      <c r="KW56" s="814"/>
      <c r="KX56" s="814"/>
      <c r="KY56" s="814"/>
      <c r="KZ56" s="814"/>
      <c r="LA56" s="814"/>
      <c r="LB56" s="814"/>
      <c r="LC56" s="814"/>
      <c r="LD56" s="814"/>
      <c r="LE56" s="814"/>
      <c r="LF56" s="814"/>
      <c r="LG56" s="814"/>
      <c r="LH56" s="814"/>
      <c r="LI56" s="814"/>
      <c r="LJ56" s="814"/>
      <c r="LK56" s="814"/>
      <c r="LL56" s="814"/>
      <c r="LM56" s="814"/>
      <c r="LN56" s="814"/>
      <c r="LO56" s="814"/>
      <c r="LP56" s="814"/>
      <c r="LQ56" s="814"/>
      <c r="LR56" s="814"/>
      <c r="LS56" s="814"/>
      <c r="LT56" s="814"/>
      <c r="LU56" s="814"/>
      <c r="LV56" s="814"/>
      <c r="LW56" s="814"/>
      <c r="LX56" s="814"/>
      <c r="LY56" s="814"/>
      <c r="LZ56" s="814"/>
      <c r="MA56" s="814"/>
      <c r="MB56" s="814"/>
      <c r="MC56" s="814"/>
      <c r="MD56" s="814"/>
      <c r="ME56" s="814"/>
      <c r="MF56" s="814"/>
      <c r="MG56" s="814"/>
      <c r="MH56" s="814"/>
      <c r="MI56" s="814"/>
      <c r="MJ56" s="814"/>
      <c r="MK56" s="814"/>
      <c r="ML56" s="814"/>
      <c r="MM56" s="814"/>
      <c r="MN56" s="814"/>
      <c r="MO56" s="814"/>
      <c r="MP56" s="814"/>
      <c r="MQ56" s="814"/>
      <c r="MR56" s="814"/>
      <c r="MS56" s="814"/>
      <c r="MT56" s="814"/>
      <c r="MU56" s="814"/>
      <c r="MV56" s="814"/>
      <c r="MW56" s="814"/>
      <c r="MX56" s="814"/>
      <c r="MY56" s="814"/>
      <c r="MZ56" s="814"/>
      <c r="NA56" s="814"/>
      <c r="NB56" s="814"/>
      <c r="NC56" s="814"/>
      <c r="ND56" s="814"/>
      <c r="NE56" s="814"/>
      <c r="NF56" s="814"/>
      <c r="NG56" s="814"/>
      <c r="NH56" s="814"/>
      <c r="NI56" s="814"/>
      <c r="NJ56" s="814"/>
      <c r="NK56" s="814"/>
      <c r="NL56" s="814"/>
      <c r="NM56" s="814"/>
      <c r="NN56" s="814"/>
      <c r="NO56" s="814"/>
      <c r="NP56" s="814"/>
      <c r="NQ56" s="814"/>
      <c r="NR56" s="814"/>
      <c r="NS56" s="814"/>
      <c r="NT56" s="814"/>
      <c r="NU56" s="814"/>
      <c r="NV56" s="814"/>
      <c r="NW56" s="814"/>
      <c r="NX56" s="814"/>
      <c r="NY56" s="814"/>
      <c r="NZ56" s="814"/>
      <c r="OA56" s="814"/>
      <c r="OB56" s="814"/>
      <c r="OC56" s="814"/>
      <c r="OD56" s="814"/>
      <c r="OE56" s="814"/>
      <c r="OF56" s="814"/>
      <c r="OG56" s="814"/>
      <c r="OH56" s="814"/>
      <c r="OI56" s="814"/>
      <c r="OJ56" s="814"/>
      <c r="OK56" s="814"/>
      <c r="OL56" s="814"/>
      <c r="OM56" s="814"/>
      <c r="ON56" s="814"/>
      <c r="OO56" s="814"/>
      <c r="OP56" s="814"/>
      <c r="OQ56" s="814"/>
      <c r="OR56" s="814"/>
      <c r="OS56" s="814"/>
      <c r="OT56" s="814"/>
      <c r="OU56" s="814"/>
      <c r="OV56" s="814"/>
      <c r="OW56" s="814"/>
      <c r="OX56" s="814"/>
      <c r="OY56" s="814"/>
      <c r="OZ56" s="814"/>
      <c r="PA56" s="814"/>
      <c r="PB56" s="814"/>
      <c r="PC56" s="814"/>
      <c r="PD56" s="814"/>
      <c r="PE56" s="814"/>
      <c r="PF56" s="814"/>
      <c r="PG56" s="814"/>
      <c r="PH56" s="814"/>
      <c r="PI56" s="814"/>
      <c r="PJ56" s="814"/>
      <c r="PK56" s="814"/>
      <c r="PL56" s="814"/>
      <c r="PM56" s="814"/>
      <c r="PN56" s="814"/>
      <c r="PO56" s="814"/>
      <c r="PP56" s="814"/>
      <c r="PQ56" s="814"/>
      <c r="PR56" s="814"/>
      <c r="PS56" s="814"/>
      <c r="PT56" s="814"/>
      <c r="PU56" s="814"/>
      <c r="PV56" s="814"/>
      <c r="PW56" s="814"/>
      <c r="PX56" s="814"/>
      <c r="PY56" s="814"/>
      <c r="PZ56" s="814"/>
      <c r="QA56" s="814"/>
      <c r="QB56" s="814"/>
      <c r="QC56" s="814"/>
      <c r="QD56" s="814"/>
      <c r="QE56" s="814"/>
      <c r="QF56" s="814"/>
      <c r="QG56" s="814"/>
      <c r="QH56" s="814"/>
      <c r="QI56" s="814"/>
      <c r="QJ56" s="814"/>
      <c r="QK56" s="814"/>
      <c r="QL56" s="814"/>
      <c r="QM56" s="814"/>
      <c r="QN56" s="814"/>
      <c r="QO56" s="814"/>
      <c r="QP56" s="814"/>
      <c r="QQ56" s="814"/>
      <c r="QR56" s="814"/>
      <c r="QS56" s="814"/>
      <c r="QT56" s="814"/>
      <c r="QU56" s="814"/>
      <c r="QV56" s="814"/>
      <c r="QW56" s="814"/>
      <c r="QX56" s="814"/>
      <c r="QY56" s="814"/>
      <c r="QZ56" s="814"/>
      <c r="RA56" s="814"/>
      <c r="RB56" s="814"/>
      <c r="RC56" s="814"/>
      <c r="RD56" s="814"/>
      <c r="RE56" s="814"/>
      <c r="RF56" s="814"/>
      <c r="RG56" s="814"/>
      <c r="RH56" s="814"/>
      <c r="RI56" s="814"/>
      <c r="RJ56" s="814"/>
      <c r="RK56" s="814"/>
      <c r="RL56" s="814"/>
      <c r="RM56" s="814"/>
      <c r="RN56" s="814"/>
      <c r="RO56" s="814"/>
      <c r="RP56" s="814"/>
      <c r="RQ56" s="814"/>
      <c r="RR56" s="814"/>
      <c r="RS56" s="814"/>
      <c r="RT56" s="814"/>
      <c r="RU56" s="814"/>
      <c r="RV56" s="814"/>
      <c r="RW56" s="814"/>
      <c r="RX56" s="814"/>
    </row>
    <row r="57" spans="1:492" s="169" customFormat="1">
      <c r="A57" s="814"/>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04"/>
      <c r="AN57" s="804"/>
      <c r="AO57" s="804"/>
      <c r="AP57" s="804"/>
      <c r="AQ57" s="804"/>
      <c r="AR57" s="804"/>
      <c r="AS57" s="804"/>
      <c r="AT57" s="804"/>
      <c r="AU57" s="804"/>
      <c r="AV57" s="804"/>
      <c r="AW57" s="804"/>
      <c r="AX57" s="804"/>
      <c r="AY57" s="804"/>
      <c r="AZ57" s="804"/>
      <c r="BA57" s="804"/>
      <c r="BB57" s="804"/>
      <c r="BC57" s="804"/>
      <c r="BD57" s="804"/>
      <c r="BE57" s="804"/>
      <c r="BF57" s="804"/>
      <c r="BG57" s="804"/>
      <c r="BH57" s="804"/>
      <c r="BI57" s="804"/>
      <c r="BJ57" s="804"/>
      <c r="BK57" s="804"/>
      <c r="BL57" s="804"/>
      <c r="BM57" s="804"/>
      <c r="BN57" s="804"/>
      <c r="BO57" s="804"/>
      <c r="BP57" s="804"/>
      <c r="BQ57" s="804"/>
      <c r="BR57" s="814"/>
      <c r="BS57" s="814"/>
      <c r="BT57" s="814"/>
      <c r="BU57" s="814"/>
      <c r="BV57" s="814"/>
      <c r="BW57" s="814"/>
      <c r="BX57" s="814"/>
      <c r="BY57" s="814"/>
      <c r="BZ57" s="814"/>
      <c r="CA57" s="814"/>
      <c r="CB57" s="814"/>
      <c r="CC57" s="814"/>
      <c r="CD57" s="814"/>
      <c r="CE57" s="814"/>
      <c r="CF57" s="814"/>
      <c r="CG57" s="814"/>
      <c r="CH57" s="814"/>
      <c r="CI57" s="814"/>
      <c r="CJ57" s="814"/>
      <c r="CK57" s="814"/>
      <c r="CL57" s="814"/>
      <c r="CM57" s="814"/>
      <c r="CN57" s="814"/>
      <c r="CO57" s="814"/>
      <c r="CP57" s="814"/>
      <c r="CQ57" s="814"/>
      <c r="CR57" s="814"/>
      <c r="CS57" s="814"/>
      <c r="CT57" s="814"/>
      <c r="CU57" s="814"/>
      <c r="CV57" s="814"/>
      <c r="CW57" s="814"/>
      <c r="CX57" s="814"/>
      <c r="CY57" s="814"/>
      <c r="CZ57" s="814"/>
      <c r="DA57" s="814"/>
      <c r="DB57" s="814"/>
      <c r="DC57" s="814"/>
      <c r="DD57" s="814"/>
      <c r="DE57" s="814"/>
      <c r="DF57" s="814"/>
      <c r="DG57" s="814"/>
      <c r="DH57" s="814"/>
      <c r="DI57" s="814"/>
      <c r="DJ57" s="814"/>
      <c r="DK57" s="814"/>
      <c r="DL57" s="814"/>
      <c r="DM57" s="814"/>
      <c r="DN57" s="814"/>
      <c r="DO57" s="814"/>
      <c r="DP57" s="814"/>
      <c r="DQ57" s="814"/>
      <c r="DR57" s="814"/>
      <c r="DS57" s="814"/>
      <c r="DT57" s="814"/>
      <c r="DU57" s="814"/>
      <c r="DV57" s="814"/>
      <c r="DW57" s="814"/>
      <c r="DX57" s="814"/>
      <c r="DY57" s="814"/>
      <c r="DZ57" s="814"/>
      <c r="EA57" s="814"/>
      <c r="EB57" s="814"/>
      <c r="EC57" s="814"/>
      <c r="ED57" s="814"/>
      <c r="EE57" s="814"/>
      <c r="EF57" s="814"/>
      <c r="EG57" s="814"/>
      <c r="EH57" s="814"/>
      <c r="EI57" s="814"/>
      <c r="EJ57" s="814"/>
      <c r="EK57" s="814"/>
      <c r="EL57" s="814"/>
      <c r="EM57" s="814"/>
      <c r="EN57" s="814"/>
      <c r="EO57" s="814"/>
      <c r="EP57" s="814"/>
      <c r="EQ57" s="814"/>
      <c r="ER57" s="814"/>
      <c r="ES57" s="814"/>
      <c r="ET57" s="814"/>
      <c r="EU57" s="814"/>
      <c r="EV57" s="814"/>
      <c r="EW57" s="814"/>
      <c r="EX57" s="814"/>
      <c r="EY57" s="814"/>
      <c r="EZ57" s="814"/>
      <c r="FA57" s="814"/>
      <c r="FB57" s="814"/>
      <c r="FC57" s="814"/>
      <c r="FD57" s="814"/>
      <c r="FE57" s="814"/>
      <c r="FF57" s="814"/>
      <c r="FG57" s="814"/>
      <c r="FH57" s="814"/>
      <c r="FI57" s="814"/>
      <c r="FJ57" s="814"/>
      <c r="FK57" s="814"/>
      <c r="FL57" s="814"/>
      <c r="FM57" s="814"/>
      <c r="FN57" s="814"/>
      <c r="FO57" s="814"/>
      <c r="FP57" s="814"/>
      <c r="FQ57" s="814"/>
      <c r="FR57" s="814"/>
      <c r="FS57" s="814"/>
      <c r="FT57" s="814"/>
      <c r="FU57" s="814"/>
      <c r="FV57" s="814"/>
      <c r="FW57" s="814"/>
      <c r="FX57" s="814"/>
      <c r="FY57" s="814"/>
      <c r="FZ57" s="814"/>
      <c r="GA57" s="814"/>
      <c r="GB57" s="814"/>
      <c r="GC57" s="814"/>
      <c r="GD57" s="814"/>
      <c r="GE57" s="814"/>
      <c r="GF57" s="814"/>
      <c r="GG57" s="814"/>
      <c r="GH57" s="814"/>
      <c r="GI57" s="814"/>
      <c r="GJ57" s="814"/>
      <c r="GK57" s="814"/>
      <c r="GL57" s="814"/>
      <c r="GM57" s="814"/>
      <c r="GN57" s="814"/>
      <c r="GO57" s="814"/>
      <c r="GP57" s="814"/>
      <c r="GQ57" s="814"/>
      <c r="GR57" s="814"/>
      <c r="GS57" s="814"/>
      <c r="GT57" s="814"/>
      <c r="GU57" s="814"/>
      <c r="GV57" s="814"/>
      <c r="GW57" s="814"/>
      <c r="GX57" s="814"/>
      <c r="GY57" s="814"/>
      <c r="GZ57" s="814"/>
      <c r="HA57" s="814"/>
      <c r="HB57" s="814"/>
      <c r="HC57" s="814"/>
      <c r="HD57" s="814"/>
      <c r="HE57" s="814"/>
      <c r="HF57" s="814"/>
      <c r="HG57" s="814"/>
      <c r="HH57" s="814"/>
      <c r="HI57" s="814"/>
      <c r="HJ57" s="814"/>
      <c r="HK57" s="814"/>
      <c r="HL57" s="814"/>
      <c r="HM57" s="814"/>
      <c r="HN57" s="814"/>
      <c r="HO57" s="814"/>
      <c r="HP57" s="814"/>
      <c r="HQ57" s="814"/>
      <c r="HR57" s="814"/>
      <c r="HS57" s="814"/>
      <c r="HT57" s="814"/>
      <c r="HU57" s="814"/>
      <c r="HV57" s="814"/>
      <c r="HW57" s="814"/>
      <c r="HX57" s="814"/>
      <c r="HY57" s="814"/>
      <c r="HZ57" s="814"/>
      <c r="IA57" s="814"/>
      <c r="IB57" s="814"/>
      <c r="IC57" s="814"/>
      <c r="ID57" s="814"/>
      <c r="IE57" s="814"/>
      <c r="IF57" s="814"/>
      <c r="IG57" s="814"/>
      <c r="IH57" s="814"/>
      <c r="II57" s="814"/>
      <c r="IJ57" s="814"/>
      <c r="IK57" s="814"/>
      <c r="IL57" s="814"/>
      <c r="IM57" s="814"/>
      <c r="IN57" s="814"/>
      <c r="IO57" s="814"/>
      <c r="IP57" s="814"/>
      <c r="IQ57" s="814"/>
      <c r="IR57" s="814"/>
      <c r="IS57" s="814"/>
      <c r="IT57" s="814"/>
      <c r="IU57" s="814"/>
      <c r="IV57" s="814"/>
      <c r="IW57" s="814"/>
      <c r="IX57" s="814"/>
      <c r="IY57" s="814"/>
      <c r="IZ57" s="814"/>
      <c r="JA57" s="814"/>
      <c r="JB57" s="814"/>
      <c r="JC57" s="814"/>
      <c r="JD57" s="814"/>
      <c r="JE57" s="814"/>
      <c r="JF57" s="814"/>
      <c r="JG57" s="814"/>
      <c r="JH57" s="814"/>
      <c r="JI57" s="814"/>
      <c r="JJ57" s="814"/>
      <c r="JK57" s="814"/>
      <c r="JL57" s="814"/>
      <c r="JM57" s="814"/>
      <c r="JN57" s="814"/>
      <c r="JO57" s="814"/>
      <c r="JP57" s="814"/>
      <c r="JQ57" s="814"/>
      <c r="JR57" s="814"/>
      <c r="JS57" s="814"/>
      <c r="JT57" s="814"/>
      <c r="JU57" s="814"/>
      <c r="JV57" s="814"/>
      <c r="JW57" s="814"/>
      <c r="JX57" s="814"/>
      <c r="JY57" s="814"/>
      <c r="JZ57" s="814"/>
      <c r="KA57" s="814"/>
      <c r="KB57" s="814"/>
      <c r="KC57" s="814"/>
      <c r="KD57" s="814"/>
      <c r="KE57" s="814"/>
      <c r="KF57" s="814"/>
      <c r="KG57" s="814"/>
      <c r="KH57" s="814"/>
      <c r="KI57" s="814"/>
      <c r="KJ57" s="814"/>
      <c r="KK57" s="814"/>
      <c r="KL57" s="814"/>
      <c r="KM57" s="814"/>
      <c r="KN57" s="814"/>
      <c r="KO57" s="814"/>
      <c r="KP57" s="814"/>
      <c r="KQ57" s="814"/>
      <c r="KR57" s="814"/>
      <c r="KS57" s="814"/>
      <c r="KT57" s="814"/>
      <c r="KU57" s="814"/>
      <c r="KV57" s="814"/>
      <c r="KW57" s="814"/>
      <c r="KX57" s="814"/>
      <c r="KY57" s="814"/>
      <c r="KZ57" s="814"/>
      <c r="LA57" s="814"/>
      <c r="LB57" s="814"/>
      <c r="LC57" s="814"/>
      <c r="LD57" s="814"/>
      <c r="LE57" s="814"/>
      <c r="LF57" s="814"/>
      <c r="LG57" s="814"/>
      <c r="LH57" s="814"/>
      <c r="LI57" s="814"/>
      <c r="LJ57" s="814"/>
      <c r="LK57" s="814"/>
      <c r="LL57" s="814"/>
      <c r="LM57" s="814"/>
      <c r="LN57" s="814"/>
      <c r="LO57" s="814"/>
      <c r="LP57" s="814"/>
      <c r="LQ57" s="814"/>
      <c r="LR57" s="814"/>
      <c r="LS57" s="814"/>
      <c r="LT57" s="814"/>
      <c r="LU57" s="814"/>
      <c r="LV57" s="814"/>
      <c r="LW57" s="814"/>
      <c r="LX57" s="814"/>
      <c r="LY57" s="814"/>
      <c r="LZ57" s="814"/>
      <c r="MA57" s="814"/>
      <c r="MB57" s="814"/>
      <c r="MC57" s="814"/>
      <c r="MD57" s="814"/>
      <c r="ME57" s="814"/>
      <c r="MF57" s="814"/>
      <c r="MG57" s="814"/>
      <c r="MH57" s="814"/>
      <c r="MI57" s="814"/>
      <c r="MJ57" s="814"/>
      <c r="MK57" s="814"/>
      <c r="ML57" s="814"/>
      <c r="MM57" s="814"/>
      <c r="MN57" s="814"/>
      <c r="MO57" s="814"/>
      <c r="MP57" s="814"/>
      <c r="MQ57" s="814"/>
      <c r="MR57" s="814"/>
      <c r="MS57" s="814"/>
      <c r="MT57" s="814"/>
      <c r="MU57" s="814"/>
      <c r="MV57" s="814"/>
      <c r="MW57" s="814"/>
      <c r="MX57" s="814"/>
      <c r="MY57" s="814"/>
      <c r="MZ57" s="814"/>
      <c r="NA57" s="814"/>
      <c r="NB57" s="814"/>
      <c r="NC57" s="814"/>
      <c r="ND57" s="814"/>
      <c r="NE57" s="814"/>
      <c r="NF57" s="814"/>
      <c r="NG57" s="814"/>
      <c r="NH57" s="814"/>
      <c r="NI57" s="814"/>
      <c r="NJ57" s="814"/>
      <c r="NK57" s="814"/>
      <c r="NL57" s="814"/>
      <c r="NM57" s="814"/>
      <c r="NN57" s="814"/>
      <c r="NO57" s="814"/>
      <c r="NP57" s="814"/>
      <c r="NQ57" s="814"/>
      <c r="NR57" s="814"/>
      <c r="NS57" s="814"/>
      <c r="NT57" s="814"/>
      <c r="NU57" s="814"/>
      <c r="NV57" s="814"/>
      <c r="NW57" s="814"/>
      <c r="NX57" s="814"/>
      <c r="NY57" s="814"/>
      <c r="NZ57" s="814"/>
      <c r="OA57" s="814"/>
      <c r="OB57" s="814"/>
      <c r="OC57" s="814"/>
      <c r="OD57" s="814"/>
      <c r="OE57" s="814"/>
      <c r="OF57" s="814"/>
      <c r="OG57" s="814"/>
      <c r="OH57" s="814"/>
      <c r="OI57" s="814"/>
      <c r="OJ57" s="814"/>
      <c r="OK57" s="814"/>
      <c r="OL57" s="814"/>
      <c r="OM57" s="814"/>
      <c r="ON57" s="814"/>
      <c r="OO57" s="814"/>
      <c r="OP57" s="814"/>
      <c r="OQ57" s="814"/>
      <c r="OR57" s="814"/>
      <c r="OS57" s="814"/>
      <c r="OT57" s="814"/>
      <c r="OU57" s="814"/>
      <c r="OV57" s="814"/>
      <c r="OW57" s="814"/>
      <c r="OX57" s="814"/>
      <c r="OY57" s="814"/>
      <c r="OZ57" s="814"/>
      <c r="PA57" s="814"/>
      <c r="PB57" s="814"/>
      <c r="PC57" s="814"/>
      <c r="PD57" s="814"/>
      <c r="PE57" s="814"/>
      <c r="PF57" s="814"/>
      <c r="PG57" s="814"/>
      <c r="PH57" s="814"/>
      <c r="PI57" s="814"/>
      <c r="PJ57" s="814"/>
      <c r="PK57" s="814"/>
      <c r="PL57" s="814"/>
      <c r="PM57" s="814"/>
      <c r="PN57" s="814"/>
      <c r="PO57" s="814"/>
      <c r="PP57" s="814"/>
      <c r="PQ57" s="814"/>
      <c r="PR57" s="814"/>
      <c r="PS57" s="814"/>
      <c r="PT57" s="814"/>
      <c r="PU57" s="814"/>
      <c r="PV57" s="814"/>
      <c r="PW57" s="814"/>
      <c r="PX57" s="814"/>
      <c r="PY57" s="814"/>
      <c r="PZ57" s="814"/>
      <c r="QA57" s="814"/>
      <c r="QB57" s="814"/>
      <c r="QC57" s="814"/>
      <c r="QD57" s="814"/>
      <c r="QE57" s="814"/>
      <c r="QF57" s="814"/>
      <c r="QG57" s="814"/>
      <c r="QH57" s="814"/>
      <c r="QI57" s="814"/>
      <c r="QJ57" s="814"/>
      <c r="QK57" s="814"/>
      <c r="QL57" s="814"/>
      <c r="QM57" s="814"/>
      <c r="QN57" s="814"/>
      <c r="QO57" s="814"/>
      <c r="QP57" s="814"/>
      <c r="QQ57" s="814"/>
      <c r="QR57" s="814"/>
      <c r="QS57" s="814"/>
      <c r="QT57" s="814"/>
      <c r="QU57" s="814"/>
      <c r="QV57" s="814"/>
      <c r="QW57" s="814"/>
      <c r="QX57" s="814"/>
      <c r="QY57" s="814"/>
      <c r="QZ57" s="814"/>
      <c r="RA57" s="814"/>
      <c r="RB57" s="814"/>
      <c r="RC57" s="814"/>
      <c r="RD57" s="814"/>
      <c r="RE57" s="814"/>
      <c r="RF57" s="814"/>
      <c r="RG57" s="814"/>
      <c r="RH57" s="814"/>
      <c r="RI57" s="814"/>
      <c r="RJ57" s="814"/>
      <c r="RK57" s="814"/>
      <c r="RL57" s="814"/>
      <c r="RM57" s="814"/>
      <c r="RN57" s="814"/>
      <c r="RO57" s="814"/>
      <c r="RP57" s="814"/>
      <c r="RQ57" s="814"/>
      <c r="RR57" s="814"/>
      <c r="RS57" s="814"/>
      <c r="RT57" s="814"/>
      <c r="RU57" s="814"/>
      <c r="RV57" s="814"/>
      <c r="RW57" s="814"/>
      <c r="RX57" s="814"/>
    </row>
    <row r="58" spans="1:492" s="169" customFormat="1">
      <c r="A58" s="814"/>
      <c r="B58" s="814"/>
      <c r="C58" s="814"/>
      <c r="D58" s="814"/>
      <c r="E58" s="814"/>
      <c r="F58" s="814"/>
      <c r="G58" s="814"/>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04"/>
      <c r="AN58" s="804"/>
      <c r="AO58" s="804"/>
      <c r="AP58" s="804"/>
      <c r="AQ58" s="804"/>
      <c r="AR58" s="804"/>
      <c r="AS58" s="804"/>
      <c r="AT58" s="804"/>
      <c r="AU58" s="804"/>
      <c r="AV58" s="804"/>
      <c r="AW58" s="804"/>
      <c r="AX58" s="804"/>
      <c r="AY58" s="804"/>
      <c r="AZ58" s="804"/>
      <c r="BA58" s="804"/>
      <c r="BB58" s="804"/>
      <c r="BC58" s="804"/>
      <c r="BD58" s="804"/>
      <c r="BE58" s="804"/>
      <c r="BF58" s="804"/>
      <c r="BG58" s="804"/>
      <c r="BH58" s="804"/>
      <c r="BI58" s="804"/>
      <c r="BJ58" s="804"/>
      <c r="BK58" s="804"/>
      <c r="BL58" s="804"/>
      <c r="BM58" s="804"/>
      <c r="BN58" s="804"/>
      <c r="BO58" s="804"/>
      <c r="BP58" s="804"/>
      <c r="BQ58" s="804"/>
      <c r="BR58" s="814"/>
      <c r="BS58" s="814"/>
      <c r="BT58" s="814"/>
      <c r="BU58" s="814"/>
      <c r="BV58" s="814"/>
      <c r="BW58" s="814"/>
      <c r="BX58" s="814"/>
      <c r="BY58" s="814"/>
      <c r="BZ58" s="814"/>
      <c r="CA58" s="814"/>
      <c r="CB58" s="814"/>
      <c r="CC58" s="814"/>
      <c r="CD58" s="814"/>
      <c r="CE58" s="814"/>
      <c r="CF58" s="814"/>
      <c r="CG58" s="814"/>
      <c r="CH58" s="814"/>
      <c r="CI58" s="814"/>
      <c r="CJ58" s="814"/>
      <c r="CK58" s="814"/>
      <c r="CL58" s="814"/>
      <c r="CM58" s="814"/>
      <c r="CN58" s="814"/>
      <c r="CO58" s="814"/>
      <c r="CP58" s="814"/>
      <c r="CQ58" s="814"/>
      <c r="CR58" s="814"/>
      <c r="CS58" s="814"/>
      <c r="CT58" s="814"/>
      <c r="CU58" s="814"/>
      <c r="CV58" s="814"/>
      <c r="CW58" s="814"/>
      <c r="CX58" s="814"/>
      <c r="CY58" s="814"/>
      <c r="CZ58" s="814"/>
      <c r="DA58" s="814"/>
      <c r="DB58" s="814"/>
      <c r="DC58" s="814"/>
      <c r="DD58" s="814"/>
      <c r="DE58" s="814"/>
      <c r="DF58" s="814"/>
      <c r="DG58" s="814"/>
      <c r="DH58" s="814"/>
      <c r="DI58" s="814"/>
      <c r="DJ58" s="814"/>
      <c r="DK58" s="814"/>
      <c r="DL58" s="814"/>
      <c r="DM58" s="814"/>
      <c r="DN58" s="814"/>
      <c r="DO58" s="814"/>
      <c r="DP58" s="814"/>
      <c r="DQ58" s="814"/>
      <c r="DR58" s="814"/>
      <c r="DS58" s="814"/>
      <c r="DT58" s="814"/>
      <c r="DU58" s="814"/>
      <c r="DV58" s="814"/>
      <c r="DW58" s="814"/>
      <c r="DX58" s="814"/>
      <c r="DY58" s="814"/>
      <c r="DZ58" s="814"/>
      <c r="EA58" s="814"/>
      <c r="EB58" s="814"/>
      <c r="EC58" s="814"/>
      <c r="ED58" s="814"/>
      <c r="EE58" s="814"/>
      <c r="EF58" s="814"/>
      <c r="EG58" s="814"/>
      <c r="EH58" s="814"/>
      <c r="EI58" s="814"/>
      <c r="EJ58" s="814"/>
      <c r="EK58" s="814"/>
      <c r="EL58" s="814"/>
      <c r="EM58" s="814"/>
      <c r="EN58" s="814"/>
      <c r="EO58" s="814"/>
      <c r="EP58" s="814"/>
      <c r="EQ58" s="814"/>
      <c r="ER58" s="814"/>
      <c r="ES58" s="814"/>
      <c r="ET58" s="814"/>
      <c r="EU58" s="814"/>
      <c r="EV58" s="814"/>
      <c r="EW58" s="814"/>
      <c r="EX58" s="814"/>
      <c r="EY58" s="814"/>
      <c r="EZ58" s="814"/>
      <c r="FA58" s="814"/>
      <c r="FB58" s="814"/>
      <c r="FC58" s="814"/>
      <c r="FD58" s="814"/>
      <c r="FE58" s="814"/>
      <c r="FF58" s="814"/>
      <c r="FG58" s="814"/>
      <c r="FH58" s="814"/>
      <c r="FI58" s="814"/>
      <c r="FJ58" s="814"/>
      <c r="FK58" s="814"/>
      <c r="FL58" s="814"/>
      <c r="FM58" s="814"/>
      <c r="FN58" s="814"/>
      <c r="FO58" s="814"/>
      <c r="FP58" s="814"/>
      <c r="FQ58" s="814"/>
      <c r="FR58" s="814"/>
      <c r="FS58" s="814"/>
      <c r="FT58" s="814"/>
      <c r="FU58" s="814"/>
      <c r="FV58" s="814"/>
      <c r="FW58" s="814"/>
      <c r="FX58" s="814"/>
      <c r="FY58" s="814"/>
      <c r="FZ58" s="814"/>
      <c r="GA58" s="814"/>
      <c r="GB58" s="814"/>
      <c r="GC58" s="814"/>
      <c r="GD58" s="814"/>
      <c r="GE58" s="814"/>
      <c r="GF58" s="814"/>
      <c r="GG58" s="814"/>
      <c r="GH58" s="814"/>
      <c r="GI58" s="814"/>
      <c r="GJ58" s="814"/>
      <c r="GK58" s="814"/>
      <c r="GL58" s="814"/>
      <c r="GM58" s="814"/>
      <c r="GN58" s="814"/>
      <c r="GO58" s="814"/>
      <c r="GP58" s="814"/>
      <c r="GQ58" s="814"/>
      <c r="GR58" s="814"/>
      <c r="GS58" s="814"/>
      <c r="GT58" s="814"/>
      <c r="GU58" s="814"/>
      <c r="GV58" s="814"/>
      <c r="GW58" s="814"/>
      <c r="GX58" s="814"/>
      <c r="GY58" s="814"/>
      <c r="GZ58" s="814"/>
      <c r="HA58" s="814"/>
      <c r="HB58" s="814"/>
      <c r="HC58" s="814"/>
      <c r="HD58" s="814"/>
      <c r="HE58" s="814"/>
      <c r="HF58" s="814"/>
      <c r="HG58" s="814"/>
      <c r="HH58" s="814"/>
      <c r="HI58" s="814"/>
      <c r="HJ58" s="814"/>
      <c r="HK58" s="814"/>
      <c r="HL58" s="814"/>
      <c r="HM58" s="814"/>
      <c r="HN58" s="814"/>
      <c r="HO58" s="814"/>
      <c r="HP58" s="814"/>
      <c r="HQ58" s="814"/>
      <c r="HR58" s="814"/>
      <c r="HS58" s="814"/>
      <c r="HT58" s="814"/>
      <c r="HU58" s="814"/>
      <c r="HV58" s="814"/>
      <c r="HW58" s="814"/>
      <c r="HX58" s="814"/>
      <c r="HY58" s="814"/>
      <c r="HZ58" s="814"/>
      <c r="IA58" s="814"/>
      <c r="IB58" s="814"/>
      <c r="IC58" s="814"/>
      <c r="ID58" s="814"/>
      <c r="IE58" s="814"/>
      <c r="IF58" s="814"/>
      <c r="IG58" s="814"/>
      <c r="IH58" s="814"/>
      <c r="II58" s="814"/>
      <c r="IJ58" s="814"/>
      <c r="IK58" s="814"/>
      <c r="IL58" s="814"/>
      <c r="IM58" s="814"/>
      <c r="IN58" s="814"/>
      <c r="IO58" s="814"/>
      <c r="IP58" s="814"/>
      <c r="IQ58" s="814"/>
      <c r="IR58" s="814"/>
      <c r="IS58" s="814"/>
      <c r="IT58" s="814"/>
      <c r="IU58" s="814"/>
      <c r="IV58" s="814"/>
      <c r="IW58" s="814"/>
      <c r="IX58" s="814"/>
      <c r="IY58" s="814"/>
      <c r="IZ58" s="814"/>
      <c r="JA58" s="814"/>
      <c r="JB58" s="814"/>
      <c r="JC58" s="814"/>
      <c r="JD58" s="814"/>
      <c r="JE58" s="814"/>
      <c r="JF58" s="814"/>
      <c r="JG58" s="814"/>
      <c r="JH58" s="814"/>
      <c r="JI58" s="814"/>
      <c r="JJ58" s="814"/>
      <c r="JK58" s="814"/>
      <c r="JL58" s="814"/>
      <c r="JM58" s="814"/>
      <c r="JN58" s="814"/>
      <c r="JO58" s="814"/>
      <c r="JP58" s="814"/>
      <c r="JQ58" s="814"/>
      <c r="JR58" s="814"/>
      <c r="JS58" s="814"/>
      <c r="JT58" s="814"/>
      <c r="JU58" s="814"/>
      <c r="JV58" s="814"/>
      <c r="JW58" s="814"/>
      <c r="JX58" s="814"/>
      <c r="JY58" s="814"/>
      <c r="JZ58" s="814"/>
      <c r="KA58" s="814"/>
      <c r="KB58" s="814"/>
      <c r="KC58" s="814"/>
      <c r="KD58" s="814"/>
      <c r="KE58" s="814"/>
      <c r="KF58" s="814"/>
      <c r="KG58" s="814"/>
      <c r="KH58" s="814"/>
      <c r="KI58" s="814"/>
      <c r="KJ58" s="814"/>
      <c r="KK58" s="814"/>
      <c r="KL58" s="814"/>
      <c r="KM58" s="814"/>
      <c r="KN58" s="814"/>
      <c r="KO58" s="814"/>
      <c r="KP58" s="814"/>
      <c r="KQ58" s="814"/>
      <c r="KR58" s="814"/>
      <c r="KS58" s="814"/>
      <c r="KT58" s="814"/>
      <c r="KU58" s="814"/>
      <c r="KV58" s="814"/>
      <c r="KW58" s="814"/>
      <c r="KX58" s="814"/>
      <c r="KY58" s="814"/>
      <c r="KZ58" s="814"/>
      <c r="LA58" s="814"/>
      <c r="LB58" s="814"/>
      <c r="LC58" s="814"/>
      <c r="LD58" s="814"/>
      <c r="LE58" s="814"/>
      <c r="LF58" s="814"/>
      <c r="LG58" s="814"/>
      <c r="LH58" s="814"/>
      <c r="LI58" s="814"/>
      <c r="LJ58" s="814"/>
      <c r="LK58" s="814"/>
      <c r="LL58" s="814"/>
      <c r="LM58" s="814"/>
      <c r="LN58" s="814"/>
      <c r="LO58" s="814"/>
      <c r="LP58" s="814"/>
      <c r="LQ58" s="814"/>
      <c r="LR58" s="814"/>
      <c r="LS58" s="814"/>
      <c r="LT58" s="814"/>
      <c r="LU58" s="814"/>
      <c r="LV58" s="814"/>
      <c r="LW58" s="814"/>
      <c r="LX58" s="814"/>
      <c r="LY58" s="814"/>
      <c r="LZ58" s="814"/>
      <c r="MA58" s="814"/>
      <c r="MB58" s="814"/>
      <c r="MC58" s="814"/>
      <c r="MD58" s="814"/>
      <c r="ME58" s="814"/>
      <c r="MF58" s="814"/>
      <c r="MG58" s="814"/>
      <c r="MH58" s="814"/>
      <c r="MI58" s="814"/>
      <c r="MJ58" s="814"/>
      <c r="MK58" s="814"/>
      <c r="ML58" s="814"/>
      <c r="MM58" s="814"/>
      <c r="MN58" s="814"/>
      <c r="MO58" s="814"/>
      <c r="MP58" s="814"/>
      <c r="MQ58" s="814"/>
      <c r="MR58" s="814"/>
      <c r="MS58" s="814"/>
      <c r="MT58" s="814"/>
      <c r="MU58" s="814"/>
      <c r="MV58" s="814"/>
      <c r="MW58" s="814"/>
      <c r="MX58" s="814"/>
      <c r="MY58" s="814"/>
      <c r="MZ58" s="814"/>
      <c r="NA58" s="814"/>
      <c r="NB58" s="814"/>
      <c r="NC58" s="814"/>
      <c r="ND58" s="814"/>
      <c r="NE58" s="814"/>
      <c r="NF58" s="814"/>
      <c r="NG58" s="814"/>
      <c r="NH58" s="814"/>
      <c r="NI58" s="814"/>
      <c r="NJ58" s="814"/>
      <c r="NK58" s="814"/>
      <c r="NL58" s="814"/>
      <c r="NM58" s="814"/>
      <c r="NN58" s="814"/>
      <c r="NO58" s="814"/>
      <c r="NP58" s="814"/>
      <c r="NQ58" s="814"/>
      <c r="NR58" s="814"/>
      <c r="NS58" s="814"/>
      <c r="NT58" s="814"/>
      <c r="NU58" s="814"/>
      <c r="NV58" s="814"/>
      <c r="NW58" s="814"/>
      <c r="NX58" s="814"/>
      <c r="NY58" s="814"/>
      <c r="NZ58" s="814"/>
      <c r="OA58" s="814"/>
      <c r="OB58" s="814"/>
      <c r="OC58" s="814"/>
      <c r="OD58" s="814"/>
      <c r="OE58" s="814"/>
      <c r="OF58" s="814"/>
      <c r="OG58" s="814"/>
      <c r="OH58" s="814"/>
      <c r="OI58" s="814"/>
      <c r="OJ58" s="814"/>
      <c r="OK58" s="814"/>
      <c r="OL58" s="814"/>
      <c r="OM58" s="814"/>
      <c r="ON58" s="814"/>
      <c r="OO58" s="814"/>
      <c r="OP58" s="814"/>
      <c r="OQ58" s="814"/>
      <c r="OR58" s="814"/>
      <c r="OS58" s="814"/>
      <c r="OT58" s="814"/>
      <c r="OU58" s="814"/>
      <c r="OV58" s="814"/>
      <c r="OW58" s="814"/>
      <c r="OX58" s="814"/>
      <c r="OY58" s="814"/>
      <c r="OZ58" s="814"/>
      <c r="PA58" s="814"/>
      <c r="PB58" s="814"/>
      <c r="PC58" s="814"/>
      <c r="PD58" s="814"/>
      <c r="PE58" s="814"/>
      <c r="PF58" s="814"/>
      <c r="PG58" s="814"/>
      <c r="PH58" s="814"/>
      <c r="PI58" s="814"/>
      <c r="PJ58" s="814"/>
      <c r="PK58" s="814"/>
      <c r="PL58" s="814"/>
      <c r="PM58" s="814"/>
      <c r="PN58" s="814"/>
      <c r="PO58" s="814"/>
      <c r="PP58" s="814"/>
      <c r="PQ58" s="814"/>
      <c r="PR58" s="814"/>
      <c r="PS58" s="814"/>
      <c r="PT58" s="814"/>
      <c r="PU58" s="814"/>
      <c r="PV58" s="814"/>
      <c r="PW58" s="814"/>
      <c r="PX58" s="814"/>
      <c r="PY58" s="814"/>
      <c r="PZ58" s="814"/>
      <c r="QA58" s="814"/>
      <c r="QB58" s="814"/>
      <c r="QC58" s="814"/>
      <c r="QD58" s="814"/>
      <c r="QE58" s="814"/>
      <c r="QF58" s="814"/>
      <c r="QG58" s="814"/>
      <c r="QH58" s="814"/>
      <c r="QI58" s="814"/>
      <c r="QJ58" s="814"/>
      <c r="QK58" s="814"/>
      <c r="QL58" s="814"/>
      <c r="QM58" s="814"/>
      <c r="QN58" s="814"/>
      <c r="QO58" s="814"/>
      <c r="QP58" s="814"/>
      <c r="QQ58" s="814"/>
      <c r="QR58" s="814"/>
      <c r="QS58" s="814"/>
      <c r="QT58" s="814"/>
      <c r="QU58" s="814"/>
      <c r="QV58" s="814"/>
      <c r="QW58" s="814"/>
      <c r="QX58" s="814"/>
      <c r="QY58" s="814"/>
      <c r="QZ58" s="814"/>
      <c r="RA58" s="814"/>
      <c r="RB58" s="814"/>
      <c r="RC58" s="814"/>
      <c r="RD58" s="814"/>
      <c r="RE58" s="814"/>
      <c r="RF58" s="814"/>
      <c r="RG58" s="814"/>
      <c r="RH58" s="814"/>
      <c r="RI58" s="814"/>
      <c r="RJ58" s="814"/>
      <c r="RK58" s="814"/>
      <c r="RL58" s="814"/>
      <c r="RM58" s="814"/>
      <c r="RN58" s="814"/>
      <c r="RO58" s="814"/>
      <c r="RP58" s="814"/>
      <c r="RQ58" s="814"/>
      <c r="RR58" s="814"/>
      <c r="RS58" s="814"/>
      <c r="RT58" s="814"/>
      <c r="RU58" s="814"/>
      <c r="RV58" s="814"/>
      <c r="RW58" s="814"/>
      <c r="RX58" s="814"/>
    </row>
    <row r="59" spans="1:492" s="169" customFormat="1">
      <c r="A59" s="814"/>
      <c r="B59" s="814"/>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04"/>
      <c r="AN59" s="804"/>
      <c r="AO59" s="804"/>
      <c r="AP59" s="804"/>
      <c r="AQ59" s="804"/>
      <c r="AR59" s="804"/>
      <c r="AS59" s="804"/>
      <c r="AT59" s="804"/>
      <c r="AU59" s="804"/>
      <c r="AV59" s="804"/>
      <c r="AW59" s="804"/>
      <c r="AX59" s="804"/>
      <c r="AY59" s="804"/>
      <c r="AZ59" s="804"/>
      <c r="BA59" s="804"/>
      <c r="BB59" s="804"/>
      <c r="BC59" s="804"/>
      <c r="BD59" s="804"/>
      <c r="BE59" s="804"/>
      <c r="BF59" s="804"/>
      <c r="BG59" s="804"/>
      <c r="BH59" s="804"/>
      <c r="BI59" s="804"/>
      <c r="BJ59" s="804"/>
      <c r="BK59" s="804"/>
      <c r="BL59" s="804"/>
      <c r="BM59" s="804"/>
      <c r="BN59" s="804"/>
      <c r="BO59" s="804"/>
      <c r="BP59" s="804"/>
      <c r="BQ59" s="804"/>
      <c r="BR59" s="814"/>
      <c r="BS59" s="814"/>
      <c r="BT59" s="814"/>
      <c r="BU59" s="814"/>
      <c r="BV59" s="814"/>
      <c r="BW59" s="814"/>
      <c r="BX59" s="814"/>
      <c r="BY59" s="814"/>
      <c r="BZ59" s="814"/>
      <c r="CA59" s="814"/>
      <c r="CB59" s="814"/>
      <c r="CC59" s="814"/>
      <c r="CD59" s="814"/>
      <c r="CE59" s="814"/>
      <c r="CF59" s="814"/>
      <c r="CG59" s="814"/>
      <c r="CH59" s="814"/>
      <c r="CI59" s="814"/>
      <c r="CJ59" s="814"/>
      <c r="CK59" s="814"/>
      <c r="CL59" s="814"/>
      <c r="CM59" s="814"/>
      <c r="CN59" s="814"/>
      <c r="CO59" s="814"/>
      <c r="CP59" s="814"/>
      <c r="CQ59" s="814"/>
      <c r="CR59" s="814"/>
      <c r="CS59" s="814"/>
      <c r="CT59" s="814"/>
      <c r="CU59" s="814"/>
      <c r="CV59" s="814"/>
      <c r="CW59" s="814"/>
      <c r="CX59" s="814"/>
      <c r="CY59" s="814"/>
      <c r="CZ59" s="814"/>
      <c r="DA59" s="814"/>
      <c r="DB59" s="814"/>
      <c r="DC59" s="814"/>
      <c r="DD59" s="814"/>
      <c r="DE59" s="814"/>
      <c r="DF59" s="814"/>
      <c r="DG59" s="814"/>
      <c r="DH59" s="814"/>
      <c r="DI59" s="814"/>
      <c r="DJ59" s="814"/>
      <c r="DK59" s="814"/>
      <c r="DL59" s="814"/>
      <c r="DM59" s="814"/>
      <c r="DN59" s="814"/>
      <c r="DO59" s="814"/>
      <c r="DP59" s="814"/>
      <c r="DQ59" s="814"/>
      <c r="DR59" s="814"/>
      <c r="DS59" s="814"/>
      <c r="DT59" s="814"/>
      <c r="DU59" s="814"/>
      <c r="DV59" s="814"/>
      <c r="DW59" s="814"/>
      <c r="DX59" s="814"/>
      <c r="DY59" s="814"/>
      <c r="DZ59" s="814"/>
      <c r="EA59" s="814"/>
      <c r="EB59" s="814"/>
      <c r="EC59" s="814"/>
      <c r="ED59" s="814"/>
      <c r="EE59" s="814"/>
      <c r="EF59" s="814"/>
      <c r="EG59" s="814"/>
      <c r="EH59" s="814"/>
      <c r="EI59" s="814"/>
      <c r="EJ59" s="814"/>
      <c r="EK59" s="814"/>
      <c r="EL59" s="814"/>
      <c r="EM59" s="814"/>
      <c r="EN59" s="814"/>
      <c r="EO59" s="814"/>
      <c r="EP59" s="814"/>
      <c r="EQ59" s="814"/>
      <c r="ER59" s="814"/>
      <c r="ES59" s="814"/>
      <c r="ET59" s="814"/>
      <c r="EU59" s="814"/>
      <c r="EV59" s="814"/>
      <c r="EW59" s="814"/>
      <c r="EX59" s="814"/>
      <c r="EY59" s="814"/>
      <c r="EZ59" s="814"/>
      <c r="FA59" s="814"/>
      <c r="FB59" s="814"/>
      <c r="FC59" s="814"/>
      <c r="FD59" s="814"/>
      <c r="FE59" s="814"/>
      <c r="FF59" s="814"/>
      <c r="FG59" s="814"/>
      <c r="FH59" s="814"/>
      <c r="FI59" s="814"/>
      <c r="FJ59" s="814"/>
      <c r="FK59" s="814"/>
      <c r="FL59" s="814"/>
      <c r="FM59" s="814"/>
      <c r="FN59" s="814"/>
      <c r="FO59" s="814"/>
      <c r="FP59" s="814"/>
      <c r="FQ59" s="814"/>
      <c r="FR59" s="814"/>
      <c r="FS59" s="814"/>
      <c r="FT59" s="814"/>
      <c r="FU59" s="814"/>
      <c r="FV59" s="814"/>
      <c r="FW59" s="814"/>
      <c r="FX59" s="814"/>
      <c r="FY59" s="814"/>
      <c r="FZ59" s="814"/>
      <c r="GA59" s="814"/>
      <c r="GB59" s="814"/>
      <c r="GC59" s="814"/>
      <c r="GD59" s="814"/>
      <c r="GE59" s="814"/>
      <c r="GF59" s="814"/>
      <c r="GG59" s="814"/>
      <c r="GH59" s="814"/>
      <c r="GI59" s="814"/>
      <c r="GJ59" s="814"/>
      <c r="GK59" s="814"/>
      <c r="GL59" s="814"/>
      <c r="GM59" s="814"/>
      <c r="GN59" s="814"/>
      <c r="GO59" s="814"/>
      <c r="GP59" s="814"/>
      <c r="GQ59" s="814"/>
      <c r="GR59" s="814"/>
      <c r="GS59" s="814"/>
      <c r="GT59" s="814"/>
      <c r="GU59" s="814"/>
      <c r="GV59" s="814"/>
      <c r="GW59" s="814"/>
      <c r="GX59" s="814"/>
      <c r="GY59" s="814"/>
      <c r="GZ59" s="814"/>
      <c r="HA59" s="814"/>
      <c r="HB59" s="814"/>
      <c r="HC59" s="814"/>
      <c r="HD59" s="814"/>
      <c r="HE59" s="814"/>
      <c r="HF59" s="814"/>
      <c r="HG59" s="814"/>
      <c r="HH59" s="814"/>
      <c r="HI59" s="814"/>
      <c r="HJ59" s="814"/>
      <c r="HK59" s="814"/>
      <c r="HL59" s="814"/>
      <c r="HM59" s="814"/>
      <c r="HN59" s="814"/>
      <c r="HO59" s="814"/>
      <c r="HP59" s="814"/>
      <c r="HQ59" s="814"/>
      <c r="HR59" s="814"/>
      <c r="HS59" s="814"/>
      <c r="HT59" s="814"/>
      <c r="HU59" s="814"/>
      <c r="HV59" s="814"/>
      <c r="HW59" s="814"/>
      <c r="HX59" s="814"/>
      <c r="HY59" s="814"/>
      <c r="HZ59" s="814"/>
      <c r="IA59" s="814"/>
      <c r="IB59" s="814"/>
      <c r="IC59" s="814"/>
      <c r="ID59" s="814"/>
      <c r="IE59" s="814"/>
      <c r="IF59" s="814"/>
      <c r="IG59" s="814"/>
      <c r="IH59" s="814"/>
      <c r="II59" s="814"/>
      <c r="IJ59" s="814"/>
      <c r="IK59" s="814"/>
      <c r="IL59" s="814"/>
      <c r="IM59" s="814"/>
      <c r="IN59" s="814"/>
      <c r="IO59" s="814"/>
      <c r="IP59" s="814"/>
      <c r="IQ59" s="814"/>
      <c r="IR59" s="814"/>
      <c r="IS59" s="814"/>
      <c r="IT59" s="814"/>
      <c r="IU59" s="814"/>
      <c r="IV59" s="814"/>
      <c r="IW59" s="814"/>
      <c r="IX59" s="814"/>
      <c r="IY59" s="814"/>
      <c r="IZ59" s="814"/>
      <c r="JA59" s="814"/>
      <c r="JB59" s="814"/>
      <c r="JC59" s="814"/>
      <c r="JD59" s="814"/>
      <c r="JE59" s="814"/>
      <c r="JF59" s="814"/>
      <c r="JG59" s="814"/>
      <c r="JH59" s="814"/>
      <c r="JI59" s="814"/>
      <c r="JJ59" s="814"/>
      <c r="JK59" s="814"/>
      <c r="JL59" s="814"/>
      <c r="JM59" s="814"/>
      <c r="JN59" s="814"/>
      <c r="JO59" s="814"/>
      <c r="JP59" s="814"/>
      <c r="JQ59" s="814"/>
      <c r="JR59" s="814"/>
      <c r="JS59" s="814"/>
      <c r="JT59" s="814"/>
      <c r="JU59" s="814"/>
      <c r="JV59" s="814"/>
      <c r="JW59" s="814"/>
      <c r="JX59" s="814"/>
      <c r="JY59" s="814"/>
      <c r="JZ59" s="814"/>
      <c r="KA59" s="814"/>
      <c r="KB59" s="814"/>
      <c r="KC59" s="814"/>
      <c r="KD59" s="814"/>
      <c r="KE59" s="814"/>
      <c r="KF59" s="814"/>
      <c r="KG59" s="814"/>
      <c r="KH59" s="814"/>
      <c r="KI59" s="814"/>
      <c r="KJ59" s="814"/>
      <c r="KK59" s="814"/>
      <c r="KL59" s="814"/>
      <c r="KM59" s="814"/>
      <c r="KN59" s="814"/>
      <c r="KO59" s="814"/>
      <c r="KP59" s="814"/>
      <c r="KQ59" s="814"/>
      <c r="KR59" s="814"/>
      <c r="KS59" s="814"/>
      <c r="KT59" s="814"/>
      <c r="KU59" s="814"/>
      <c r="KV59" s="814"/>
      <c r="KW59" s="814"/>
      <c r="KX59" s="814"/>
      <c r="KY59" s="814"/>
      <c r="KZ59" s="814"/>
      <c r="LA59" s="814"/>
      <c r="LB59" s="814"/>
      <c r="LC59" s="814"/>
      <c r="LD59" s="814"/>
      <c r="LE59" s="814"/>
      <c r="LF59" s="814"/>
      <c r="LG59" s="814"/>
      <c r="LH59" s="814"/>
      <c r="LI59" s="814"/>
      <c r="LJ59" s="814"/>
      <c r="LK59" s="814"/>
      <c r="LL59" s="814"/>
      <c r="LM59" s="814"/>
      <c r="LN59" s="814"/>
      <c r="LO59" s="814"/>
      <c r="LP59" s="814"/>
      <c r="LQ59" s="814"/>
      <c r="LR59" s="814"/>
      <c r="LS59" s="814"/>
      <c r="LT59" s="814"/>
      <c r="LU59" s="814"/>
      <c r="LV59" s="814"/>
      <c r="LW59" s="814"/>
      <c r="LX59" s="814"/>
      <c r="LY59" s="814"/>
      <c r="LZ59" s="814"/>
      <c r="MA59" s="814"/>
      <c r="MB59" s="814"/>
      <c r="MC59" s="814"/>
      <c r="MD59" s="814"/>
      <c r="ME59" s="814"/>
      <c r="MF59" s="814"/>
      <c r="MG59" s="814"/>
      <c r="MH59" s="814"/>
      <c r="MI59" s="814"/>
      <c r="MJ59" s="814"/>
      <c r="MK59" s="814"/>
      <c r="ML59" s="814"/>
      <c r="MM59" s="814"/>
      <c r="MN59" s="814"/>
      <c r="MO59" s="814"/>
      <c r="MP59" s="814"/>
      <c r="MQ59" s="814"/>
      <c r="MR59" s="814"/>
      <c r="MS59" s="814"/>
      <c r="MT59" s="814"/>
      <c r="MU59" s="814"/>
      <c r="MV59" s="814"/>
      <c r="MW59" s="814"/>
      <c r="MX59" s="814"/>
      <c r="MY59" s="814"/>
      <c r="MZ59" s="814"/>
      <c r="NA59" s="814"/>
      <c r="NB59" s="814"/>
      <c r="NC59" s="814"/>
      <c r="ND59" s="814"/>
      <c r="NE59" s="814"/>
      <c r="NF59" s="814"/>
      <c r="NG59" s="814"/>
      <c r="NH59" s="814"/>
      <c r="NI59" s="814"/>
      <c r="NJ59" s="814"/>
      <c r="NK59" s="814"/>
      <c r="NL59" s="814"/>
      <c r="NM59" s="814"/>
      <c r="NN59" s="814"/>
      <c r="NO59" s="814"/>
      <c r="NP59" s="814"/>
      <c r="NQ59" s="814"/>
      <c r="NR59" s="814"/>
      <c r="NS59" s="814"/>
      <c r="NT59" s="814"/>
      <c r="NU59" s="814"/>
      <c r="NV59" s="814"/>
      <c r="NW59" s="814"/>
      <c r="NX59" s="814"/>
      <c r="NY59" s="814"/>
      <c r="NZ59" s="814"/>
      <c r="OA59" s="814"/>
      <c r="OB59" s="814"/>
      <c r="OC59" s="814"/>
      <c r="OD59" s="814"/>
      <c r="OE59" s="814"/>
      <c r="OF59" s="814"/>
      <c r="OG59" s="814"/>
      <c r="OH59" s="814"/>
      <c r="OI59" s="814"/>
      <c r="OJ59" s="814"/>
      <c r="OK59" s="814"/>
      <c r="OL59" s="814"/>
      <c r="OM59" s="814"/>
      <c r="ON59" s="814"/>
      <c r="OO59" s="814"/>
      <c r="OP59" s="814"/>
      <c r="OQ59" s="814"/>
      <c r="OR59" s="814"/>
      <c r="OS59" s="814"/>
      <c r="OT59" s="814"/>
      <c r="OU59" s="814"/>
      <c r="OV59" s="814"/>
      <c r="OW59" s="814"/>
      <c r="OX59" s="814"/>
      <c r="OY59" s="814"/>
      <c r="OZ59" s="814"/>
      <c r="PA59" s="814"/>
      <c r="PB59" s="814"/>
      <c r="PC59" s="814"/>
      <c r="PD59" s="814"/>
      <c r="PE59" s="814"/>
      <c r="PF59" s="814"/>
      <c r="PG59" s="814"/>
      <c r="PH59" s="814"/>
      <c r="PI59" s="814"/>
      <c r="PJ59" s="814"/>
      <c r="PK59" s="814"/>
      <c r="PL59" s="814"/>
      <c r="PM59" s="814"/>
      <c r="PN59" s="814"/>
      <c r="PO59" s="814"/>
      <c r="PP59" s="814"/>
      <c r="PQ59" s="814"/>
      <c r="PR59" s="814"/>
      <c r="PS59" s="814"/>
      <c r="PT59" s="814"/>
      <c r="PU59" s="814"/>
      <c r="PV59" s="814"/>
      <c r="PW59" s="814"/>
      <c r="PX59" s="814"/>
      <c r="PY59" s="814"/>
      <c r="PZ59" s="814"/>
      <c r="QA59" s="814"/>
      <c r="QB59" s="814"/>
      <c r="QC59" s="814"/>
      <c r="QD59" s="814"/>
      <c r="QE59" s="814"/>
      <c r="QF59" s="814"/>
      <c r="QG59" s="814"/>
      <c r="QH59" s="814"/>
      <c r="QI59" s="814"/>
      <c r="QJ59" s="814"/>
      <c r="QK59" s="814"/>
      <c r="QL59" s="814"/>
      <c r="QM59" s="814"/>
      <c r="QN59" s="814"/>
      <c r="QO59" s="814"/>
      <c r="QP59" s="814"/>
      <c r="QQ59" s="814"/>
      <c r="QR59" s="814"/>
      <c r="QS59" s="814"/>
      <c r="QT59" s="814"/>
      <c r="QU59" s="814"/>
      <c r="QV59" s="814"/>
      <c r="QW59" s="814"/>
      <c r="QX59" s="814"/>
      <c r="QY59" s="814"/>
      <c r="QZ59" s="814"/>
      <c r="RA59" s="814"/>
      <c r="RB59" s="814"/>
      <c r="RC59" s="814"/>
      <c r="RD59" s="814"/>
      <c r="RE59" s="814"/>
      <c r="RF59" s="814"/>
      <c r="RG59" s="814"/>
      <c r="RH59" s="814"/>
      <c r="RI59" s="814"/>
      <c r="RJ59" s="814"/>
      <c r="RK59" s="814"/>
      <c r="RL59" s="814"/>
      <c r="RM59" s="814"/>
      <c r="RN59" s="814"/>
      <c r="RO59" s="814"/>
      <c r="RP59" s="814"/>
      <c r="RQ59" s="814"/>
      <c r="RR59" s="814"/>
      <c r="RS59" s="814"/>
      <c r="RT59" s="814"/>
      <c r="RU59" s="814"/>
      <c r="RV59" s="814"/>
      <c r="RW59" s="814"/>
      <c r="RX59" s="814"/>
    </row>
    <row r="60" spans="1:492" s="169" customFormat="1">
      <c r="A60" s="814"/>
      <c r="B60" s="814"/>
      <c r="C60" s="814"/>
      <c r="D60" s="814"/>
      <c r="E60" s="814"/>
      <c r="F60" s="814"/>
      <c r="G60" s="814"/>
      <c r="H60" s="814"/>
      <c r="I60" s="814"/>
      <c r="J60" s="814"/>
      <c r="K60" s="814"/>
      <c r="L60" s="814"/>
      <c r="M60" s="814"/>
      <c r="N60" s="814"/>
      <c r="O60" s="814"/>
      <c r="P60" s="814"/>
      <c r="Q60" s="814"/>
      <c r="R60" s="814"/>
      <c r="S60" s="814"/>
      <c r="T60" s="814"/>
      <c r="U60" s="814"/>
      <c r="V60" s="814"/>
      <c r="W60" s="814"/>
      <c r="X60" s="814"/>
      <c r="Y60" s="814"/>
      <c r="Z60" s="814"/>
      <c r="AA60" s="814"/>
      <c r="AB60" s="814"/>
      <c r="AC60" s="814"/>
      <c r="AD60" s="814"/>
      <c r="AE60" s="814"/>
      <c r="AF60" s="814"/>
      <c r="AG60" s="814"/>
      <c r="AH60" s="814"/>
      <c r="AI60" s="814"/>
      <c r="AJ60" s="814"/>
      <c r="AK60" s="814"/>
      <c r="AL60" s="814"/>
      <c r="AM60" s="804"/>
      <c r="AN60" s="804"/>
      <c r="AO60" s="804"/>
      <c r="AP60" s="804"/>
      <c r="AQ60" s="804"/>
      <c r="AR60" s="804"/>
      <c r="AS60" s="804"/>
      <c r="AT60" s="804"/>
      <c r="AU60" s="804"/>
      <c r="AV60" s="804"/>
      <c r="AW60" s="804"/>
      <c r="AX60" s="804"/>
      <c r="AY60" s="804"/>
      <c r="AZ60" s="804"/>
      <c r="BA60" s="804"/>
      <c r="BB60" s="804"/>
      <c r="BC60" s="804"/>
      <c r="BD60" s="804"/>
      <c r="BE60" s="804"/>
      <c r="BF60" s="804"/>
      <c r="BG60" s="804"/>
      <c r="BH60" s="804"/>
      <c r="BI60" s="804"/>
      <c r="BJ60" s="804"/>
      <c r="BK60" s="804"/>
      <c r="BL60" s="804"/>
      <c r="BM60" s="804"/>
      <c r="BN60" s="804"/>
      <c r="BO60" s="804"/>
      <c r="BP60" s="804"/>
      <c r="BQ60" s="804"/>
      <c r="BR60" s="814"/>
      <c r="BS60" s="814"/>
      <c r="BT60" s="814"/>
      <c r="BU60" s="814"/>
      <c r="BV60" s="814"/>
      <c r="BW60" s="814"/>
      <c r="BX60" s="814"/>
      <c r="BY60" s="814"/>
      <c r="BZ60" s="814"/>
      <c r="CA60" s="814"/>
      <c r="CB60" s="814"/>
      <c r="CC60" s="814"/>
      <c r="CD60" s="814"/>
      <c r="CE60" s="814"/>
      <c r="CF60" s="814"/>
      <c r="CG60" s="814"/>
      <c r="CH60" s="814"/>
      <c r="CI60" s="814"/>
      <c r="CJ60" s="814"/>
      <c r="CK60" s="814"/>
      <c r="CL60" s="814"/>
      <c r="CM60" s="814"/>
      <c r="CN60" s="814"/>
      <c r="CO60" s="814"/>
      <c r="CP60" s="814"/>
      <c r="CQ60" s="814"/>
      <c r="CR60" s="814"/>
      <c r="CS60" s="814"/>
      <c r="CT60" s="814"/>
      <c r="CU60" s="814"/>
      <c r="CV60" s="814"/>
      <c r="CW60" s="814"/>
      <c r="CX60" s="814"/>
      <c r="CY60" s="814"/>
      <c r="CZ60" s="814"/>
      <c r="DA60" s="814"/>
      <c r="DB60" s="814"/>
      <c r="DC60" s="814"/>
      <c r="DD60" s="814"/>
      <c r="DE60" s="814"/>
      <c r="DF60" s="814"/>
      <c r="DG60" s="814"/>
      <c r="DH60" s="814"/>
      <c r="DI60" s="814"/>
      <c r="DJ60" s="814"/>
      <c r="DK60" s="814"/>
      <c r="DL60" s="814"/>
      <c r="DM60" s="814"/>
      <c r="DN60" s="814"/>
      <c r="DO60" s="814"/>
      <c r="DP60" s="814"/>
      <c r="DQ60" s="814"/>
      <c r="DR60" s="814"/>
      <c r="DS60" s="814"/>
      <c r="DT60" s="814"/>
      <c r="DU60" s="814"/>
      <c r="DV60" s="814"/>
      <c r="DW60" s="814"/>
      <c r="DX60" s="814"/>
      <c r="DY60" s="814"/>
      <c r="DZ60" s="814"/>
      <c r="EA60" s="814"/>
      <c r="EB60" s="814"/>
      <c r="EC60" s="814"/>
      <c r="ED60" s="814"/>
      <c r="EE60" s="814"/>
      <c r="EF60" s="814"/>
      <c r="EG60" s="814"/>
      <c r="EH60" s="814"/>
      <c r="EI60" s="814"/>
      <c r="EJ60" s="814"/>
      <c r="EK60" s="814"/>
      <c r="EL60" s="814"/>
      <c r="EM60" s="814"/>
      <c r="EN60" s="814"/>
      <c r="EO60" s="814"/>
      <c r="EP60" s="814"/>
      <c r="EQ60" s="814"/>
      <c r="ER60" s="814"/>
      <c r="ES60" s="814"/>
      <c r="ET60" s="814"/>
      <c r="EU60" s="814"/>
      <c r="EV60" s="814"/>
      <c r="EW60" s="814"/>
      <c r="EX60" s="814"/>
      <c r="EY60" s="814"/>
      <c r="EZ60" s="814"/>
      <c r="FA60" s="814"/>
      <c r="FB60" s="814"/>
      <c r="FC60" s="814"/>
      <c r="FD60" s="814"/>
      <c r="FE60" s="814"/>
      <c r="FF60" s="814"/>
      <c r="FG60" s="814"/>
      <c r="FH60" s="814"/>
      <c r="FI60" s="814"/>
      <c r="FJ60" s="814"/>
      <c r="FK60" s="814"/>
      <c r="FL60" s="814"/>
      <c r="FM60" s="814"/>
      <c r="FN60" s="814"/>
      <c r="FO60" s="814"/>
      <c r="FP60" s="814"/>
      <c r="FQ60" s="814"/>
      <c r="FR60" s="814"/>
      <c r="FS60" s="814"/>
      <c r="FT60" s="814"/>
      <c r="FU60" s="814"/>
      <c r="FV60" s="814"/>
      <c r="FW60" s="814"/>
      <c r="FX60" s="814"/>
      <c r="FY60" s="814"/>
      <c r="FZ60" s="814"/>
      <c r="GA60" s="814"/>
      <c r="GB60" s="814"/>
      <c r="GC60" s="814"/>
      <c r="GD60" s="814"/>
      <c r="GE60" s="814"/>
      <c r="GF60" s="814"/>
      <c r="GG60" s="814"/>
      <c r="GH60" s="814"/>
      <c r="GI60" s="814"/>
      <c r="GJ60" s="814"/>
      <c r="GK60" s="814"/>
      <c r="GL60" s="814"/>
      <c r="GM60" s="814"/>
      <c r="GN60" s="814"/>
      <c r="GO60" s="814"/>
      <c r="GP60" s="814"/>
      <c r="GQ60" s="814"/>
      <c r="GR60" s="814"/>
      <c r="GS60" s="814"/>
      <c r="GT60" s="814"/>
      <c r="GU60" s="814"/>
      <c r="GV60" s="814"/>
      <c r="GW60" s="814"/>
      <c r="GX60" s="814"/>
      <c r="GY60" s="814"/>
      <c r="GZ60" s="814"/>
      <c r="HA60" s="814"/>
      <c r="HB60" s="814"/>
      <c r="HC60" s="814"/>
      <c r="HD60" s="814"/>
      <c r="HE60" s="814"/>
      <c r="HF60" s="814"/>
      <c r="HG60" s="814"/>
      <c r="HH60" s="814"/>
      <c r="HI60" s="814"/>
      <c r="HJ60" s="814"/>
      <c r="HK60" s="814"/>
      <c r="HL60" s="814"/>
      <c r="HM60" s="814"/>
      <c r="HN60" s="814"/>
      <c r="HO60" s="814"/>
      <c r="HP60" s="814"/>
      <c r="HQ60" s="814"/>
      <c r="HR60" s="814"/>
      <c r="HS60" s="814"/>
      <c r="HT60" s="814"/>
      <c r="HU60" s="814"/>
      <c r="HV60" s="814"/>
      <c r="HW60" s="814"/>
      <c r="HX60" s="814"/>
      <c r="HY60" s="814"/>
      <c r="HZ60" s="814"/>
      <c r="IA60" s="814"/>
      <c r="IB60" s="814"/>
      <c r="IC60" s="814"/>
      <c r="ID60" s="814"/>
      <c r="IE60" s="814"/>
      <c r="IF60" s="814"/>
      <c r="IG60" s="814"/>
      <c r="IH60" s="814"/>
      <c r="II60" s="814"/>
      <c r="IJ60" s="814"/>
      <c r="IK60" s="814"/>
      <c r="IL60" s="814"/>
      <c r="IM60" s="814"/>
      <c r="IN60" s="814"/>
      <c r="IO60" s="814"/>
      <c r="IP60" s="814"/>
      <c r="IQ60" s="814"/>
      <c r="IR60" s="814"/>
      <c r="IS60" s="814"/>
      <c r="IT60" s="814"/>
      <c r="IU60" s="814"/>
      <c r="IV60" s="814"/>
      <c r="IW60" s="814"/>
      <c r="IX60" s="814"/>
      <c r="IY60" s="814"/>
      <c r="IZ60" s="814"/>
      <c r="JA60" s="814"/>
      <c r="JB60" s="814"/>
      <c r="JC60" s="814"/>
      <c r="JD60" s="814"/>
      <c r="JE60" s="814"/>
      <c r="JF60" s="814"/>
      <c r="JG60" s="814"/>
      <c r="JH60" s="814"/>
      <c r="JI60" s="814"/>
      <c r="JJ60" s="814"/>
      <c r="JK60" s="814"/>
      <c r="JL60" s="814"/>
      <c r="JM60" s="814"/>
      <c r="JN60" s="814"/>
      <c r="JO60" s="814"/>
      <c r="JP60" s="814"/>
      <c r="JQ60" s="814"/>
      <c r="JR60" s="814"/>
      <c r="JS60" s="814"/>
      <c r="JT60" s="814"/>
      <c r="JU60" s="814"/>
      <c r="JV60" s="814"/>
      <c r="JW60" s="814"/>
      <c r="JX60" s="814"/>
      <c r="JY60" s="814"/>
      <c r="JZ60" s="814"/>
      <c r="KA60" s="814"/>
      <c r="KB60" s="814"/>
      <c r="KC60" s="814"/>
      <c r="KD60" s="814"/>
      <c r="KE60" s="814"/>
      <c r="KF60" s="814"/>
      <c r="KG60" s="814"/>
      <c r="KH60" s="814"/>
      <c r="KI60" s="814"/>
      <c r="KJ60" s="814"/>
      <c r="KK60" s="814"/>
      <c r="KL60" s="814"/>
      <c r="KM60" s="814"/>
      <c r="KN60" s="814"/>
      <c r="KO60" s="814"/>
      <c r="KP60" s="814"/>
      <c r="KQ60" s="814"/>
      <c r="KR60" s="814"/>
      <c r="KS60" s="814"/>
      <c r="KT60" s="814"/>
      <c r="KU60" s="814"/>
      <c r="KV60" s="814"/>
      <c r="KW60" s="814"/>
      <c r="KX60" s="814"/>
      <c r="KY60" s="814"/>
      <c r="KZ60" s="814"/>
      <c r="LA60" s="814"/>
      <c r="LB60" s="814"/>
      <c r="LC60" s="814"/>
      <c r="LD60" s="814"/>
      <c r="LE60" s="814"/>
      <c r="LF60" s="814"/>
      <c r="LG60" s="814"/>
      <c r="LH60" s="814"/>
      <c r="LI60" s="814"/>
      <c r="LJ60" s="814"/>
      <c r="LK60" s="814"/>
      <c r="LL60" s="814"/>
      <c r="LM60" s="814"/>
      <c r="LN60" s="814"/>
      <c r="LO60" s="814"/>
      <c r="LP60" s="814"/>
      <c r="LQ60" s="814"/>
      <c r="LR60" s="814"/>
      <c r="LS60" s="814"/>
      <c r="LT60" s="814"/>
      <c r="LU60" s="814"/>
      <c r="LV60" s="814"/>
      <c r="LW60" s="814"/>
      <c r="LX60" s="814"/>
      <c r="LY60" s="814"/>
      <c r="LZ60" s="814"/>
      <c r="MA60" s="814"/>
      <c r="MB60" s="814"/>
      <c r="MC60" s="814"/>
      <c r="MD60" s="814"/>
      <c r="ME60" s="814"/>
      <c r="MF60" s="814"/>
      <c r="MG60" s="814"/>
      <c r="MH60" s="814"/>
      <c r="MI60" s="814"/>
      <c r="MJ60" s="814"/>
      <c r="MK60" s="814"/>
      <c r="ML60" s="814"/>
      <c r="MM60" s="814"/>
      <c r="MN60" s="814"/>
      <c r="MO60" s="814"/>
      <c r="MP60" s="814"/>
      <c r="MQ60" s="814"/>
      <c r="MR60" s="814"/>
      <c r="MS60" s="814"/>
      <c r="MT60" s="814"/>
      <c r="MU60" s="814"/>
      <c r="MV60" s="814"/>
      <c r="MW60" s="814"/>
      <c r="MX60" s="814"/>
      <c r="MY60" s="814"/>
      <c r="MZ60" s="814"/>
      <c r="NA60" s="814"/>
      <c r="NB60" s="814"/>
      <c r="NC60" s="814"/>
      <c r="ND60" s="814"/>
      <c r="NE60" s="814"/>
      <c r="NF60" s="814"/>
      <c r="NG60" s="814"/>
      <c r="NH60" s="814"/>
      <c r="NI60" s="814"/>
      <c r="NJ60" s="814"/>
      <c r="NK60" s="814"/>
      <c r="NL60" s="814"/>
      <c r="NM60" s="814"/>
      <c r="NN60" s="814"/>
      <c r="NO60" s="814"/>
      <c r="NP60" s="814"/>
      <c r="NQ60" s="814"/>
      <c r="NR60" s="814"/>
      <c r="NS60" s="814"/>
      <c r="NT60" s="814"/>
      <c r="NU60" s="814"/>
      <c r="NV60" s="814"/>
      <c r="NW60" s="814"/>
      <c r="NX60" s="814"/>
      <c r="NY60" s="814"/>
      <c r="NZ60" s="814"/>
      <c r="OA60" s="814"/>
      <c r="OB60" s="814"/>
      <c r="OC60" s="814"/>
      <c r="OD60" s="814"/>
      <c r="OE60" s="814"/>
      <c r="OF60" s="814"/>
      <c r="OG60" s="814"/>
      <c r="OH60" s="814"/>
      <c r="OI60" s="814"/>
      <c r="OJ60" s="814"/>
      <c r="OK60" s="814"/>
      <c r="OL60" s="814"/>
      <c r="OM60" s="814"/>
      <c r="ON60" s="814"/>
      <c r="OO60" s="814"/>
      <c r="OP60" s="814"/>
      <c r="OQ60" s="814"/>
      <c r="OR60" s="814"/>
      <c r="OS60" s="814"/>
      <c r="OT60" s="814"/>
      <c r="OU60" s="814"/>
      <c r="OV60" s="814"/>
      <c r="OW60" s="814"/>
      <c r="OX60" s="814"/>
      <c r="OY60" s="814"/>
      <c r="OZ60" s="814"/>
      <c r="PA60" s="814"/>
      <c r="PB60" s="814"/>
      <c r="PC60" s="814"/>
      <c r="PD60" s="814"/>
      <c r="PE60" s="814"/>
      <c r="PF60" s="814"/>
      <c r="PG60" s="814"/>
      <c r="PH60" s="814"/>
      <c r="PI60" s="814"/>
      <c r="PJ60" s="814"/>
      <c r="PK60" s="814"/>
      <c r="PL60" s="814"/>
      <c r="PM60" s="814"/>
      <c r="PN60" s="814"/>
      <c r="PO60" s="814"/>
      <c r="PP60" s="814"/>
      <c r="PQ60" s="814"/>
      <c r="PR60" s="814"/>
      <c r="PS60" s="814"/>
      <c r="PT60" s="814"/>
      <c r="PU60" s="814"/>
      <c r="PV60" s="814"/>
      <c r="PW60" s="814"/>
      <c r="PX60" s="814"/>
      <c r="PY60" s="814"/>
      <c r="PZ60" s="814"/>
      <c r="QA60" s="814"/>
      <c r="QB60" s="814"/>
      <c r="QC60" s="814"/>
      <c r="QD60" s="814"/>
      <c r="QE60" s="814"/>
      <c r="QF60" s="814"/>
      <c r="QG60" s="814"/>
      <c r="QH60" s="814"/>
      <c r="QI60" s="814"/>
      <c r="QJ60" s="814"/>
      <c r="QK60" s="814"/>
      <c r="QL60" s="814"/>
      <c r="QM60" s="814"/>
      <c r="QN60" s="814"/>
      <c r="QO60" s="814"/>
      <c r="QP60" s="814"/>
      <c r="QQ60" s="814"/>
      <c r="QR60" s="814"/>
      <c r="QS60" s="814"/>
      <c r="QT60" s="814"/>
      <c r="QU60" s="814"/>
      <c r="QV60" s="814"/>
      <c r="QW60" s="814"/>
      <c r="QX60" s="814"/>
      <c r="QY60" s="814"/>
      <c r="QZ60" s="814"/>
      <c r="RA60" s="814"/>
      <c r="RB60" s="814"/>
      <c r="RC60" s="814"/>
      <c r="RD60" s="814"/>
      <c r="RE60" s="814"/>
      <c r="RF60" s="814"/>
      <c r="RG60" s="814"/>
      <c r="RH60" s="814"/>
      <c r="RI60" s="814"/>
      <c r="RJ60" s="814"/>
      <c r="RK60" s="814"/>
      <c r="RL60" s="814"/>
      <c r="RM60" s="814"/>
      <c r="RN60" s="814"/>
      <c r="RO60" s="814"/>
      <c r="RP60" s="814"/>
      <c r="RQ60" s="814"/>
      <c r="RR60" s="814"/>
      <c r="RS60" s="814"/>
      <c r="RT60" s="814"/>
      <c r="RU60" s="814"/>
      <c r="RV60" s="814"/>
      <c r="RW60" s="814"/>
      <c r="RX60" s="814"/>
    </row>
    <row r="61" spans="1:492" s="169" customFormat="1">
      <c r="A61" s="814"/>
      <c r="B61" s="814"/>
      <c r="C61" s="814"/>
      <c r="D61" s="814"/>
      <c r="E61" s="814"/>
      <c r="F61" s="814"/>
      <c r="G61" s="814"/>
      <c r="H61" s="814"/>
      <c r="I61" s="814"/>
      <c r="J61" s="814"/>
      <c r="K61" s="814"/>
      <c r="L61" s="814"/>
      <c r="M61" s="814"/>
      <c r="N61" s="814"/>
      <c r="O61" s="814"/>
      <c r="P61" s="814"/>
      <c r="Q61" s="814"/>
      <c r="R61" s="814"/>
      <c r="S61" s="814"/>
      <c r="T61" s="814"/>
      <c r="U61" s="814"/>
      <c r="V61" s="814"/>
      <c r="W61" s="814"/>
      <c r="X61" s="814"/>
      <c r="Y61" s="814"/>
      <c r="Z61" s="814"/>
      <c r="AA61" s="814"/>
      <c r="AB61" s="814"/>
      <c r="AC61" s="814"/>
      <c r="AD61" s="814"/>
      <c r="AE61" s="814"/>
      <c r="AF61" s="814"/>
      <c r="AG61" s="814"/>
      <c r="AH61" s="814"/>
      <c r="AI61" s="814"/>
      <c r="AJ61" s="814"/>
      <c r="AK61" s="814"/>
      <c r="AL61" s="814"/>
      <c r="AM61" s="804"/>
      <c r="AN61" s="804"/>
      <c r="AO61" s="804"/>
      <c r="AP61" s="804"/>
      <c r="AQ61" s="804"/>
      <c r="AR61" s="804"/>
      <c r="AS61" s="804"/>
      <c r="AT61" s="804"/>
      <c r="AU61" s="804"/>
      <c r="AV61" s="804"/>
      <c r="AW61" s="804"/>
      <c r="AX61" s="804"/>
      <c r="AY61" s="804"/>
      <c r="AZ61" s="804"/>
      <c r="BA61" s="804"/>
      <c r="BB61" s="804"/>
      <c r="BC61" s="804"/>
      <c r="BD61" s="804"/>
      <c r="BE61" s="804"/>
      <c r="BF61" s="804"/>
      <c r="BG61" s="804"/>
      <c r="BH61" s="804"/>
      <c r="BI61" s="804"/>
      <c r="BJ61" s="804"/>
      <c r="BK61" s="804"/>
      <c r="BL61" s="804"/>
      <c r="BM61" s="804"/>
      <c r="BN61" s="804"/>
      <c r="BO61" s="804"/>
      <c r="BP61" s="804"/>
      <c r="BQ61" s="804"/>
      <c r="BR61" s="814"/>
      <c r="BS61" s="814"/>
      <c r="BT61" s="814"/>
      <c r="BU61" s="814"/>
      <c r="BV61" s="814"/>
      <c r="BW61" s="814"/>
      <c r="BX61" s="814"/>
      <c r="BY61" s="814"/>
      <c r="BZ61" s="814"/>
      <c r="CA61" s="814"/>
      <c r="CB61" s="814"/>
      <c r="CC61" s="814"/>
      <c r="CD61" s="814"/>
      <c r="CE61" s="814"/>
      <c r="CF61" s="814"/>
      <c r="CG61" s="814"/>
      <c r="CH61" s="814"/>
      <c r="CI61" s="814"/>
      <c r="CJ61" s="814"/>
      <c r="CK61" s="814"/>
      <c r="CL61" s="814"/>
      <c r="CM61" s="814"/>
      <c r="CN61" s="814"/>
      <c r="CO61" s="814"/>
      <c r="CP61" s="814"/>
      <c r="CQ61" s="814"/>
      <c r="CR61" s="814"/>
      <c r="CS61" s="814"/>
      <c r="CT61" s="814"/>
      <c r="CU61" s="814"/>
      <c r="CV61" s="814"/>
      <c r="CW61" s="814"/>
      <c r="CX61" s="814"/>
      <c r="CY61" s="814"/>
      <c r="CZ61" s="814"/>
      <c r="DA61" s="814"/>
      <c r="DB61" s="814"/>
      <c r="DC61" s="814"/>
      <c r="DD61" s="814"/>
      <c r="DE61" s="814"/>
      <c r="DF61" s="814"/>
      <c r="DG61" s="814"/>
      <c r="DH61" s="814"/>
      <c r="DI61" s="814"/>
      <c r="DJ61" s="814"/>
      <c r="DK61" s="814"/>
      <c r="DL61" s="814"/>
      <c r="DM61" s="814"/>
      <c r="DN61" s="814"/>
      <c r="DO61" s="814"/>
      <c r="DP61" s="814"/>
      <c r="DQ61" s="814"/>
      <c r="DR61" s="814"/>
      <c r="DS61" s="814"/>
      <c r="DT61" s="814"/>
      <c r="DU61" s="814"/>
      <c r="DV61" s="814"/>
      <c r="DW61" s="814"/>
      <c r="DX61" s="814"/>
      <c r="DY61" s="814"/>
      <c r="DZ61" s="814"/>
      <c r="EA61" s="814"/>
      <c r="EB61" s="814"/>
      <c r="EC61" s="814"/>
      <c r="ED61" s="814"/>
      <c r="EE61" s="814"/>
      <c r="EF61" s="814"/>
      <c r="EG61" s="814"/>
      <c r="EH61" s="814"/>
      <c r="EI61" s="814"/>
      <c r="EJ61" s="814"/>
      <c r="EK61" s="814"/>
      <c r="EL61" s="814"/>
      <c r="EM61" s="814"/>
      <c r="EN61" s="814"/>
      <c r="EO61" s="814"/>
      <c r="EP61" s="814"/>
      <c r="EQ61" s="814"/>
      <c r="ER61" s="814"/>
      <c r="ES61" s="814"/>
      <c r="ET61" s="814"/>
      <c r="EU61" s="814"/>
      <c r="EV61" s="814"/>
      <c r="EW61" s="814"/>
      <c r="EX61" s="814"/>
      <c r="EY61" s="814"/>
      <c r="EZ61" s="814"/>
      <c r="FA61" s="814"/>
      <c r="FB61" s="814"/>
      <c r="FC61" s="814"/>
      <c r="FD61" s="814"/>
      <c r="FE61" s="814"/>
      <c r="FF61" s="814"/>
      <c r="FG61" s="814"/>
      <c r="FH61" s="814"/>
      <c r="FI61" s="814"/>
      <c r="FJ61" s="814"/>
      <c r="FK61" s="814"/>
      <c r="FL61" s="814"/>
      <c r="FM61" s="814"/>
      <c r="FN61" s="814"/>
      <c r="FO61" s="814"/>
      <c r="FP61" s="814"/>
      <c r="FQ61" s="814"/>
      <c r="FR61" s="814"/>
      <c r="FS61" s="814"/>
      <c r="FT61" s="814"/>
      <c r="FU61" s="814"/>
      <c r="FV61" s="814"/>
      <c r="FW61" s="814"/>
      <c r="FX61" s="814"/>
      <c r="FY61" s="814"/>
      <c r="FZ61" s="814"/>
      <c r="GA61" s="814"/>
      <c r="GB61" s="814"/>
      <c r="GC61" s="814"/>
      <c r="GD61" s="814"/>
      <c r="GE61" s="814"/>
      <c r="GF61" s="814"/>
      <c r="GG61" s="814"/>
      <c r="GH61" s="814"/>
      <c r="GI61" s="814"/>
      <c r="GJ61" s="814"/>
      <c r="GK61" s="814"/>
      <c r="GL61" s="814"/>
      <c r="GM61" s="814"/>
      <c r="GN61" s="814"/>
      <c r="GO61" s="814"/>
      <c r="GP61" s="814"/>
      <c r="GQ61" s="814"/>
      <c r="GR61" s="814"/>
      <c r="GS61" s="814"/>
      <c r="GT61" s="814"/>
      <c r="GU61" s="814"/>
      <c r="GV61" s="814"/>
      <c r="GW61" s="814"/>
      <c r="GX61" s="814"/>
      <c r="GY61" s="814"/>
      <c r="GZ61" s="814"/>
      <c r="HA61" s="814"/>
      <c r="HB61" s="814"/>
      <c r="HC61" s="814"/>
      <c r="HD61" s="814"/>
      <c r="HE61" s="814"/>
      <c r="HF61" s="814"/>
      <c r="HG61" s="814"/>
      <c r="HH61" s="814"/>
      <c r="HI61" s="814"/>
      <c r="HJ61" s="814"/>
      <c r="HK61" s="814"/>
      <c r="HL61" s="814"/>
      <c r="HM61" s="814"/>
      <c r="HN61" s="814"/>
      <c r="HO61" s="814"/>
      <c r="HP61" s="814"/>
      <c r="HQ61" s="814"/>
      <c r="HR61" s="814"/>
      <c r="HS61" s="814"/>
      <c r="HT61" s="814"/>
      <c r="HU61" s="814"/>
      <c r="HV61" s="814"/>
      <c r="HW61" s="814"/>
      <c r="HX61" s="814"/>
      <c r="HY61" s="814"/>
      <c r="HZ61" s="814"/>
      <c r="IA61" s="814"/>
      <c r="IB61" s="814"/>
      <c r="IC61" s="814"/>
      <c r="ID61" s="814"/>
      <c r="IE61" s="814"/>
      <c r="IF61" s="814"/>
      <c r="IG61" s="814"/>
      <c r="IH61" s="814"/>
      <c r="II61" s="814"/>
      <c r="IJ61" s="814"/>
      <c r="IK61" s="814"/>
      <c r="IL61" s="814"/>
      <c r="IM61" s="814"/>
      <c r="IN61" s="814"/>
      <c r="IO61" s="814"/>
      <c r="IP61" s="814"/>
      <c r="IQ61" s="814"/>
      <c r="IR61" s="814"/>
      <c r="IS61" s="814"/>
      <c r="IT61" s="814"/>
      <c r="IU61" s="814"/>
      <c r="IV61" s="814"/>
      <c r="IW61" s="814"/>
      <c r="IX61" s="814"/>
      <c r="IY61" s="814"/>
      <c r="IZ61" s="814"/>
      <c r="JA61" s="814"/>
      <c r="JB61" s="814"/>
      <c r="JC61" s="814"/>
      <c r="JD61" s="814"/>
      <c r="JE61" s="814"/>
      <c r="JF61" s="814"/>
      <c r="JG61" s="814"/>
      <c r="JH61" s="814"/>
      <c r="JI61" s="814"/>
      <c r="JJ61" s="814"/>
      <c r="JK61" s="814"/>
      <c r="JL61" s="814"/>
      <c r="JM61" s="814"/>
      <c r="JN61" s="814"/>
      <c r="JO61" s="814"/>
      <c r="JP61" s="814"/>
      <c r="JQ61" s="814"/>
      <c r="JR61" s="814"/>
      <c r="JS61" s="814"/>
      <c r="JT61" s="814"/>
      <c r="JU61" s="814"/>
      <c r="JV61" s="814"/>
      <c r="JW61" s="814"/>
      <c r="JX61" s="814"/>
      <c r="JY61" s="814"/>
      <c r="JZ61" s="814"/>
      <c r="KA61" s="814"/>
      <c r="KB61" s="814"/>
      <c r="KC61" s="814"/>
      <c r="KD61" s="814"/>
      <c r="KE61" s="814"/>
      <c r="KF61" s="814"/>
      <c r="KG61" s="814"/>
      <c r="KH61" s="814"/>
      <c r="KI61" s="814"/>
      <c r="KJ61" s="814"/>
      <c r="KK61" s="814"/>
      <c r="KL61" s="814"/>
      <c r="KM61" s="814"/>
      <c r="KN61" s="814"/>
      <c r="KO61" s="814"/>
      <c r="KP61" s="814"/>
      <c r="KQ61" s="814"/>
      <c r="KR61" s="814"/>
      <c r="KS61" s="814"/>
      <c r="KT61" s="814"/>
      <c r="KU61" s="814"/>
      <c r="KV61" s="814"/>
      <c r="KW61" s="814"/>
      <c r="KX61" s="814"/>
      <c r="KY61" s="814"/>
      <c r="KZ61" s="814"/>
      <c r="LA61" s="814"/>
      <c r="LB61" s="814"/>
      <c r="LC61" s="814"/>
      <c r="LD61" s="814"/>
      <c r="LE61" s="814"/>
      <c r="LF61" s="814"/>
      <c r="LG61" s="814"/>
      <c r="LH61" s="814"/>
      <c r="LI61" s="814"/>
      <c r="LJ61" s="814"/>
      <c r="LK61" s="814"/>
      <c r="LL61" s="814"/>
      <c r="LM61" s="814"/>
      <c r="LN61" s="814"/>
      <c r="LO61" s="814"/>
      <c r="LP61" s="814"/>
      <c r="LQ61" s="814"/>
      <c r="LR61" s="814"/>
      <c r="LS61" s="814"/>
      <c r="LT61" s="814"/>
      <c r="LU61" s="814"/>
      <c r="LV61" s="814"/>
      <c r="LW61" s="814"/>
      <c r="LX61" s="814"/>
      <c r="LY61" s="814"/>
      <c r="LZ61" s="814"/>
      <c r="MA61" s="814"/>
      <c r="MB61" s="814"/>
      <c r="MC61" s="814"/>
      <c r="MD61" s="814"/>
      <c r="ME61" s="814"/>
      <c r="MF61" s="814"/>
      <c r="MG61" s="814"/>
      <c r="MH61" s="814"/>
      <c r="MI61" s="814"/>
      <c r="MJ61" s="814"/>
      <c r="MK61" s="814"/>
      <c r="ML61" s="814"/>
      <c r="MM61" s="814"/>
      <c r="MN61" s="814"/>
      <c r="MO61" s="814"/>
      <c r="MP61" s="814"/>
      <c r="MQ61" s="814"/>
      <c r="MR61" s="814"/>
      <c r="MS61" s="814"/>
      <c r="MT61" s="814"/>
      <c r="MU61" s="814"/>
      <c r="MV61" s="814"/>
      <c r="MW61" s="814"/>
      <c r="MX61" s="814"/>
      <c r="MY61" s="814"/>
      <c r="MZ61" s="814"/>
      <c r="NA61" s="814"/>
      <c r="NB61" s="814"/>
      <c r="NC61" s="814"/>
      <c r="ND61" s="814"/>
      <c r="NE61" s="814"/>
      <c r="NF61" s="814"/>
      <c r="NG61" s="814"/>
      <c r="NH61" s="814"/>
      <c r="NI61" s="814"/>
      <c r="NJ61" s="814"/>
      <c r="NK61" s="814"/>
      <c r="NL61" s="814"/>
      <c r="NM61" s="814"/>
      <c r="NN61" s="814"/>
      <c r="NO61" s="814"/>
      <c r="NP61" s="814"/>
      <c r="NQ61" s="814"/>
      <c r="NR61" s="814"/>
      <c r="NS61" s="814"/>
      <c r="NT61" s="814"/>
      <c r="NU61" s="814"/>
      <c r="NV61" s="814"/>
      <c r="NW61" s="814"/>
      <c r="NX61" s="814"/>
      <c r="NY61" s="814"/>
      <c r="NZ61" s="814"/>
      <c r="OA61" s="814"/>
      <c r="OB61" s="814"/>
      <c r="OC61" s="814"/>
      <c r="OD61" s="814"/>
      <c r="OE61" s="814"/>
      <c r="OF61" s="814"/>
      <c r="OG61" s="814"/>
      <c r="OH61" s="814"/>
      <c r="OI61" s="814"/>
      <c r="OJ61" s="814"/>
      <c r="OK61" s="814"/>
      <c r="OL61" s="814"/>
      <c r="OM61" s="814"/>
      <c r="ON61" s="814"/>
      <c r="OO61" s="814"/>
      <c r="OP61" s="814"/>
      <c r="OQ61" s="814"/>
      <c r="OR61" s="814"/>
      <c r="OS61" s="814"/>
      <c r="OT61" s="814"/>
      <c r="OU61" s="814"/>
      <c r="OV61" s="814"/>
      <c r="OW61" s="814"/>
      <c r="OX61" s="814"/>
      <c r="OY61" s="814"/>
      <c r="OZ61" s="814"/>
      <c r="PA61" s="814"/>
      <c r="PB61" s="814"/>
      <c r="PC61" s="814"/>
      <c r="PD61" s="814"/>
      <c r="PE61" s="814"/>
      <c r="PF61" s="814"/>
      <c r="PG61" s="814"/>
      <c r="PH61" s="814"/>
      <c r="PI61" s="814"/>
      <c r="PJ61" s="814"/>
      <c r="PK61" s="814"/>
      <c r="PL61" s="814"/>
      <c r="PM61" s="814"/>
      <c r="PN61" s="814"/>
      <c r="PO61" s="814"/>
      <c r="PP61" s="814"/>
      <c r="PQ61" s="814"/>
      <c r="PR61" s="814"/>
      <c r="PS61" s="814"/>
      <c r="PT61" s="814"/>
      <c r="PU61" s="814"/>
      <c r="PV61" s="814"/>
      <c r="PW61" s="814"/>
      <c r="PX61" s="814"/>
      <c r="PY61" s="814"/>
      <c r="PZ61" s="814"/>
      <c r="QA61" s="814"/>
      <c r="QB61" s="814"/>
      <c r="QC61" s="814"/>
      <c r="QD61" s="814"/>
      <c r="QE61" s="814"/>
      <c r="QF61" s="814"/>
      <c r="QG61" s="814"/>
      <c r="QH61" s="814"/>
      <c r="QI61" s="814"/>
      <c r="QJ61" s="814"/>
      <c r="QK61" s="814"/>
      <c r="QL61" s="814"/>
      <c r="QM61" s="814"/>
      <c r="QN61" s="814"/>
      <c r="QO61" s="814"/>
      <c r="QP61" s="814"/>
      <c r="QQ61" s="814"/>
      <c r="QR61" s="814"/>
      <c r="QS61" s="814"/>
      <c r="QT61" s="814"/>
      <c r="QU61" s="814"/>
      <c r="QV61" s="814"/>
      <c r="QW61" s="814"/>
      <c r="QX61" s="814"/>
      <c r="QY61" s="814"/>
      <c r="QZ61" s="814"/>
      <c r="RA61" s="814"/>
      <c r="RB61" s="814"/>
      <c r="RC61" s="814"/>
      <c r="RD61" s="814"/>
      <c r="RE61" s="814"/>
      <c r="RF61" s="814"/>
      <c r="RG61" s="814"/>
      <c r="RH61" s="814"/>
      <c r="RI61" s="814"/>
      <c r="RJ61" s="814"/>
      <c r="RK61" s="814"/>
      <c r="RL61" s="814"/>
      <c r="RM61" s="814"/>
      <c r="RN61" s="814"/>
      <c r="RO61" s="814"/>
      <c r="RP61" s="814"/>
      <c r="RQ61" s="814"/>
      <c r="RR61" s="814"/>
      <c r="RS61" s="814"/>
      <c r="RT61" s="814"/>
      <c r="RU61" s="814"/>
      <c r="RV61" s="814"/>
      <c r="RW61" s="814"/>
      <c r="RX61" s="814"/>
    </row>
    <row r="62" spans="1:492" s="169" customFormat="1">
      <c r="A62" s="814"/>
      <c r="B62" s="814"/>
      <c r="C62" s="814"/>
      <c r="D62" s="814"/>
      <c r="E62" s="814"/>
      <c r="F62" s="814"/>
      <c r="G62" s="814"/>
      <c r="H62" s="814"/>
      <c r="I62" s="814"/>
      <c r="J62" s="814"/>
      <c r="K62" s="814"/>
      <c r="L62" s="814"/>
      <c r="M62" s="814"/>
      <c r="N62" s="814"/>
      <c r="O62" s="814"/>
      <c r="P62" s="814"/>
      <c r="Q62" s="814"/>
      <c r="R62" s="814"/>
      <c r="S62" s="814"/>
      <c r="T62" s="814"/>
      <c r="U62" s="814"/>
      <c r="V62" s="814"/>
      <c r="W62" s="814"/>
      <c r="X62" s="814"/>
      <c r="Y62" s="814"/>
      <c r="Z62" s="814"/>
      <c r="AA62" s="814"/>
      <c r="AB62" s="814"/>
      <c r="AC62" s="814"/>
      <c r="AD62" s="814"/>
      <c r="AE62" s="814"/>
      <c r="AF62" s="814"/>
      <c r="AG62" s="814"/>
      <c r="AH62" s="814"/>
      <c r="AI62" s="814"/>
      <c r="AJ62" s="814"/>
      <c r="AK62" s="814"/>
      <c r="AL62" s="814"/>
      <c r="AM62" s="804"/>
      <c r="AN62" s="804"/>
      <c r="AO62" s="804"/>
      <c r="AP62" s="804"/>
      <c r="AQ62" s="804"/>
      <c r="AR62" s="804"/>
      <c r="AS62" s="804"/>
      <c r="AT62" s="804"/>
      <c r="AU62" s="804"/>
      <c r="AV62" s="804"/>
      <c r="AW62" s="804"/>
      <c r="AX62" s="804"/>
      <c r="AY62" s="804"/>
      <c r="AZ62" s="804"/>
      <c r="BA62" s="804"/>
      <c r="BB62" s="804"/>
      <c r="BC62" s="804"/>
      <c r="BD62" s="804"/>
      <c r="BE62" s="804"/>
      <c r="BF62" s="804"/>
      <c r="BG62" s="804"/>
      <c r="BH62" s="804"/>
      <c r="BI62" s="804"/>
      <c r="BJ62" s="804"/>
      <c r="BK62" s="804"/>
      <c r="BL62" s="804"/>
      <c r="BM62" s="804"/>
      <c r="BN62" s="804"/>
      <c r="BO62" s="804"/>
      <c r="BP62" s="804"/>
      <c r="BQ62" s="804"/>
      <c r="BR62" s="814"/>
      <c r="BS62" s="814"/>
      <c r="BT62" s="814"/>
      <c r="BU62" s="814"/>
      <c r="BV62" s="814"/>
      <c r="BW62" s="814"/>
      <c r="BX62" s="814"/>
      <c r="BY62" s="814"/>
      <c r="BZ62" s="814"/>
      <c r="CA62" s="814"/>
      <c r="CB62" s="814"/>
      <c r="CC62" s="814"/>
      <c r="CD62" s="814"/>
      <c r="CE62" s="814"/>
      <c r="CF62" s="814"/>
      <c r="CG62" s="814"/>
      <c r="CH62" s="814"/>
      <c r="CI62" s="814"/>
      <c r="CJ62" s="814"/>
      <c r="CK62" s="814"/>
      <c r="CL62" s="814"/>
      <c r="CM62" s="814"/>
      <c r="CN62" s="814"/>
      <c r="CO62" s="814"/>
      <c r="CP62" s="814"/>
      <c r="CQ62" s="814"/>
      <c r="CR62" s="814"/>
      <c r="CS62" s="814"/>
      <c r="CT62" s="814"/>
      <c r="CU62" s="814"/>
      <c r="CV62" s="814"/>
      <c r="CW62" s="814"/>
      <c r="CX62" s="814"/>
      <c r="CY62" s="814"/>
      <c r="CZ62" s="814"/>
      <c r="DA62" s="814"/>
      <c r="DB62" s="814"/>
      <c r="DC62" s="814"/>
      <c r="DD62" s="814"/>
      <c r="DE62" s="814"/>
      <c r="DF62" s="814"/>
      <c r="DG62" s="814"/>
      <c r="DH62" s="814"/>
      <c r="DI62" s="814"/>
      <c r="DJ62" s="814"/>
      <c r="DK62" s="814"/>
      <c r="DL62" s="814"/>
      <c r="DM62" s="814"/>
      <c r="DN62" s="814"/>
      <c r="DO62" s="814"/>
      <c r="DP62" s="814"/>
      <c r="DQ62" s="814"/>
      <c r="DR62" s="814"/>
      <c r="DS62" s="814"/>
      <c r="DT62" s="814"/>
      <c r="DU62" s="814"/>
      <c r="DV62" s="814"/>
      <c r="DW62" s="814"/>
      <c r="DX62" s="814"/>
      <c r="DY62" s="814"/>
      <c r="DZ62" s="814"/>
      <c r="EA62" s="814"/>
      <c r="EB62" s="814"/>
      <c r="EC62" s="814"/>
      <c r="ED62" s="814"/>
      <c r="EE62" s="814"/>
      <c r="EF62" s="814"/>
      <c r="EG62" s="814"/>
      <c r="EH62" s="814"/>
      <c r="EI62" s="814"/>
      <c r="EJ62" s="814"/>
      <c r="EK62" s="814"/>
      <c r="EL62" s="814"/>
      <c r="EM62" s="814"/>
      <c r="EN62" s="814"/>
      <c r="EO62" s="814"/>
      <c r="EP62" s="814"/>
      <c r="EQ62" s="814"/>
      <c r="ER62" s="814"/>
      <c r="ES62" s="814"/>
      <c r="ET62" s="814"/>
      <c r="EU62" s="814"/>
      <c r="EV62" s="814"/>
      <c r="EW62" s="814"/>
      <c r="EX62" s="814"/>
      <c r="EY62" s="814"/>
      <c r="EZ62" s="814"/>
      <c r="FA62" s="814"/>
      <c r="FB62" s="814"/>
      <c r="FC62" s="814"/>
      <c r="FD62" s="814"/>
      <c r="FE62" s="814"/>
      <c r="FF62" s="814"/>
      <c r="FG62" s="814"/>
      <c r="FH62" s="814"/>
      <c r="FI62" s="814"/>
      <c r="FJ62" s="814"/>
      <c r="FK62" s="814"/>
      <c r="FL62" s="814"/>
      <c r="FM62" s="814"/>
      <c r="FN62" s="814"/>
      <c r="FO62" s="814"/>
      <c r="FP62" s="814"/>
      <c r="FQ62" s="814"/>
      <c r="FR62" s="814"/>
      <c r="FS62" s="814"/>
      <c r="FT62" s="814"/>
      <c r="FU62" s="814"/>
      <c r="FV62" s="814"/>
      <c r="FW62" s="814"/>
      <c r="FX62" s="814"/>
      <c r="FY62" s="814"/>
      <c r="FZ62" s="814"/>
      <c r="GA62" s="814"/>
      <c r="GB62" s="814"/>
      <c r="GC62" s="814"/>
      <c r="GD62" s="814"/>
      <c r="GE62" s="814"/>
      <c r="GF62" s="814"/>
      <c r="GG62" s="814"/>
      <c r="GH62" s="814"/>
      <c r="GI62" s="814"/>
      <c r="GJ62" s="814"/>
      <c r="GK62" s="814"/>
      <c r="GL62" s="814"/>
      <c r="GM62" s="814"/>
      <c r="GN62" s="814"/>
      <c r="GO62" s="814"/>
      <c r="GP62" s="814"/>
      <c r="GQ62" s="814"/>
      <c r="GR62" s="814"/>
      <c r="GS62" s="814"/>
      <c r="GT62" s="814"/>
      <c r="GU62" s="814"/>
      <c r="GV62" s="814"/>
      <c r="GW62" s="814"/>
      <c r="GX62" s="814"/>
      <c r="GY62" s="814"/>
      <c r="GZ62" s="814"/>
      <c r="HA62" s="814"/>
      <c r="HB62" s="814"/>
      <c r="HC62" s="814"/>
      <c r="HD62" s="814"/>
      <c r="HE62" s="814"/>
      <c r="HF62" s="814"/>
      <c r="HG62" s="814"/>
      <c r="HH62" s="814"/>
      <c r="HI62" s="814"/>
      <c r="HJ62" s="814"/>
      <c r="HK62" s="814"/>
      <c r="HL62" s="814"/>
      <c r="HM62" s="814"/>
      <c r="HN62" s="814"/>
      <c r="HO62" s="814"/>
      <c r="HP62" s="814"/>
      <c r="HQ62" s="814"/>
      <c r="HR62" s="814"/>
      <c r="HS62" s="814"/>
      <c r="HT62" s="814"/>
      <c r="HU62" s="814"/>
      <c r="HV62" s="814"/>
      <c r="HW62" s="814"/>
      <c r="HX62" s="814"/>
      <c r="HY62" s="814"/>
      <c r="HZ62" s="814"/>
      <c r="IA62" s="814"/>
      <c r="IB62" s="814"/>
      <c r="IC62" s="814"/>
      <c r="ID62" s="814"/>
      <c r="IE62" s="814"/>
      <c r="IF62" s="814"/>
      <c r="IG62" s="814"/>
      <c r="IH62" s="814"/>
      <c r="II62" s="814"/>
      <c r="IJ62" s="814"/>
      <c r="IK62" s="814"/>
      <c r="IL62" s="814"/>
      <c r="IM62" s="814"/>
      <c r="IN62" s="814"/>
      <c r="IO62" s="814"/>
      <c r="IP62" s="814"/>
      <c r="IQ62" s="814"/>
      <c r="IR62" s="814"/>
      <c r="IS62" s="814"/>
      <c r="IT62" s="814"/>
      <c r="IU62" s="814"/>
      <c r="IV62" s="814"/>
      <c r="IW62" s="814"/>
      <c r="IX62" s="814"/>
      <c r="IY62" s="814"/>
      <c r="IZ62" s="814"/>
      <c r="JA62" s="814"/>
      <c r="JB62" s="814"/>
      <c r="JC62" s="814"/>
      <c r="JD62" s="814"/>
      <c r="JE62" s="814"/>
      <c r="JF62" s="814"/>
      <c r="JG62" s="814"/>
      <c r="JH62" s="814"/>
      <c r="JI62" s="814"/>
      <c r="JJ62" s="814"/>
      <c r="JK62" s="814"/>
      <c r="JL62" s="814"/>
      <c r="JM62" s="814"/>
      <c r="JN62" s="814"/>
      <c r="JO62" s="814"/>
      <c r="JP62" s="814"/>
      <c r="JQ62" s="814"/>
      <c r="JR62" s="814"/>
      <c r="JS62" s="814"/>
      <c r="JT62" s="814"/>
      <c r="JU62" s="814"/>
      <c r="JV62" s="814"/>
      <c r="JW62" s="814"/>
      <c r="JX62" s="814"/>
      <c r="JY62" s="814"/>
      <c r="JZ62" s="814"/>
      <c r="KA62" s="814"/>
      <c r="KB62" s="814"/>
      <c r="KC62" s="814"/>
      <c r="KD62" s="814"/>
      <c r="KE62" s="814"/>
      <c r="KF62" s="814"/>
      <c r="KG62" s="814"/>
      <c r="KH62" s="814"/>
      <c r="KI62" s="814"/>
      <c r="KJ62" s="814"/>
      <c r="KK62" s="814"/>
      <c r="KL62" s="814"/>
      <c r="KM62" s="814"/>
      <c r="KN62" s="814"/>
      <c r="KO62" s="814"/>
      <c r="KP62" s="814"/>
      <c r="KQ62" s="814"/>
      <c r="KR62" s="814"/>
      <c r="KS62" s="814"/>
      <c r="KT62" s="814"/>
      <c r="KU62" s="814"/>
      <c r="KV62" s="814"/>
      <c r="KW62" s="814"/>
      <c r="KX62" s="814"/>
      <c r="KY62" s="814"/>
      <c r="KZ62" s="814"/>
      <c r="LA62" s="814"/>
      <c r="LB62" s="814"/>
      <c r="LC62" s="814"/>
      <c r="LD62" s="814"/>
      <c r="LE62" s="814"/>
      <c r="LF62" s="814"/>
      <c r="LG62" s="814"/>
      <c r="LH62" s="814"/>
      <c r="LI62" s="814"/>
      <c r="LJ62" s="814"/>
      <c r="LK62" s="814"/>
      <c r="LL62" s="814"/>
      <c r="LM62" s="814"/>
      <c r="LN62" s="814"/>
      <c r="LO62" s="814"/>
      <c r="LP62" s="814"/>
      <c r="LQ62" s="814"/>
      <c r="LR62" s="814"/>
      <c r="LS62" s="814"/>
      <c r="LT62" s="814"/>
      <c r="LU62" s="814"/>
      <c r="LV62" s="814"/>
      <c r="LW62" s="814"/>
      <c r="LX62" s="814"/>
      <c r="LY62" s="814"/>
      <c r="LZ62" s="814"/>
      <c r="MA62" s="814"/>
      <c r="MB62" s="814"/>
      <c r="MC62" s="814"/>
      <c r="MD62" s="814"/>
      <c r="ME62" s="814"/>
      <c r="MF62" s="814"/>
      <c r="MG62" s="814"/>
      <c r="MH62" s="814"/>
      <c r="MI62" s="814"/>
      <c r="MJ62" s="814"/>
      <c r="MK62" s="814"/>
      <c r="ML62" s="814"/>
      <c r="MM62" s="814"/>
      <c r="MN62" s="814"/>
      <c r="MO62" s="814"/>
      <c r="MP62" s="814"/>
      <c r="MQ62" s="814"/>
      <c r="MR62" s="814"/>
      <c r="MS62" s="814"/>
      <c r="MT62" s="814"/>
      <c r="MU62" s="814"/>
      <c r="MV62" s="814"/>
      <c r="MW62" s="814"/>
      <c r="MX62" s="814"/>
      <c r="MY62" s="814"/>
      <c r="MZ62" s="814"/>
      <c r="NA62" s="814"/>
      <c r="NB62" s="814"/>
      <c r="NC62" s="814"/>
      <c r="ND62" s="814"/>
      <c r="NE62" s="814"/>
      <c r="NF62" s="814"/>
      <c r="NG62" s="814"/>
      <c r="NH62" s="814"/>
      <c r="NI62" s="814"/>
      <c r="NJ62" s="814"/>
      <c r="NK62" s="814"/>
      <c r="NL62" s="814"/>
      <c r="NM62" s="814"/>
      <c r="NN62" s="814"/>
      <c r="NO62" s="814"/>
      <c r="NP62" s="814"/>
      <c r="NQ62" s="814"/>
      <c r="NR62" s="814"/>
      <c r="NS62" s="814"/>
      <c r="NT62" s="814"/>
      <c r="NU62" s="814"/>
      <c r="NV62" s="814"/>
      <c r="NW62" s="814"/>
      <c r="NX62" s="814"/>
      <c r="NY62" s="814"/>
      <c r="NZ62" s="814"/>
      <c r="OA62" s="814"/>
      <c r="OB62" s="814"/>
      <c r="OC62" s="814"/>
      <c r="OD62" s="814"/>
      <c r="OE62" s="814"/>
      <c r="OF62" s="814"/>
      <c r="OG62" s="814"/>
      <c r="OH62" s="814"/>
      <c r="OI62" s="814"/>
      <c r="OJ62" s="814"/>
      <c r="OK62" s="814"/>
      <c r="OL62" s="814"/>
      <c r="OM62" s="814"/>
      <c r="ON62" s="814"/>
      <c r="OO62" s="814"/>
      <c r="OP62" s="814"/>
      <c r="OQ62" s="814"/>
      <c r="OR62" s="814"/>
      <c r="OS62" s="814"/>
      <c r="OT62" s="814"/>
      <c r="OU62" s="814"/>
      <c r="OV62" s="814"/>
      <c r="OW62" s="814"/>
      <c r="OX62" s="814"/>
      <c r="OY62" s="814"/>
      <c r="OZ62" s="814"/>
      <c r="PA62" s="814"/>
      <c r="PB62" s="814"/>
      <c r="PC62" s="814"/>
      <c r="PD62" s="814"/>
      <c r="PE62" s="814"/>
      <c r="PF62" s="814"/>
      <c r="PG62" s="814"/>
      <c r="PH62" s="814"/>
      <c r="PI62" s="814"/>
      <c r="PJ62" s="814"/>
      <c r="PK62" s="814"/>
      <c r="PL62" s="814"/>
      <c r="PM62" s="814"/>
      <c r="PN62" s="814"/>
      <c r="PO62" s="814"/>
      <c r="PP62" s="814"/>
      <c r="PQ62" s="814"/>
      <c r="PR62" s="814"/>
      <c r="PS62" s="814"/>
      <c r="PT62" s="814"/>
      <c r="PU62" s="814"/>
      <c r="PV62" s="814"/>
      <c r="PW62" s="814"/>
      <c r="PX62" s="814"/>
      <c r="PY62" s="814"/>
      <c r="PZ62" s="814"/>
      <c r="QA62" s="814"/>
      <c r="QB62" s="814"/>
      <c r="QC62" s="814"/>
      <c r="QD62" s="814"/>
      <c r="QE62" s="814"/>
      <c r="QF62" s="814"/>
      <c r="QG62" s="814"/>
      <c r="QH62" s="814"/>
      <c r="QI62" s="814"/>
      <c r="QJ62" s="814"/>
      <c r="QK62" s="814"/>
      <c r="QL62" s="814"/>
      <c r="QM62" s="814"/>
      <c r="QN62" s="814"/>
      <c r="QO62" s="814"/>
      <c r="QP62" s="814"/>
      <c r="QQ62" s="814"/>
      <c r="QR62" s="814"/>
      <c r="QS62" s="814"/>
      <c r="QT62" s="814"/>
      <c r="QU62" s="814"/>
      <c r="QV62" s="814"/>
      <c r="QW62" s="814"/>
      <c r="QX62" s="814"/>
      <c r="QY62" s="814"/>
      <c r="QZ62" s="814"/>
      <c r="RA62" s="814"/>
      <c r="RB62" s="814"/>
      <c r="RC62" s="814"/>
      <c r="RD62" s="814"/>
      <c r="RE62" s="814"/>
      <c r="RF62" s="814"/>
      <c r="RG62" s="814"/>
      <c r="RH62" s="814"/>
      <c r="RI62" s="814"/>
      <c r="RJ62" s="814"/>
      <c r="RK62" s="814"/>
      <c r="RL62" s="814"/>
      <c r="RM62" s="814"/>
      <c r="RN62" s="814"/>
      <c r="RO62" s="814"/>
      <c r="RP62" s="814"/>
      <c r="RQ62" s="814"/>
      <c r="RR62" s="814"/>
      <c r="RS62" s="814"/>
      <c r="RT62" s="814"/>
      <c r="RU62" s="814"/>
      <c r="RV62" s="814"/>
      <c r="RW62" s="814"/>
      <c r="RX62" s="814"/>
    </row>
    <row r="63" spans="1:492" s="169" customFormat="1">
      <c r="A63" s="814"/>
      <c r="B63" s="814"/>
      <c r="C63" s="814"/>
      <c r="D63" s="814"/>
      <c r="E63" s="814"/>
      <c r="F63" s="814"/>
      <c r="G63" s="814"/>
      <c r="H63" s="814"/>
      <c r="I63" s="814"/>
      <c r="J63" s="814"/>
      <c r="K63" s="814"/>
      <c r="L63" s="814"/>
      <c r="M63" s="814"/>
      <c r="N63" s="814"/>
      <c r="O63" s="814"/>
      <c r="P63" s="814"/>
      <c r="Q63" s="814"/>
      <c r="R63" s="814"/>
      <c r="S63" s="814"/>
      <c r="T63" s="814"/>
      <c r="U63" s="814"/>
      <c r="V63" s="814"/>
      <c r="W63" s="814"/>
      <c r="X63" s="814"/>
      <c r="Y63" s="814"/>
      <c r="Z63" s="814"/>
      <c r="AA63" s="814"/>
      <c r="AB63" s="814"/>
      <c r="AC63" s="814"/>
      <c r="AD63" s="814"/>
      <c r="AE63" s="814"/>
      <c r="AF63" s="814"/>
      <c r="AG63" s="814"/>
      <c r="AH63" s="814"/>
      <c r="AI63" s="814"/>
      <c r="AJ63" s="814"/>
      <c r="AK63" s="814"/>
      <c r="AL63" s="814"/>
      <c r="AM63" s="804"/>
      <c r="AN63" s="804"/>
      <c r="AO63" s="804"/>
      <c r="AP63" s="804"/>
      <c r="AQ63" s="804"/>
      <c r="AR63" s="804"/>
      <c r="AS63" s="804"/>
      <c r="AT63" s="804"/>
      <c r="AU63" s="804"/>
      <c r="AV63" s="804"/>
      <c r="AW63" s="804"/>
      <c r="AX63" s="804"/>
      <c r="AY63" s="804"/>
      <c r="AZ63" s="804"/>
      <c r="BA63" s="804"/>
      <c r="BB63" s="804"/>
      <c r="BC63" s="804"/>
      <c r="BD63" s="804"/>
      <c r="BE63" s="804"/>
      <c r="BF63" s="804"/>
      <c r="BG63" s="804"/>
      <c r="BH63" s="804"/>
      <c r="BI63" s="804"/>
      <c r="BJ63" s="804"/>
      <c r="BK63" s="804"/>
      <c r="BL63" s="804"/>
      <c r="BM63" s="804"/>
      <c r="BN63" s="804"/>
      <c r="BO63" s="804"/>
      <c r="BP63" s="804"/>
      <c r="BQ63" s="804"/>
      <c r="BR63" s="814"/>
      <c r="BS63" s="814"/>
      <c r="BT63" s="814"/>
      <c r="BU63" s="814"/>
      <c r="BV63" s="814"/>
      <c r="BW63" s="814"/>
      <c r="BX63" s="814"/>
      <c r="BY63" s="814"/>
      <c r="BZ63" s="814"/>
      <c r="CA63" s="814"/>
      <c r="CB63" s="814"/>
      <c r="CC63" s="814"/>
      <c r="CD63" s="814"/>
      <c r="CE63" s="814"/>
      <c r="CF63" s="814"/>
      <c r="CG63" s="814"/>
      <c r="CH63" s="814"/>
      <c r="CI63" s="814"/>
      <c r="CJ63" s="814"/>
      <c r="CK63" s="814"/>
      <c r="CL63" s="814"/>
      <c r="CM63" s="814"/>
      <c r="CN63" s="814"/>
      <c r="CO63" s="814"/>
      <c r="CP63" s="814"/>
      <c r="CQ63" s="814"/>
      <c r="CR63" s="814"/>
      <c r="CS63" s="814"/>
      <c r="CT63" s="814"/>
      <c r="CU63" s="814"/>
      <c r="CV63" s="814"/>
      <c r="CW63" s="814"/>
      <c r="CX63" s="814"/>
      <c r="CY63" s="814"/>
      <c r="CZ63" s="814"/>
      <c r="DA63" s="814"/>
      <c r="DB63" s="814"/>
      <c r="DC63" s="814"/>
      <c r="DD63" s="814"/>
      <c r="DE63" s="814"/>
      <c r="DF63" s="814"/>
      <c r="DG63" s="814"/>
      <c r="DH63" s="814"/>
      <c r="DI63" s="814"/>
      <c r="DJ63" s="814"/>
      <c r="DK63" s="814"/>
      <c r="DL63" s="814"/>
      <c r="DM63" s="814"/>
      <c r="DN63" s="814"/>
      <c r="DO63" s="814"/>
      <c r="DP63" s="814"/>
      <c r="DQ63" s="814"/>
      <c r="DR63" s="814"/>
      <c r="DS63" s="814"/>
      <c r="DT63" s="814"/>
      <c r="DU63" s="814"/>
      <c r="DV63" s="814"/>
      <c r="DW63" s="814"/>
      <c r="DX63" s="814"/>
      <c r="DY63" s="814"/>
      <c r="DZ63" s="814"/>
      <c r="EA63" s="814"/>
      <c r="EB63" s="814"/>
      <c r="EC63" s="814"/>
      <c r="ED63" s="814"/>
      <c r="EE63" s="814"/>
      <c r="EF63" s="814"/>
      <c r="EG63" s="814"/>
      <c r="EH63" s="814"/>
      <c r="EI63" s="814"/>
      <c r="EJ63" s="814"/>
      <c r="EK63" s="814"/>
      <c r="EL63" s="814"/>
      <c r="EM63" s="814"/>
      <c r="EN63" s="814"/>
      <c r="EO63" s="814"/>
      <c r="EP63" s="814"/>
      <c r="EQ63" s="814"/>
      <c r="ER63" s="814"/>
      <c r="ES63" s="814"/>
      <c r="ET63" s="814"/>
      <c r="EU63" s="814"/>
      <c r="EV63" s="814"/>
      <c r="EW63" s="814"/>
      <c r="EX63" s="814"/>
      <c r="EY63" s="814"/>
      <c r="EZ63" s="814"/>
      <c r="FA63" s="814"/>
      <c r="FB63" s="814"/>
      <c r="FC63" s="814"/>
      <c r="FD63" s="814"/>
      <c r="FE63" s="814"/>
      <c r="FF63" s="814"/>
      <c r="FG63" s="814"/>
      <c r="FH63" s="814"/>
      <c r="FI63" s="814"/>
      <c r="FJ63" s="814"/>
      <c r="FK63" s="814"/>
      <c r="FL63" s="814"/>
      <c r="FM63" s="814"/>
      <c r="FN63" s="814"/>
      <c r="FO63" s="814"/>
      <c r="FP63" s="814"/>
      <c r="FQ63" s="814"/>
      <c r="FR63" s="814"/>
      <c r="FS63" s="814"/>
      <c r="FT63" s="814"/>
      <c r="FU63" s="814"/>
      <c r="FV63" s="814"/>
      <c r="FW63" s="814"/>
      <c r="FX63" s="814"/>
      <c r="FY63" s="814"/>
      <c r="FZ63" s="814"/>
      <c r="GA63" s="814"/>
      <c r="GB63" s="814"/>
      <c r="GC63" s="814"/>
      <c r="GD63" s="814"/>
      <c r="GE63" s="814"/>
      <c r="GF63" s="814"/>
      <c r="GG63" s="814"/>
      <c r="GH63" s="814"/>
      <c r="GI63" s="814"/>
      <c r="GJ63" s="814"/>
      <c r="GK63" s="814"/>
      <c r="GL63" s="814"/>
      <c r="GM63" s="814"/>
      <c r="GN63" s="814"/>
      <c r="GO63" s="814"/>
      <c r="GP63" s="814"/>
      <c r="GQ63" s="814"/>
      <c r="GR63" s="814"/>
      <c r="GS63" s="814"/>
      <c r="GT63" s="814"/>
      <c r="GU63" s="814"/>
      <c r="GV63" s="814"/>
      <c r="GW63" s="814"/>
      <c r="GX63" s="814"/>
      <c r="GY63" s="814"/>
      <c r="GZ63" s="814"/>
      <c r="HA63" s="814"/>
      <c r="HB63" s="814"/>
      <c r="HC63" s="814"/>
      <c r="HD63" s="814"/>
      <c r="HE63" s="814"/>
      <c r="HF63" s="814"/>
      <c r="HG63" s="814"/>
      <c r="HH63" s="814"/>
      <c r="HI63" s="814"/>
      <c r="HJ63" s="814"/>
      <c r="HK63" s="814"/>
      <c r="HL63" s="814"/>
      <c r="HM63" s="814"/>
      <c r="HN63" s="814"/>
      <c r="HO63" s="814"/>
      <c r="HP63" s="814"/>
      <c r="HQ63" s="814"/>
      <c r="HR63" s="814"/>
      <c r="HS63" s="814"/>
      <c r="HT63" s="814"/>
      <c r="HU63" s="814"/>
      <c r="HV63" s="814"/>
      <c r="HW63" s="814"/>
      <c r="HX63" s="814"/>
      <c r="HY63" s="814"/>
      <c r="HZ63" s="814"/>
      <c r="IA63" s="814"/>
      <c r="IB63" s="814"/>
      <c r="IC63" s="814"/>
      <c r="ID63" s="814"/>
      <c r="IE63" s="814"/>
      <c r="IF63" s="814"/>
      <c r="IG63" s="814"/>
      <c r="IH63" s="814"/>
      <c r="II63" s="814"/>
      <c r="IJ63" s="814"/>
      <c r="IK63" s="814"/>
      <c r="IL63" s="814"/>
      <c r="IM63" s="814"/>
      <c r="IN63" s="814"/>
      <c r="IO63" s="814"/>
      <c r="IP63" s="814"/>
      <c r="IQ63" s="814"/>
      <c r="IR63" s="814"/>
      <c r="IS63" s="814"/>
      <c r="IT63" s="814"/>
      <c r="IU63" s="814"/>
      <c r="IV63" s="814"/>
      <c r="IW63" s="814"/>
      <c r="IX63" s="814"/>
      <c r="IY63" s="814"/>
      <c r="IZ63" s="814"/>
      <c r="JA63" s="814"/>
      <c r="JB63" s="814"/>
      <c r="JC63" s="814"/>
      <c r="JD63" s="814"/>
      <c r="JE63" s="814"/>
      <c r="JF63" s="814"/>
      <c r="JG63" s="814"/>
      <c r="JH63" s="814"/>
      <c r="JI63" s="814"/>
      <c r="JJ63" s="814"/>
      <c r="JK63" s="814"/>
      <c r="JL63" s="814"/>
      <c r="JM63" s="814"/>
      <c r="JN63" s="814"/>
      <c r="JO63" s="814"/>
      <c r="JP63" s="814"/>
      <c r="JQ63" s="814"/>
      <c r="JR63" s="814"/>
      <c r="JS63" s="814"/>
      <c r="JT63" s="814"/>
      <c r="JU63" s="814"/>
      <c r="JV63" s="814"/>
      <c r="JW63" s="814"/>
      <c r="JX63" s="814"/>
      <c r="JY63" s="814"/>
      <c r="JZ63" s="814"/>
      <c r="KA63" s="814"/>
      <c r="KB63" s="814"/>
      <c r="KC63" s="814"/>
      <c r="KD63" s="814"/>
      <c r="KE63" s="814"/>
      <c r="KF63" s="814"/>
      <c r="KG63" s="814"/>
      <c r="KH63" s="814"/>
      <c r="KI63" s="814"/>
      <c r="KJ63" s="814"/>
      <c r="KK63" s="814"/>
      <c r="KL63" s="814"/>
      <c r="KM63" s="814"/>
      <c r="KN63" s="814"/>
      <c r="KO63" s="814"/>
      <c r="KP63" s="814"/>
      <c r="KQ63" s="814"/>
      <c r="KR63" s="814"/>
      <c r="KS63" s="814"/>
      <c r="KT63" s="814"/>
      <c r="KU63" s="814"/>
      <c r="KV63" s="814"/>
      <c r="KW63" s="814"/>
      <c r="KX63" s="814"/>
      <c r="KY63" s="814"/>
      <c r="KZ63" s="814"/>
      <c r="LA63" s="814"/>
      <c r="LB63" s="814"/>
      <c r="LC63" s="814"/>
      <c r="LD63" s="814"/>
      <c r="LE63" s="814"/>
      <c r="LF63" s="814"/>
      <c r="LG63" s="814"/>
      <c r="LH63" s="814"/>
      <c r="LI63" s="814"/>
      <c r="LJ63" s="814"/>
      <c r="LK63" s="814"/>
      <c r="LL63" s="814"/>
      <c r="LM63" s="814"/>
      <c r="LN63" s="814"/>
      <c r="LO63" s="814"/>
      <c r="LP63" s="814"/>
      <c r="LQ63" s="814"/>
      <c r="LR63" s="814"/>
      <c r="LS63" s="814"/>
      <c r="LT63" s="814"/>
      <c r="LU63" s="814"/>
      <c r="LV63" s="814"/>
      <c r="LW63" s="814"/>
      <c r="LX63" s="814"/>
      <c r="LY63" s="814"/>
      <c r="LZ63" s="814"/>
      <c r="MA63" s="814"/>
      <c r="MB63" s="814"/>
      <c r="MC63" s="814"/>
      <c r="MD63" s="814"/>
      <c r="ME63" s="814"/>
      <c r="MF63" s="814"/>
      <c r="MG63" s="814"/>
      <c r="MH63" s="814"/>
      <c r="MI63" s="814"/>
      <c r="MJ63" s="814"/>
      <c r="MK63" s="814"/>
      <c r="ML63" s="814"/>
      <c r="MM63" s="814"/>
      <c r="MN63" s="814"/>
      <c r="MO63" s="814"/>
      <c r="MP63" s="814"/>
      <c r="MQ63" s="814"/>
      <c r="MR63" s="814"/>
      <c r="MS63" s="814"/>
      <c r="MT63" s="814"/>
      <c r="MU63" s="814"/>
      <c r="MV63" s="814"/>
      <c r="MW63" s="814"/>
      <c r="MX63" s="814"/>
      <c r="MY63" s="814"/>
      <c r="MZ63" s="814"/>
      <c r="NA63" s="814"/>
      <c r="NB63" s="814"/>
      <c r="NC63" s="814"/>
      <c r="ND63" s="814"/>
      <c r="NE63" s="814"/>
      <c r="NF63" s="814"/>
      <c r="NG63" s="814"/>
      <c r="NH63" s="814"/>
      <c r="NI63" s="814"/>
      <c r="NJ63" s="814"/>
      <c r="NK63" s="814"/>
      <c r="NL63" s="814"/>
      <c r="NM63" s="814"/>
      <c r="NN63" s="814"/>
      <c r="NO63" s="814"/>
      <c r="NP63" s="814"/>
      <c r="NQ63" s="814"/>
      <c r="NR63" s="814"/>
      <c r="NS63" s="814"/>
      <c r="NT63" s="814"/>
      <c r="NU63" s="814"/>
      <c r="NV63" s="814"/>
      <c r="NW63" s="814"/>
      <c r="NX63" s="814"/>
      <c r="NY63" s="814"/>
      <c r="NZ63" s="814"/>
      <c r="OA63" s="814"/>
      <c r="OB63" s="814"/>
      <c r="OC63" s="814"/>
      <c r="OD63" s="814"/>
      <c r="OE63" s="814"/>
      <c r="OF63" s="814"/>
      <c r="OG63" s="814"/>
      <c r="OH63" s="814"/>
      <c r="OI63" s="814"/>
      <c r="OJ63" s="814"/>
      <c r="OK63" s="814"/>
      <c r="OL63" s="814"/>
      <c r="OM63" s="814"/>
      <c r="ON63" s="814"/>
      <c r="OO63" s="814"/>
      <c r="OP63" s="814"/>
      <c r="OQ63" s="814"/>
      <c r="OR63" s="814"/>
      <c r="OS63" s="814"/>
      <c r="OT63" s="814"/>
      <c r="OU63" s="814"/>
      <c r="OV63" s="814"/>
      <c r="OW63" s="814"/>
      <c r="OX63" s="814"/>
      <c r="OY63" s="814"/>
      <c r="OZ63" s="814"/>
      <c r="PA63" s="814"/>
      <c r="PB63" s="814"/>
      <c r="PC63" s="814"/>
      <c r="PD63" s="814"/>
      <c r="PE63" s="814"/>
      <c r="PF63" s="814"/>
      <c r="PG63" s="814"/>
      <c r="PH63" s="814"/>
      <c r="PI63" s="814"/>
      <c r="PJ63" s="814"/>
      <c r="PK63" s="814"/>
      <c r="PL63" s="814"/>
      <c r="PM63" s="814"/>
      <c r="PN63" s="814"/>
      <c r="PO63" s="814"/>
      <c r="PP63" s="814"/>
      <c r="PQ63" s="814"/>
      <c r="PR63" s="814"/>
      <c r="PS63" s="814"/>
      <c r="PT63" s="814"/>
      <c r="PU63" s="814"/>
      <c r="PV63" s="814"/>
      <c r="PW63" s="814"/>
      <c r="PX63" s="814"/>
      <c r="PY63" s="814"/>
      <c r="PZ63" s="814"/>
      <c r="QA63" s="814"/>
      <c r="QB63" s="814"/>
      <c r="QC63" s="814"/>
      <c r="QD63" s="814"/>
      <c r="QE63" s="814"/>
      <c r="QF63" s="814"/>
      <c r="QG63" s="814"/>
      <c r="QH63" s="814"/>
      <c r="QI63" s="814"/>
      <c r="QJ63" s="814"/>
      <c r="QK63" s="814"/>
      <c r="QL63" s="814"/>
      <c r="QM63" s="814"/>
      <c r="QN63" s="814"/>
      <c r="QO63" s="814"/>
      <c r="QP63" s="814"/>
      <c r="QQ63" s="814"/>
      <c r="QR63" s="814"/>
      <c r="QS63" s="814"/>
      <c r="QT63" s="814"/>
      <c r="QU63" s="814"/>
      <c r="QV63" s="814"/>
      <c r="QW63" s="814"/>
      <c r="QX63" s="814"/>
      <c r="QY63" s="814"/>
      <c r="QZ63" s="814"/>
      <c r="RA63" s="814"/>
      <c r="RB63" s="814"/>
      <c r="RC63" s="814"/>
      <c r="RD63" s="814"/>
      <c r="RE63" s="814"/>
      <c r="RF63" s="814"/>
      <c r="RG63" s="814"/>
      <c r="RH63" s="814"/>
      <c r="RI63" s="814"/>
      <c r="RJ63" s="814"/>
      <c r="RK63" s="814"/>
      <c r="RL63" s="814"/>
      <c r="RM63" s="814"/>
      <c r="RN63" s="814"/>
      <c r="RO63" s="814"/>
      <c r="RP63" s="814"/>
      <c r="RQ63" s="814"/>
      <c r="RR63" s="814"/>
      <c r="RS63" s="814"/>
      <c r="RT63" s="814"/>
      <c r="RU63" s="814"/>
      <c r="RV63" s="814"/>
      <c r="RW63" s="814"/>
      <c r="RX63" s="814"/>
    </row>
    <row r="64" spans="1:492" s="169" customFormat="1">
      <c r="A64" s="814"/>
      <c r="B64" s="814"/>
      <c r="C64" s="814"/>
      <c r="D64" s="814"/>
      <c r="E64" s="814"/>
      <c r="F64" s="814"/>
      <c r="G64" s="814"/>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04"/>
      <c r="AN64" s="804"/>
      <c r="AO64" s="804"/>
      <c r="AP64" s="804"/>
      <c r="AQ64" s="804"/>
      <c r="AR64" s="804"/>
      <c r="AS64" s="804"/>
      <c r="AT64" s="804"/>
      <c r="AU64" s="804"/>
      <c r="AV64" s="804"/>
      <c r="AW64" s="804"/>
      <c r="AX64" s="804"/>
      <c r="AY64" s="804"/>
      <c r="AZ64" s="804"/>
      <c r="BA64" s="804"/>
      <c r="BB64" s="804"/>
      <c r="BC64" s="804"/>
      <c r="BD64" s="804"/>
      <c r="BE64" s="804"/>
      <c r="BF64" s="804"/>
      <c r="BG64" s="804"/>
      <c r="BH64" s="804"/>
      <c r="BI64" s="804"/>
      <c r="BJ64" s="804"/>
      <c r="BK64" s="804"/>
      <c r="BL64" s="804"/>
      <c r="BM64" s="804"/>
      <c r="BN64" s="804"/>
      <c r="BO64" s="804"/>
      <c r="BP64" s="804"/>
      <c r="BQ64" s="804"/>
      <c r="BR64" s="814"/>
      <c r="BS64" s="814"/>
      <c r="BT64" s="814"/>
      <c r="BU64" s="814"/>
      <c r="BV64" s="814"/>
      <c r="BW64" s="814"/>
      <c r="BX64" s="814"/>
      <c r="BY64" s="814"/>
      <c r="BZ64" s="814"/>
      <c r="CA64" s="814"/>
      <c r="CB64" s="814"/>
      <c r="CC64" s="814"/>
      <c r="CD64" s="814"/>
      <c r="CE64" s="814"/>
      <c r="CF64" s="814"/>
      <c r="CG64" s="814"/>
      <c r="CH64" s="814"/>
      <c r="CI64" s="814"/>
      <c r="CJ64" s="814"/>
      <c r="CK64" s="814"/>
      <c r="CL64" s="814"/>
      <c r="CM64" s="814"/>
      <c r="CN64" s="814"/>
      <c r="CO64" s="814"/>
      <c r="CP64" s="814"/>
      <c r="CQ64" s="814"/>
      <c r="CR64" s="814"/>
      <c r="CS64" s="814"/>
      <c r="CT64" s="814"/>
      <c r="CU64" s="814"/>
      <c r="CV64" s="814"/>
      <c r="CW64" s="814"/>
      <c r="CX64" s="814"/>
      <c r="CY64" s="814"/>
      <c r="CZ64" s="814"/>
      <c r="DA64" s="814"/>
      <c r="DB64" s="814"/>
      <c r="DC64" s="814"/>
      <c r="DD64" s="814"/>
      <c r="DE64" s="814"/>
      <c r="DF64" s="814"/>
      <c r="DG64" s="814"/>
      <c r="DH64" s="814"/>
      <c r="DI64" s="814"/>
      <c r="DJ64" s="814"/>
      <c r="DK64" s="814"/>
      <c r="DL64" s="814"/>
      <c r="DM64" s="814"/>
      <c r="DN64" s="814"/>
      <c r="DO64" s="814"/>
      <c r="DP64" s="814"/>
      <c r="DQ64" s="814"/>
      <c r="DR64" s="814"/>
      <c r="DS64" s="814"/>
      <c r="DT64" s="814"/>
      <c r="DU64" s="814"/>
      <c r="DV64" s="814"/>
      <c r="DW64" s="814"/>
      <c r="DX64" s="814"/>
      <c r="DY64" s="814"/>
      <c r="DZ64" s="814"/>
      <c r="EA64" s="814"/>
      <c r="EB64" s="814"/>
      <c r="EC64" s="814"/>
      <c r="ED64" s="814"/>
      <c r="EE64" s="814"/>
      <c r="EF64" s="814"/>
      <c r="EG64" s="814"/>
      <c r="EH64" s="814"/>
      <c r="EI64" s="814"/>
      <c r="EJ64" s="814"/>
      <c r="EK64" s="814"/>
      <c r="EL64" s="814"/>
      <c r="EM64" s="814"/>
      <c r="EN64" s="814"/>
      <c r="EO64" s="814"/>
      <c r="EP64" s="814"/>
      <c r="EQ64" s="814"/>
      <c r="ER64" s="814"/>
      <c r="ES64" s="814"/>
      <c r="ET64" s="814"/>
      <c r="EU64" s="814"/>
      <c r="EV64" s="814"/>
      <c r="EW64" s="814"/>
      <c r="EX64" s="814"/>
      <c r="EY64" s="814"/>
      <c r="EZ64" s="814"/>
      <c r="FA64" s="814"/>
      <c r="FB64" s="814"/>
      <c r="FC64" s="814"/>
      <c r="FD64" s="814"/>
      <c r="FE64" s="814"/>
      <c r="FF64" s="814"/>
      <c r="FG64" s="814"/>
      <c r="FH64" s="814"/>
      <c r="FI64" s="814"/>
      <c r="FJ64" s="814"/>
      <c r="FK64" s="814"/>
      <c r="FL64" s="814"/>
      <c r="FM64" s="814"/>
      <c r="FN64" s="814"/>
      <c r="FO64" s="814"/>
      <c r="FP64" s="814"/>
      <c r="FQ64" s="814"/>
      <c r="FR64" s="814"/>
      <c r="FS64" s="814"/>
      <c r="FT64" s="814"/>
      <c r="FU64" s="814"/>
      <c r="FV64" s="814"/>
      <c r="FW64" s="814"/>
      <c r="FX64" s="814"/>
      <c r="FY64" s="814"/>
      <c r="FZ64" s="814"/>
      <c r="GA64" s="814"/>
      <c r="GB64" s="814"/>
      <c r="GC64" s="814"/>
      <c r="GD64" s="814"/>
      <c r="GE64" s="814"/>
      <c r="GF64" s="814"/>
      <c r="GG64" s="814"/>
      <c r="GH64" s="814"/>
      <c r="GI64" s="814"/>
      <c r="GJ64" s="814"/>
      <c r="GK64" s="814"/>
      <c r="GL64" s="814"/>
      <c r="GM64" s="814"/>
      <c r="GN64" s="814"/>
      <c r="GO64" s="814"/>
      <c r="GP64" s="814"/>
      <c r="GQ64" s="814"/>
      <c r="GR64" s="814"/>
      <c r="GS64" s="814"/>
      <c r="GT64" s="814"/>
      <c r="GU64" s="814"/>
      <c r="GV64" s="814"/>
      <c r="GW64" s="814"/>
      <c r="GX64" s="814"/>
      <c r="GY64" s="814"/>
      <c r="GZ64" s="814"/>
      <c r="HA64" s="814"/>
      <c r="HB64" s="814"/>
      <c r="HC64" s="814"/>
      <c r="HD64" s="814"/>
      <c r="HE64" s="814"/>
      <c r="HF64" s="814"/>
      <c r="HG64" s="814"/>
      <c r="HH64" s="814"/>
      <c r="HI64" s="814"/>
      <c r="HJ64" s="814"/>
      <c r="HK64" s="814"/>
      <c r="HL64" s="814"/>
      <c r="HM64" s="814"/>
      <c r="HN64" s="814"/>
      <c r="HO64" s="814"/>
      <c r="HP64" s="814"/>
      <c r="HQ64" s="814"/>
      <c r="HR64" s="814"/>
      <c r="HS64" s="814"/>
      <c r="HT64" s="814"/>
      <c r="HU64" s="814"/>
      <c r="HV64" s="814"/>
      <c r="HW64" s="814"/>
      <c r="HX64" s="814"/>
      <c r="HY64" s="814"/>
      <c r="HZ64" s="814"/>
      <c r="IA64" s="814"/>
      <c r="IB64" s="814"/>
      <c r="IC64" s="814"/>
      <c r="ID64" s="814"/>
      <c r="IE64" s="814"/>
      <c r="IF64" s="814"/>
      <c r="IG64" s="814"/>
      <c r="IH64" s="814"/>
      <c r="II64" s="814"/>
      <c r="IJ64" s="814"/>
      <c r="IK64" s="814"/>
      <c r="IL64" s="814"/>
      <c r="IM64" s="814"/>
      <c r="IN64" s="814"/>
      <c r="IO64" s="814"/>
      <c r="IP64" s="814"/>
      <c r="IQ64" s="814"/>
      <c r="IR64" s="814"/>
      <c r="IS64" s="814"/>
      <c r="IT64" s="814"/>
      <c r="IU64" s="814"/>
      <c r="IV64" s="814"/>
      <c r="IW64" s="814"/>
      <c r="IX64" s="814"/>
      <c r="IY64" s="814"/>
      <c r="IZ64" s="814"/>
      <c r="JA64" s="814"/>
      <c r="JB64" s="814"/>
      <c r="JC64" s="814"/>
      <c r="JD64" s="814"/>
      <c r="JE64" s="814"/>
      <c r="JF64" s="814"/>
      <c r="JG64" s="814"/>
      <c r="JH64" s="814"/>
      <c r="JI64" s="814"/>
      <c r="JJ64" s="814"/>
      <c r="JK64" s="814"/>
      <c r="JL64" s="814"/>
      <c r="JM64" s="814"/>
      <c r="JN64" s="814"/>
      <c r="JO64" s="814"/>
      <c r="JP64" s="814"/>
      <c r="JQ64" s="814"/>
      <c r="JR64" s="814"/>
      <c r="JS64" s="814"/>
      <c r="JT64" s="814"/>
      <c r="JU64" s="814"/>
      <c r="JV64" s="814"/>
      <c r="JW64" s="814"/>
      <c r="JX64" s="814"/>
      <c r="JY64" s="814"/>
      <c r="JZ64" s="814"/>
      <c r="KA64" s="814"/>
      <c r="KB64" s="814"/>
      <c r="KC64" s="814"/>
      <c r="KD64" s="814"/>
      <c r="KE64" s="814"/>
      <c r="KF64" s="814"/>
      <c r="KG64" s="814"/>
      <c r="KH64" s="814"/>
      <c r="KI64" s="814"/>
      <c r="KJ64" s="814"/>
      <c r="KK64" s="814"/>
      <c r="KL64" s="814"/>
      <c r="KM64" s="814"/>
      <c r="KN64" s="814"/>
      <c r="KO64" s="814"/>
      <c r="KP64" s="814"/>
      <c r="KQ64" s="814"/>
      <c r="KR64" s="814"/>
      <c r="KS64" s="814"/>
      <c r="KT64" s="814"/>
      <c r="KU64" s="814"/>
      <c r="KV64" s="814"/>
      <c r="KW64" s="814"/>
      <c r="KX64" s="814"/>
      <c r="KY64" s="814"/>
      <c r="KZ64" s="814"/>
      <c r="LA64" s="814"/>
      <c r="LB64" s="814"/>
      <c r="LC64" s="814"/>
      <c r="LD64" s="814"/>
      <c r="LE64" s="814"/>
      <c r="LF64" s="814"/>
      <c r="LG64" s="814"/>
      <c r="LH64" s="814"/>
      <c r="LI64" s="814"/>
      <c r="LJ64" s="814"/>
      <c r="LK64" s="814"/>
      <c r="LL64" s="814"/>
      <c r="LM64" s="814"/>
      <c r="LN64" s="814"/>
      <c r="LO64" s="814"/>
      <c r="LP64" s="814"/>
      <c r="LQ64" s="814"/>
      <c r="LR64" s="814"/>
      <c r="LS64" s="814"/>
      <c r="LT64" s="814"/>
      <c r="LU64" s="814"/>
      <c r="LV64" s="814"/>
      <c r="LW64" s="814"/>
      <c r="LX64" s="814"/>
      <c r="LY64" s="814"/>
      <c r="LZ64" s="814"/>
      <c r="MA64" s="814"/>
      <c r="MB64" s="814"/>
      <c r="MC64" s="814"/>
      <c r="MD64" s="814"/>
      <c r="ME64" s="814"/>
      <c r="MF64" s="814"/>
      <c r="MG64" s="814"/>
      <c r="MH64" s="814"/>
      <c r="MI64" s="814"/>
      <c r="MJ64" s="814"/>
      <c r="MK64" s="814"/>
      <c r="ML64" s="814"/>
      <c r="MM64" s="814"/>
      <c r="MN64" s="814"/>
      <c r="MO64" s="814"/>
      <c r="MP64" s="814"/>
      <c r="MQ64" s="814"/>
      <c r="MR64" s="814"/>
      <c r="MS64" s="814"/>
      <c r="MT64" s="814"/>
      <c r="MU64" s="814"/>
      <c r="MV64" s="814"/>
      <c r="MW64" s="814"/>
      <c r="MX64" s="814"/>
      <c r="MY64" s="814"/>
      <c r="MZ64" s="814"/>
      <c r="NA64" s="814"/>
      <c r="NB64" s="814"/>
      <c r="NC64" s="814"/>
      <c r="ND64" s="814"/>
      <c r="NE64" s="814"/>
      <c r="NF64" s="814"/>
      <c r="NG64" s="814"/>
      <c r="NH64" s="814"/>
      <c r="NI64" s="814"/>
      <c r="NJ64" s="814"/>
      <c r="NK64" s="814"/>
      <c r="NL64" s="814"/>
      <c r="NM64" s="814"/>
      <c r="NN64" s="814"/>
      <c r="NO64" s="814"/>
      <c r="NP64" s="814"/>
      <c r="NQ64" s="814"/>
      <c r="NR64" s="814"/>
      <c r="NS64" s="814"/>
      <c r="NT64" s="814"/>
      <c r="NU64" s="814"/>
      <c r="NV64" s="814"/>
      <c r="NW64" s="814"/>
      <c r="NX64" s="814"/>
      <c r="NY64" s="814"/>
      <c r="NZ64" s="814"/>
      <c r="OA64" s="814"/>
      <c r="OB64" s="814"/>
      <c r="OC64" s="814"/>
      <c r="OD64" s="814"/>
      <c r="OE64" s="814"/>
      <c r="OF64" s="814"/>
      <c r="OG64" s="814"/>
      <c r="OH64" s="814"/>
      <c r="OI64" s="814"/>
      <c r="OJ64" s="814"/>
      <c r="OK64" s="814"/>
      <c r="OL64" s="814"/>
      <c r="OM64" s="814"/>
      <c r="ON64" s="814"/>
      <c r="OO64" s="814"/>
      <c r="OP64" s="814"/>
      <c r="OQ64" s="814"/>
      <c r="OR64" s="814"/>
      <c r="OS64" s="814"/>
      <c r="OT64" s="814"/>
      <c r="OU64" s="814"/>
      <c r="OV64" s="814"/>
      <c r="OW64" s="814"/>
      <c r="OX64" s="814"/>
      <c r="OY64" s="814"/>
      <c r="OZ64" s="814"/>
      <c r="PA64" s="814"/>
      <c r="PB64" s="814"/>
      <c r="PC64" s="814"/>
      <c r="PD64" s="814"/>
      <c r="PE64" s="814"/>
      <c r="PF64" s="814"/>
      <c r="PG64" s="814"/>
      <c r="PH64" s="814"/>
      <c r="PI64" s="814"/>
      <c r="PJ64" s="814"/>
      <c r="PK64" s="814"/>
      <c r="PL64" s="814"/>
      <c r="PM64" s="814"/>
      <c r="PN64" s="814"/>
      <c r="PO64" s="814"/>
      <c r="PP64" s="814"/>
      <c r="PQ64" s="814"/>
      <c r="PR64" s="814"/>
      <c r="PS64" s="814"/>
      <c r="PT64" s="814"/>
      <c r="PU64" s="814"/>
      <c r="PV64" s="814"/>
      <c r="PW64" s="814"/>
      <c r="PX64" s="814"/>
      <c r="PY64" s="814"/>
      <c r="PZ64" s="814"/>
      <c r="QA64" s="814"/>
      <c r="QB64" s="814"/>
      <c r="QC64" s="814"/>
      <c r="QD64" s="814"/>
      <c r="QE64" s="814"/>
      <c r="QF64" s="814"/>
      <c r="QG64" s="814"/>
      <c r="QH64" s="814"/>
      <c r="QI64" s="814"/>
      <c r="QJ64" s="814"/>
      <c r="QK64" s="814"/>
      <c r="QL64" s="814"/>
      <c r="QM64" s="814"/>
      <c r="QN64" s="814"/>
      <c r="QO64" s="814"/>
      <c r="QP64" s="814"/>
      <c r="QQ64" s="814"/>
      <c r="QR64" s="814"/>
      <c r="QS64" s="814"/>
      <c r="QT64" s="814"/>
      <c r="QU64" s="814"/>
      <c r="QV64" s="814"/>
      <c r="QW64" s="814"/>
      <c r="QX64" s="814"/>
      <c r="QY64" s="814"/>
      <c r="QZ64" s="814"/>
      <c r="RA64" s="814"/>
      <c r="RB64" s="814"/>
      <c r="RC64" s="814"/>
      <c r="RD64" s="814"/>
      <c r="RE64" s="814"/>
      <c r="RF64" s="814"/>
      <c r="RG64" s="814"/>
      <c r="RH64" s="814"/>
      <c r="RI64" s="814"/>
      <c r="RJ64" s="814"/>
      <c r="RK64" s="814"/>
      <c r="RL64" s="814"/>
      <c r="RM64" s="814"/>
      <c r="RN64" s="814"/>
      <c r="RO64" s="814"/>
      <c r="RP64" s="814"/>
      <c r="RQ64" s="814"/>
      <c r="RR64" s="814"/>
      <c r="RS64" s="814"/>
      <c r="RT64" s="814"/>
      <c r="RU64" s="814"/>
      <c r="RV64" s="814"/>
      <c r="RW64" s="814"/>
      <c r="RX64" s="814"/>
    </row>
    <row r="65" spans="39:69" s="169" customFormat="1">
      <c r="AM65" s="804"/>
      <c r="AN65" s="804"/>
      <c r="AO65" s="804"/>
      <c r="AP65" s="804"/>
      <c r="AQ65" s="804"/>
      <c r="AR65" s="804"/>
      <c r="AS65" s="804"/>
      <c r="AT65" s="804"/>
      <c r="AU65" s="804"/>
      <c r="AV65" s="804"/>
      <c r="AW65" s="804"/>
      <c r="AX65" s="804"/>
      <c r="AY65" s="804"/>
      <c r="AZ65" s="804"/>
      <c r="BA65" s="804"/>
      <c r="BB65" s="804"/>
      <c r="BC65" s="804"/>
      <c r="BD65" s="804"/>
      <c r="BE65" s="804"/>
      <c r="BF65" s="804"/>
      <c r="BG65" s="804"/>
      <c r="BH65" s="804"/>
      <c r="BI65" s="804"/>
      <c r="BJ65" s="804"/>
      <c r="BK65" s="804"/>
      <c r="BL65" s="804"/>
      <c r="BM65" s="804"/>
      <c r="BN65" s="804"/>
      <c r="BO65" s="804"/>
      <c r="BP65" s="804"/>
      <c r="BQ65" s="804"/>
    </row>
    <row r="66" spans="39:69" s="169" customFormat="1">
      <c r="AM66" s="804"/>
      <c r="AN66" s="804"/>
      <c r="AO66" s="804"/>
      <c r="AP66" s="804"/>
      <c r="AQ66" s="804"/>
      <c r="AR66" s="804"/>
      <c r="AS66" s="804"/>
      <c r="AT66" s="804"/>
      <c r="AU66" s="804"/>
      <c r="AV66" s="804"/>
      <c r="AW66" s="804"/>
      <c r="AX66" s="804"/>
      <c r="AY66" s="804"/>
      <c r="AZ66" s="804"/>
      <c r="BA66" s="804"/>
      <c r="BB66" s="804"/>
      <c r="BC66" s="804"/>
      <c r="BD66" s="804"/>
      <c r="BE66" s="804"/>
      <c r="BF66" s="804"/>
      <c r="BG66" s="804"/>
      <c r="BH66" s="804"/>
      <c r="BI66" s="804"/>
      <c r="BJ66" s="804"/>
      <c r="BK66" s="804"/>
      <c r="BL66" s="804"/>
      <c r="BM66" s="804"/>
      <c r="BN66" s="804"/>
      <c r="BO66" s="804"/>
      <c r="BP66" s="804"/>
      <c r="BQ66" s="804"/>
    </row>
    <row r="67" spans="39:69" s="169" customFormat="1">
      <c r="AM67" s="804"/>
      <c r="AN67" s="804"/>
      <c r="AO67" s="804"/>
      <c r="AP67" s="804"/>
      <c r="AQ67" s="804"/>
      <c r="AR67" s="804"/>
      <c r="AS67" s="804"/>
      <c r="AT67" s="804"/>
      <c r="AU67" s="804"/>
      <c r="AV67" s="804"/>
      <c r="AW67" s="804"/>
      <c r="AX67" s="804"/>
      <c r="AY67" s="804"/>
      <c r="AZ67" s="804"/>
      <c r="BA67" s="804"/>
      <c r="BB67" s="804"/>
      <c r="BC67" s="804"/>
      <c r="BD67" s="804"/>
      <c r="BE67" s="804"/>
      <c r="BF67" s="804"/>
      <c r="BG67" s="804"/>
      <c r="BH67" s="804"/>
      <c r="BI67" s="804"/>
      <c r="BJ67" s="804"/>
      <c r="BK67" s="804"/>
      <c r="BL67" s="804"/>
      <c r="BM67" s="804"/>
      <c r="BN67" s="804"/>
      <c r="BO67" s="804"/>
      <c r="BP67" s="804"/>
      <c r="BQ67" s="804"/>
    </row>
    <row r="68" spans="39:69" s="169" customFormat="1">
      <c r="AM68" s="804"/>
      <c r="AN68" s="804"/>
      <c r="AO68" s="804"/>
      <c r="AP68" s="804"/>
      <c r="AQ68" s="804"/>
      <c r="AR68" s="804"/>
      <c r="AS68" s="804"/>
      <c r="AT68" s="804"/>
      <c r="AU68" s="804"/>
      <c r="AV68" s="804"/>
      <c r="AW68" s="804"/>
      <c r="AX68" s="804"/>
      <c r="AY68" s="804"/>
      <c r="AZ68" s="804"/>
      <c r="BA68" s="804"/>
      <c r="BB68" s="804"/>
      <c r="BC68" s="804"/>
      <c r="BD68" s="804"/>
      <c r="BE68" s="804"/>
      <c r="BF68" s="804"/>
      <c r="BG68" s="804"/>
      <c r="BH68" s="804"/>
      <c r="BI68" s="804"/>
      <c r="BJ68" s="804"/>
      <c r="BK68" s="804"/>
      <c r="BL68" s="804"/>
      <c r="BM68" s="804"/>
      <c r="BN68" s="804"/>
      <c r="BO68" s="804"/>
      <c r="BP68" s="804"/>
      <c r="BQ68" s="804"/>
    </row>
    <row r="69" spans="39:69" s="169" customFormat="1">
      <c r="AM69" s="804"/>
      <c r="AN69" s="804"/>
      <c r="AO69" s="804"/>
      <c r="AP69" s="804"/>
      <c r="AQ69" s="804"/>
      <c r="AR69" s="804"/>
      <c r="AS69" s="804"/>
      <c r="AT69" s="804"/>
      <c r="AU69" s="804"/>
      <c r="AV69" s="804"/>
      <c r="AW69" s="804"/>
      <c r="AX69" s="804"/>
      <c r="AY69" s="804"/>
      <c r="AZ69" s="804"/>
      <c r="BA69" s="804"/>
      <c r="BB69" s="804"/>
      <c r="BC69" s="804"/>
      <c r="BD69" s="804"/>
      <c r="BE69" s="804"/>
      <c r="BF69" s="804"/>
      <c r="BG69" s="804"/>
      <c r="BH69" s="804"/>
      <c r="BI69" s="804"/>
      <c r="BJ69" s="804"/>
      <c r="BK69" s="804"/>
      <c r="BL69" s="804"/>
      <c r="BM69" s="804"/>
      <c r="BN69" s="804"/>
      <c r="BO69" s="804"/>
      <c r="BP69" s="804"/>
      <c r="BQ69" s="804"/>
    </row>
    <row r="70" spans="39:69" s="169" customFormat="1">
      <c r="AM70" s="804"/>
      <c r="AN70" s="804"/>
      <c r="AO70" s="804"/>
      <c r="AP70" s="804"/>
      <c r="AQ70" s="804"/>
      <c r="AR70" s="804"/>
      <c r="AS70" s="804"/>
      <c r="AT70" s="804"/>
      <c r="AU70" s="804"/>
      <c r="AV70" s="804"/>
      <c r="AW70" s="804"/>
      <c r="AX70" s="804"/>
      <c r="AY70" s="804"/>
      <c r="AZ70" s="804"/>
      <c r="BA70" s="804"/>
      <c r="BB70" s="804"/>
      <c r="BC70" s="804"/>
      <c r="BD70" s="804"/>
      <c r="BE70" s="804"/>
      <c r="BF70" s="804"/>
      <c r="BG70" s="804"/>
      <c r="BH70" s="804"/>
      <c r="BI70" s="804"/>
      <c r="BJ70" s="804"/>
      <c r="BK70" s="804"/>
      <c r="BL70" s="804"/>
      <c r="BM70" s="804"/>
      <c r="BN70" s="804"/>
      <c r="BO70" s="804"/>
      <c r="BP70" s="804"/>
      <c r="BQ70" s="804"/>
    </row>
    <row r="71" spans="39:69" s="169" customFormat="1">
      <c r="AM71" s="804"/>
      <c r="AN71" s="804"/>
      <c r="AO71" s="804"/>
      <c r="AP71" s="804"/>
      <c r="AQ71" s="804"/>
      <c r="AR71" s="804"/>
      <c r="AS71" s="804"/>
      <c r="AT71" s="804"/>
      <c r="AU71" s="804"/>
      <c r="AV71" s="804"/>
      <c r="AW71" s="804"/>
      <c r="AX71" s="804"/>
      <c r="AY71" s="804"/>
      <c r="AZ71" s="804"/>
      <c r="BA71" s="804"/>
      <c r="BB71" s="804"/>
      <c r="BC71" s="804"/>
      <c r="BD71" s="804"/>
      <c r="BE71" s="804"/>
      <c r="BF71" s="804"/>
      <c r="BG71" s="804"/>
      <c r="BH71" s="804"/>
      <c r="BI71" s="804"/>
      <c r="BJ71" s="804"/>
      <c r="BK71" s="804"/>
      <c r="BL71" s="804"/>
      <c r="BM71" s="804"/>
      <c r="BN71" s="804"/>
      <c r="BO71" s="804"/>
      <c r="BP71" s="804"/>
      <c r="BQ71" s="804"/>
    </row>
    <row r="72" spans="39:69" s="169" customFormat="1">
      <c r="AM72" s="804"/>
      <c r="AN72" s="804"/>
      <c r="AO72" s="804"/>
      <c r="AP72" s="804"/>
      <c r="AQ72" s="804"/>
      <c r="AR72" s="804"/>
      <c r="AS72" s="804"/>
      <c r="AT72" s="804"/>
      <c r="AU72" s="804"/>
      <c r="AV72" s="804"/>
      <c r="AW72" s="804"/>
      <c r="AX72" s="804"/>
      <c r="AY72" s="804"/>
      <c r="AZ72" s="804"/>
      <c r="BA72" s="804"/>
      <c r="BB72" s="804"/>
      <c r="BC72" s="804"/>
      <c r="BD72" s="804"/>
      <c r="BE72" s="804"/>
      <c r="BF72" s="804"/>
      <c r="BG72" s="804"/>
      <c r="BH72" s="804"/>
      <c r="BI72" s="804"/>
      <c r="BJ72" s="804"/>
      <c r="BK72" s="804"/>
      <c r="BL72" s="804"/>
      <c r="BM72" s="804"/>
      <c r="BN72" s="804"/>
      <c r="BO72" s="804"/>
      <c r="BP72" s="804"/>
      <c r="BQ72" s="804"/>
    </row>
    <row r="73" spans="39:69" s="169" customFormat="1">
      <c r="AM73" s="804"/>
      <c r="AN73" s="804"/>
      <c r="AO73" s="804"/>
      <c r="AP73" s="804"/>
      <c r="AQ73" s="804"/>
      <c r="AR73" s="804"/>
      <c r="AS73" s="804"/>
      <c r="AT73" s="804"/>
      <c r="AU73" s="804"/>
      <c r="AV73" s="804"/>
      <c r="AW73" s="804"/>
      <c r="AX73" s="804"/>
      <c r="AY73" s="804"/>
      <c r="AZ73" s="804"/>
      <c r="BA73" s="804"/>
      <c r="BB73" s="804"/>
      <c r="BC73" s="804"/>
      <c r="BD73" s="804"/>
      <c r="BE73" s="804"/>
      <c r="BF73" s="804"/>
      <c r="BG73" s="804"/>
      <c r="BH73" s="804"/>
      <c r="BI73" s="804"/>
      <c r="BJ73" s="804"/>
      <c r="BK73" s="804"/>
      <c r="BL73" s="804"/>
      <c r="BM73" s="804"/>
      <c r="BN73" s="804"/>
      <c r="BO73" s="804"/>
      <c r="BP73" s="804"/>
      <c r="BQ73" s="804"/>
    </row>
    <row r="74" spans="39:69" s="169" customFormat="1">
      <c r="AM74" s="804"/>
      <c r="AN74" s="804"/>
      <c r="AO74" s="804"/>
      <c r="AP74" s="804"/>
      <c r="AQ74" s="804"/>
      <c r="AR74" s="804"/>
      <c r="AS74" s="804"/>
      <c r="AT74" s="804"/>
      <c r="AU74" s="804"/>
      <c r="AV74" s="804"/>
      <c r="AW74" s="804"/>
      <c r="AX74" s="804"/>
      <c r="AY74" s="804"/>
      <c r="AZ74" s="804"/>
      <c r="BA74" s="804"/>
      <c r="BB74" s="804"/>
      <c r="BC74" s="804"/>
      <c r="BD74" s="804"/>
      <c r="BE74" s="804"/>
      <c r="BF74" s="804"/>
      <c r="BG74" s="804"/>
      <c r="BH74" s="804"/>
      <c r="BI74" s="804"/>
      <c r="BJ74" s="804"/>
      <c r="BK74" s="804"/>
      <c r="BL74" s="804"/>
      <c r="BM74" s="804"/>
      <c r="BN74" s="804"/>
      <c r="BO74" s="804"/>
      <c r="BP74" s="804"/>
      <c r="BQ74" s="804"/>
    </row>
    <row r="75" spans="39:69" s="169" customFormat="1">
      <c r="AM75" s="804"/>
      <c r="AN75" s="804"/>
      <c r="AO75" s="804"/>
      <c r="AP75" s="804"/>
      <c r="AQ75" s="804"/>
      <c r="AR75" s="804"/>
      <c r="AS75" s="804"/>
      <c r="AT75" s="804"/>
      <c r="AU75" s="804"/>
      <c r="AV75" s="804"/>
      <c r="AW75" s="804"/>
      <c r="AX75" s="804"/>
      <c r="AY75" s="804"/>
      <c r="AZ75" s="804"/>
      <c r="BA75" s="804"/>
      <c r="BB75" s="804"/>
      <c r="BC75" s="804"/>
      <c r="BD75" s="804"/>
      <c r="BE75" s="804"/>
      <c r="BF75" s="804"/>
      <c r="BG75" s="804"/>
      <c r="BH75" s="804"/>
      <c r="BI75" s="804"/>
      <c r="BJ75" s="804"/>
      <c r="BK75" s="804"/>
      <c r="BL75" s="804"/>
      <c r="BM75" s="804"/>
      <c r="BN75" s="804"/>
      <c r="BO75" s="804"/>
      <c r="BP75" s="804"/>
      <c r="BQ75" s="804"/>
    </row>
    <row r="76" spans="39:69" s="169" customFormat="1">
      <c r="AM76" s="804"/>
      <c r="AN76" s="804"/>
      <c r="AO76" s="804"/>
      <c r="AP76" s="804"/>
      <c r="AQ76" s="804"/>
      <c r="AR76" s="804"/>
      <c r="AS76" s="804"/>
      <c r="AT76" s="804"/>
      <c r="AU76" s="804"/>
      <c r="AV76" s="804"/>
      <c r="AW76" s="804"/>
      <c r="AX76" s="804"/>
      <c r="AY76" s="804"/>
      <c r="AZ76" s="804"/>
      <c r="BA76" s="804"/>
      <c r="BB76" s="804"/>
      <c r="BC76" s="804"/>
      <c r="BD76" s="804"/>
      <c r="BE76" s="804"/>
      <c r="BF76" s="804"/>
      <c r="BG76" s="804"/>
      <c r="BH76" s="804"/>
      <c r="BI76" s="804"/>
      <c r="BJ76" s="804"/>
      <c r="BK76" s="804"/>
      <c r="BL76" s="804"/>
      <c r="BM76" s="804"/>
      <c r="BN76" s="804"/>
      <c r="BO76" s="804"/>
      <c r="BP76" s="804"/>
      <c r="BQ76" s="804"/>
    </row>
    <row r="77" spans="39:69" s="169" customFormat="1">
      <c r="AM77" s="804"/>
      <c r="AN77" s="804"/>
      <c r="AO77" s="804"/>
      <c r="AP77" s="804"/>
      <c r="AQ77" s="804"/>
      <c r="AR77" s="804"/>
      <c r="AS77" s="804"/>
      <c r="AT77" s="804"/>
      <c r="AU77" s="804"/>
      <c r="AV77" s="804"/>
      <c r="AW77" s="804"/>
      <c r="AX77" s="804"/>
      <c r="AY77" s="804"/>
      <c r="AZ77" s="804"/>
      <c r="BA77" s="804"/>
      <c r="BB77" s="804"/>
      <c r="BC77" s="804"/>
      <c r="BD77" s="804"/>
      <c r="BE77" s="804"/>
      <c r="BF77" s="804"/>
      <c r="BG77" s="804"/>
      <c r="BH77" s="804"/>
      <c r="BI77" s="804"/>
      <c r="BJ77" s="804"/>
      <c r="BK77" s="804"/>
      <c r="BL77" s="804"/>
      <c r="BM77" s="804"/>
      <c r="BN77" s="804"/>
      <c r="BO77" s="804"/>
      <c r="BP77" s="804"/>
      <c r="BQ77" s="804"/>
    </row>
    <row r="78" spans="39:69" s="169" customFormat="1">
      <c r="AM78" s="804"/>
      <c r="AN78" s="804"/>
      <c r="AO78" s="804"/>
      <c r="AP78" s="804"/>
      <c r="AQ78" s="804"/>
      <c r="AR78" s="804"/>
      <c r="AS78" s="804"/>
      <c r="AT78" s="804"/>
      <c r="AU78" s="804"/>
      <c r="AV78" s="804"/>
      <c r="AW78" s="804"/>
      <c r="AX78" s="804"/>
      <c r="AY78" s="804"/>
      <c r="AZ78" s="804"/>
      <c r="BA78" s="804"/>
      <c r="BB78" s="804"/>
      <c r="BC78" s="804"/>
      <c r="BD78" s="804"/>
      <c r="BE78" s="804"/>
      <c r="BF78" s="804"/>
      <c r="BG78" s="804"/>
      <c r="BH78" s="804"/>
      <c r="BI78" s="804"/>
      <c r="BJ78" s="804"/>
      <c r="BK78" s="804"/>
      <c r="BL78" s="804"/>
      <c r="BM78" s="804"/>
      <c r="BN78" s="804"/>
      <c r="BO78" s="804"/>
      <c r="BP78" s="804"/>
      <c r="BQ78" s="804"/>
    </row>
    <row r="79" spans="39:69" s="169" customFormat="1">
      <c r="AM79" s="804"/>
      <c r="AN79" s="804"/>
      <c r="AO79" s="804"/>
      <c r="AP79" s="804"/>
      <c r="AQ79" s="804"/>
      <c r="AR79" s="804"/>
      <c r="AS79" s="804"/>
      <c r="AT79" s="804"/>
      <c r="AU79" s="804"/>
      <c r="AV79" s="804"/>
      <c r="AW79" s="804"/>
      <c r="AX79" s="804"/>
      <c r="AY79" s="804"/>
      <c r="AZ79" s="804"/>
      <c r="BA79" s="804"/>
      <c r="BB79" s="804"/>
      <c r="BC79" s="804"/>
      <c r="BD79" s="804"/>
      <c r="BE79" s="804"/>
      <c r="BF79" s="804"/>
      <c r="BG79" s="804"/>
      <c r="BH79" s="804"/>
      <c r="BI79" s="804"/>
      <c r="BJ79" s="804"/>
      <c r="BK79" s="804"/>
      <c r="BL79" s="804"/>
      <c r="BM79" s="804"/>
      <c r="BN79" s="804"/>
      <c r="BO79" s="804"/>
      <c r="BP79" s="804"/>
      <c r="BQ79" s="804"/>
    </row>
    <row r="80" spans="39:69" s="169" customFormat="1">
      <c r="AM80" s="804"/>
      <c r="AN80" s="804"/>
      <c r="AO80" s="804"/>
      <c r="AP80" s="804"/>
      <c r="AQ80" s="804"/>
      <c r="AR80" s="804"/>
      <c r="AS80" s="804"/>
      <c r="AT80" s="804"/>
      <c r="AU80" s="804"/>
      <c r="AV80" s="804"/>
      <c r="AW80" s="804"/>
      <c r="AX80" s="804"/>
      <c r="AY80" s="804"/>
      <c r="AZ80" s="804"/>
      <c r="BA80" s="804"/>
      <c r="BB80" s="804"/>
      <c r="BC80" s="804"/>
      <c r="BD80" s="804"/>
      <c r="BE80" s="804"/>
      <c r="BF80" s="804"/>
      <c r="BG80" s="804"/>
      <c r="BH80" s="804"/>
      <c r="BI80" s="804"/>
      <c r="BJ80" s="804"/>
      <c r="BK80" s="804"/>
      <c r="BL80" s="804"/>
      <c r="BM80" s="804"/>
      <c r="BN80" s="804"/>
      <c r="BO80" s="804"/>
      <c r="BP80" s="804"/>
      <c r="BQ80" s="804"/>
    </row>
    <row r="81" spans="39:69" s="169" customFormat="1">
      <c r="AM81" s="804"/>
      <c r="AN81" s="804"/>
      <c r="AO81" s="804"/>
      <c r="AP81" s="804"/>
      <c r="AQ81" s="804"/>
      <c r="AR81" s="804"/>
      <c r="AS81" s="804"/>
      <c r="AT81" s="804"/>
      <c r="AU81" s="804"/>
      <c r="AV81" s="804"/>
      <c r="AW81" s="804"/>
      <c r="AX81" s="804"/>
      <c r="AY81" s="804"/>
      <c r="AZ81" s="804"/>
      <c r="BA81" s="804"/>
      <c r="BB81" s="804"/>
      <c r="BC81" s="804"/>
      <c r="BD81" s="804"/>
      <c r="BE81" s="804"/>
      <c r="BF81" s="804"/>
      <c r="BG81" s="804"/>
      <c r="BH81" s="804"/>
      <c r="BI81" s="804"/>
      <c r="BJ81" s="804"/>
      <c r="BK81" s="804"/>
      <c r="BL81" s="804"/>
      <c r="BM81" s="804"/>
      <c r="BN81" s="804"/>
      <c r="BO81" s="804"/>
      <c r="BP81" s="804"/>
      <c r="BQ81" s="804"/>
    </row>
    <row r="82" spans="39:69" s="169" customFormat="1">
      <c r="AM82" s="804"/>
      <c r="AN82" s="804"/>
      <c r="AO82" s="804"/>
      <c r="AP82" s="804"/>
      <c r="AQ82" s="804"/>
      <c r="AR82" s="804"/>
      <c r="AS82" s="804"/>
      <c r="AT82" s="804"/>
      <c r="AU82" s="804"/>
      <c r="AV82" s="804"/>
      <c r="AW82" s="804"/>
      <c r="AX82" s="804"/>
      <c r="AY82" s="804"/>
      <c r="AZ82" s="804"/>
      <c r="BA82" s="804"/>
      <c r="BB82" s="804"/>
      <c r="BC82" s="804"/>
      <c r="BD82" s="804"/>
      <c r="BE82" s="804"/>
      <c r="BF82" s="804"/>
      <c r="BG82" s="804"/>
      <c r="BH82" s="804"/>
      <c r="BI82" s="804"/>
      <c r="BJ82" s="804"/>
      <c r="BK82" s="804"/>
      <c r="BL82" s="804"/>
      <c r="BM82" s="804"/>
      <c r="BN82" s="804"/>
      <c r="BO82" s="804"/>
      <c r="BP82" s="804"/>
      <c r="BQ82" s="804"/>
    </row>
    <row r="83" spans="39:69" s="169" customFormat="1">
      <c r="AM83" s="804"/>
      <c r="AN83" s="804"/>
      <c r="AO83" s="804"/>
      <c r="AP83" s="804"/>
      <c r="AQ83" s="804"/>
      <c r="AR83" s="804"/>
      <c r="AS83" s="804"/>
      <c r="AT83" s="804"/>
      <c r="AU83" s="804"/>
      <c r="AV83" s="804"/>
      <c r="AW83" s="804"/>
      <c r="AX83" s="804"/>
      <c r="AY83" s="804"/>
      <c r="AZ83" s="804"/>
      <c r="BA83" s="804"/>
      <c r="BB83" s="804"/>
      <c r="BC83" s="804"/>
      <c r="BD83" s="804"/>
      <c r="BE83" s="804"/>
      <c r="BF83" s="804"/>
      <c r="BG83" s="804"/>
      <c r="BH83" s="804"/>
      <c r="BI83" s="804"/>
      <c r="BJ83" s="804"/>
      <c r="BK83" s="804"/>
      <c r="BL83" s="804"/>
      <c r="BM83" s="804"/>
      <c r="BN83" s="804"/>
      <c r="BO83" s="804"/>
      <c r="BP83" s="804"/>
      <c r="BQ83" s="804"/>
    </row>
    <row r="84" spans="39:69" s="169" customFormat="1">
      <c r="AM84" s="804"/>
      <c r="AN84" s="804"/>
      <c r="AO84" s="804"/>
      <c r="AP84" s="804"/>
      <c r="AQ84" s="804"/>
      <c r="AR84" s="804"/>
      <c r="AS84" s="804"/>
      <c r="AT84" s="804"/>
      <c r="AU84" s="804"/>
      <c r="AV84" s="804"/>
      <c r="AW84" s="804"/>
      <c r="AX84" s="804"/>
      <c r="AY84" s="804"/>
      <c r="AZ84" s="804"/>
      <c r="BA84" s="804"/>
      <c r="BB84" s="804"/>
      <c r="BC84" s="804"/>
      <c r="BD84" s="804"/>
      <c r="BE84" s="804"/>
      <c r="BF84" s="804"/>
      <c r="BG84" s="804"/>
      <c r="BH84" s="804"/>
      <c r="BI84" s="804"/>
      <c r="BJ84" s="804"/>
      <c r="BK84" s="804"/>
      <c r="BL84" s="804"/>
      <c r="BM84" s="804"/>
      <c r="BN84" s="804"/>
      <c r="BO84" s="804"/>
      <c r="BP84" s="804"/>
      <c r="BQ84" s="804"/>
    </row>
    <row r="85" spans="39:69" s="169" customFormat="1">
      <c r="AM85" s="804"/>
      <c r="AN85" s="804"/>
      <c r="AO85" s="804"/>
      <c r="AP85" s="804"/>
      <c r="AQ85" s="804"/>
      <c r="AR85" s="804"/>
      <c r="AS85" s="804"/>
      <c r="AT85" s="804"/>
      <c r="AU85" s="804"/>
      <c r="AV85" s="804"/>
      <c r="AW85" s="804"/>
      <c r="AX85" s="804"/>
      <c r="AY85" s="804"/>
      <c r="AZ85" s="804"/>
      <c r="BA85" s="804"/>
      <c r="BB85" s="804"/>
      <c r="BC85" s="804"/>
      <c r="BD85" s="804"/>
      <c r="BE85" s="804"/>
      <c r="BF85" s="804"/>
      <c r="BG85" s="804"/>
      <c r="BH85" s="804"/>
      <c r="BI85" s="804"/>
      <c r="BJ85" s="804"/>
      <c r="BK85" s="804"/>
      <c r="BL85" s="804"/>
      <c r="BM85" s="804"/>
      <c r="BN85" s="804"/>
      <c r="BO85" s="804"/>
      <c r="BP85" s="804"/>
      <c r="BQ85" s="804"/>
    </row>
    <row r="86" spans="39:69" s="169" customFormat="1">
      <c r="AM86" s="804"/>
      <c r="AN86" s="804"/>
      <c r="AO86" s="804"/>
      <c r="AP86" s="804"/>
      <c r="AQ86" s="804"/>
      <c r="AR86" s="804"/>
      <c r="AS86" s="804"/>
      <c r="AT86" s="804"/>
      <c r="AU86" s="804"/>
      <c r="AV86" s="804"/>
      <c r="AW86" s="804"/>
      <c r="AX86" s="804"/>
      <c r="AY86" s="804"/>
      <c r="AZ86" s="804"/>
      <c r="BA86" s="804"/>
      <c r="BB86" s="804"/>
      <c r="BC86" s="804"/>
      <c r="BD86" s="804"/>
      <c r="BE86" s="804"/>
      <c r="BF86" s="804"/>
      <c r="BG86" s="804"/>
      <c r="BH86" s="804"/>
      <c r="BI86" s="804"/>
      <c r="BJ86" s="804"/>
      <c r="BK86" s="804"/>
      <c r="BL86" s="804"/>
      <c r="BM86" s="804"/>
      <c r="BN86" s="804"/>
      <c r="BO86" s="804"/>
      <c r="BP86" s="804"/>
      <c r="BQ86" s="804"/>
    </row>
    <row r="87" spans="39:69" s="169" customFormat="1">
      <c r="AM87" s="804"/>
      <c r="AN87" s="804"/>
      <c r="AO87" s="804"/>
      <c r="AP87" s="804"/>
      <c r="AQ87" s="804"/>
      <c r="AR87" s="804"/>
      <c r="AS87" s="804"/>
      <c r="AT87" s="804"/>
      <c r="AU87" s="804"/>
      <c r="AV87" s="804"/>
      <c r="AW87" s="804"/>
      <c r="AX87" s="804"/>
      <c r="AY87" s="804"/>
      <c r="AZ87" s="804"/>
      <c r="BA87" s="804"/>
      <c r="BB87" s="804"/>
      <c r="BC87" s="804"/>
      <c r="BD87" s="804"/>
      <c r="BE87" s="804"/>
      <c r="BF87" s="804"/>
      <c r="BG87" s="804"/>
      <c r="BH87" s="804"/>
      <c r="BI87" s="804"/>
      <c r="BJ87" s="804"/>
      <c r="BK87" s="804"/>
      <c r="BL87" s="804"/>
      <c r="BM87" s="804"/>
      <c r="BN87" s="804"/>
      <c r="BO87" s="804"/>
      <c r="BP87" s="804"/>
      <c r="BQ87" s="804"/>
    </row>
    <row r="88" spans="39:69" s="169" customFormat="1">
      <c r="AM88" s="804"/>
      <c r="AN88" s="804"/>
      <c r="AO88" s="804"/>
      <c r="AP88" s="804"/>
      <c r="AQ88" s="804"/>
      <c r="AR88" s="804"/>
      <c r="AS88" s="804"/>
      <c r="AT88" s="804"/>
      <c r="AU88" s="804"/>
      <c r="AV88" s="804"/>
      <c r="AW88" s="804"/>
      <c r="AX88" s="804"/>
      <c r="AY88" s="804"/>
      <c r="AZ88" s="804"/>
      <c r="BA88" s="804"/>
      <c r="BB88" s="804"/>
      <c r="BC88" s="804"/>
      <c r="BD88" s="804"/>
      <c r="BE88" s="804"/>
      <c r="BF88" s="804"/>
      <c r="BG88" s="804"/>
      <c r="BH88" s="804"/>
      <c r="BI88" s="804"/>
      <c r="BJ88" s="804"/>
      <c r="BK88" s="804"/>
      <c r="BL88" s="804"/>
      <c r="BM88" s="804"/>
      <c r="BN88" s="804"/>
      <c r="BO88" s="804"/>
      <c r="BP88" s="804"/>
      <c r="BQ88" s="804"/>
    </row>
    <row r="89" spans="39:69" s="169" customFormat="1">
      <c r="AM89" s="804"/>
      <c r="AN89" s="804"/>
      <c r="AO89" s="804"/>
      <c r="AP89" s="804"/>
      <c r="AQ89" s="804"/>
      <c r="AR89" s="804"/>
      <c r="AS89" s="804"/>
      <c r="AT89" s="804"/>
      <c r="AU89" s="804"/>
      <c r="AV89" s="804"/>
      <c r="AW89" s="804"/>
      <c r="AX89" s="804"/>
      <c r="AY89" s="804"/>
      <c r="AZ89" s="804"/>
      <c r="BA89" s="804"/>
      <c r="BB89" s="804"/>
      <c r="BC89" s="804"/>
      <c r="BD89" s="804"/>
      <c r="BE89" s="804"/>
      <c r="BF89" s="804"/>
      <c r="BG89" s="804"/>
      <c r="BH89" s="804"/>
      <c r="BI89" s="804"/>
      <c r="BJ89" s="804"/>
      <c r="BK89" s="804"/>
      <c r="BL89" s="804"/>
      <c r="BM89" s="804"/>
      <c r="BN89" s="804"/>
      <c r="BO89" s="804"/>
      <c r="BP89" s="804"/>
      <c r="BQ89" s="804"/>
    </row>
    <row r="90" spans="39:69" s="169" customFormat="1">
      <c r="AM90" s="804"/>
      <c r="AN90" s="804"/>
      <c r="AO90" s="804"/>
      <c r="AP90" s="804"/>
      <c r="AQ90" s="804"/>
      <c r="AR90" s="804"/>
      <c r="AS90" s="804"/>
      <c r="AT90" s="804"/>
      <c r="AU90" s="804"/>
      <c r="AV90" s="804"/>
      <c r="AW90" s="804"/>
      <c r="AX90" s="804"/>
      <c r="AY90" s="804"/>
      <c r="AZ90" s="804"/>
      <c r="BA90" s="804"/>
      <c r="BB90" s="804"/>
      <c r="BC90" s="804"/>
      <c r="BD90" s="804"/>
      <c r="BE90" s="804"/>
      <c r="BF90" s="804"/>
      <c r="BG90" s="804"/>
      <c r="BH90" s="804"/>
      <c r="BI90" s="804"/>
      <c r="BJ90" s="804"/>
      <c r="BK90" s="804"/>
      <c r="BL90" s="804"/>
      <c r="BM90" s="804"/>
      <c r="BN90" s="804"/>
      <c r="BO90" s="804"/>
      <c r="BP90" s="804"/>
      <c r="BQ90" s="804"/>
    </row>
    <row r="91" spans="39:69" s="169" customFormat="1">
      <c r="AM91" s="804"/>
      <c r="AN91" s="804"/>
      <c r="AO91" s="804"/>
      <c r="AP91" s="804"/>
      <c r="AQ91" s="804"/>
      <c r="AR91" s="804"/>
      <c r="AS91" s="804"/>
      <c r="AT91" s="804"/>
      <c r="AU91" s="804"/>
      <c r="AV91" s="804"/>
      <c r="AW91" s="804"/>
      <c r="AX91" s="804"/>
      <c r="AY91" s="804"/>
      <c r="AZ91" s="804"/>
      <c r="BA91" s="804"/>
      <c r="BB91" s="804"/>
      <c r="BC91" s="804"/>
      <c r="BD91" s="804"/>
      <c r="BE91" s="804"/>
      <c r="BF91" s="804"/>
      <c r="BG91" s="804"/>
      <c r="BH91" s="804"/>
      <c r="BI91" s="804"/>
      <c r="BJ91" s="804"/>
      <c r="BK91" s="804"/>
      <c r="BL91" s="804"/>
      <c r="BM91" s="804"/>
      <c r="BN91" s="804"/>
      <c r="BO91" s="804"/>
      <c r="BP91" s="804"/>
      <c r="BQ91" s="804"/>
    </row>
    <row r="92" spans="39:69" s="169" customFormat="1">
      <c r="AM92" s="804"/>
      <c r="AN92" s="804"/>
      <c r="AO92" s="804"/>
      <c r="AP92" s="804"/>
      <c r="AQ92" s="804"/>
      <c r="AR92" s="804"/>
      <c r="AS92" s="804"/>
      <c r="AT92" s="804"/>
      <c r="AU92" s="804"/>
      <c r="AV92" s="804"/>
      <c r="AW92" s="804"/>
      <c r="AX92" s="804"/>
      <c r="AY92" s="804"/>
      <c r="AZ92" s="804"/>
      <c r="BA92" s="804"/>
      <c r="BB92" s="804"/>
      <c r="BC92" s="804"/>
      <c r="BD92" s="804"/>
      <c r="BE92" s="804"/>
      <c r="BF92" s="804"/>
      <c r="BG92" s="804"/>
      <c r="BH92" s="804"/>
      <c r="BI92" s="804"/>
      <c r="BJ92" s="804"/>
      <c r="BK92" s="804"/>
      <c r="BL92" s="804"/>
      <c r="BM92" s="804"/>
      <c r="BN92" s="804"/>
      <c r="BO92" s="804"/>
      <c r="BP92" s="804"/>
      <c r="BQ92" s="804"/>
    </row>
    <row r="93" spans="39:69" s="169" customFormat="1">
      <c r="AM93" s="804"/>
      <c r="AN93" s="804"/>
      <c r="AO93" s="804"/>
      <c r="AP93" s="804"/>
      <c r="AQ93" s="804"/>
      <c r="AR93" s="804"/>
      <c r="AS93" s="804"/>
      <c r="AT93" s="804"/>
      <c r="AU93" s="804"/>
      <c r="AV93" s="804"/>
      <c r="AW93" s="804"/>
      <c r="AX93" s="804"/>
      <c r="AY93" s="804"/>
      <c r="AZ93" s="804"/>
      <c r="BA93" s="804"/>
      <c r="BB93" s="804"/>
      <c r="BC93" s="804"/>
      <c r="BD93" s="804"/>
      <c r="BE93" s="804"/>
      <c r="BF93" s="804"/>
      <c r="BG93" s="804"/>
      <c r="BH93" s="804"/>
      <c r="BI93" s="804"/>
      <c r="BJ93" s="804"/>
      <c r="BK93" s="804"/>
      <c r="BL93" s="804"/>
      <c r="BM93" s="804"/>
      <c r="BN93" s="804"/>
      <c r="BO93" s="804"/>
      <c r="BP93" s="804"/>
      <c r="BQ93" s="804"/>
    </row>
    <row r="94" spans="39:69" s="169" customFormat="1">
      <c r="AM94" s="804"/>
      <c r="AN94" s="804"/>
      <c r="AO94" s="804"/>
      <c r="AP94" s="804"/>
      <c r="AQ94" s="804"/>
      <c r="AR94" s="804"/>
      <c r="AS94" s="804"/>
      <c r="AT94" s="804"/>
      <c r="AU94" s="804"/>
      <c r="AV94" s="804"/>
      <c r="AW94" s="804"/>
      <c r="AX94" s="804"/>
      <c r="AY94" s="804"/>
      <c r="AZ94" s="804"/>
      <c r="BA94" s="804"/>
      <c r="BB94" s="804"/>
      <c r="BC94" s="804"/>
      <c r="BD94" s="804"/>
      <c r="BE94" s="804"/>
      <c r="BF94" s="804"/>
      <c r="BG94" s="804"/>
      <c r="BH94" s="804"/>
      <c r="BI94" s="804"/>
      <c r="BJ94" s="804"/>
      <c r="BK94" s="804"/>
      <c r="BL94" s="804"/>
      <c r="BM94" s="804"/>
      <c r="BN94" s="804"/>
      <c r="BO94" s="804"/>
      <c r="BP94" s="804"/>
      <c r="BQ94" s="804"/>
    </row>
    <row r="95" spans="39:69" s="169" customFormat="1">
      <c r="AM95" s="804"/>
      <c r="AN95" s="804"/>
      <c r="AO95" s="804"/>
      <c r="AP95" s="804"/>
      <c r="AQ95" s="804"/>
      <c r="AR95" s="804"/>
      <c r="AS95" s="804"/>
      <c r="AT95" s="804"/>
      <c r="AU95" s="804"/>
      <c r="AV95" s="804"/>
      <c r="AW95" s="804"/>
      <c r="AX95" s="804"/>
      <c r="AY95" s="804"/>
      <c r="AZ95" s="804"/>
      <c r="BA95" s="804"/>
      <c r="BB95" s="804"/>
      <c r="BC95" s="804"/>
      <c r="BD95" s="804"/>
      <c r="BE95" s="804"/>
      <c r="BF95" s="804"/>
      <c r="BG95" s="804"/>
      <c r="BH95" s="804"/>
      <c r="BI95" s="804"/>
      <c r="BJ95" s="804"/>
      <c r="BK95" s="804"/>
      <c r="BL95" s="804"/>
      <c r="BM95" s="804"/>
      <c r="BN95" s="804"/>
      <c r="BO95" s="804"/>
      <c r="BP95" s="804"/>
      <c r="BQ95" s="804"/>
    </row>
    <row r="96" spans="39:69" s="169" customFormat="1">
      <c r="AM96" s="804"/>
      <c r="AN96" s="804"/>
      <c r="AO96" s="804"/>
      <c r="AP96" s="804"/>
      <c r="AQ96" s="804"/>
      <c r="AR96" s="804"/>
      <c r="AS96" s="804"/>
      <c r="AT96" s="804"/>
      <c r="AU96" s="804"/>
      <c r="AV96" s="804"/>
      <c r="AW96" s="804"/>
      <c r="AX96" s="804"/>
      <c r="AY96" s="804"/>
      <c r="AZ96" s="804"/>
      <c r="BA96" s="804"/>
      <c r="BB96" s="804"/>
      <c r="BC96" s="804"/>
      <c r="BD96" s="804"/>
      <c r="BE96" s="804"/>
      <c r="BF96" s="804"/>
      <c r="BG96" s="804"/>
      <c r="BH96" s="804"/>
      <c r="BI96" s="804"/>
      <c r="BJ96" s="804"/>
      <c r="BK96" s="804"/>
      <c r="BL96" s="804"/>
      <c r="BM96" s="804"/>
      <c r="BN96" s="804"/>
      <c r="BO96" s="804"/>
      <c r="BP96" s="804"/>
      <c r="BQ96" s="804"/>
    </row>
    <row r="97" spans="39:69" s="169" customFormat="1">
      <c r="AM97" s="804"/>
      <c r="AN97" s="804"/>
      <c r="AO97" s="804"/>
      <c r="AP97" s="804"/>
      <c r="AQ97" s="804"/>
      <c r="AR97" s="804"/>
      <c r="AS97" s="804"/>
      <c r="AT97" s="804"/>
      <c r="AU97" s="804"/>
      <c r="AV97" s="804"/>
      <c r="AW97" s="804"/>
      <c r="AX97" s="804"/>
      <c r="AY97" s="804"/>
      <c r="AZ97" s="804"/>
      <c r="BA97" s="804"/>
      <c r="BB97" s="804"/>
      <c r="BC97" s="804"/>
      <c r="BD97" s="804"/>
      <c r="BE97" s="804"/>
      <c r="BF97" s="804"/>
      <c r="BG97" s="804"/>
      <c r="BH97" s="804"/>
      <c r="BI97" s="804"/>
      <c r="BJ97" s="804"/>
      <c r="BK97" s="804"/>
      <c r="BL97" s="804"/>
      <c r="BM97" s="804"/>
      <c r="BN97" s="804"/>
      <c r="BO97" s="804"/>
      <c r="BP97" s="804"/>
      <c r="BQ97" s="804"/>
    </row>
    <row r="98" spans="39:69" s="169" customFormat="1">
      <c r="AM98" s="804"/>
      <c r="AN98" s="804"/>
      <c r="AO98" s="804"/>
      <c r="AP98" s="804"/>
      <c r="AQ98" s="804"/>
      <c r="AR98" s="804"/>
      <c r="AS98" s="804"/>
      <c r="AT98" s="804"/>
      <c r="AU98" s="804"/>
      <c r="AV98" s="804"/>
      <c r="AW98" s="804"/>
      <c r="AX98" s="804"/>
      <c r="AY98" s="804"/>
      <c r="AZ98" s="804"/>
      <c r="BA98" s="804"/>
      <c r="BB98" s="804"/>
      <c r="BC98" s="804"/>
      <c r="BD98" s="804"/>
      <c r="BE98" s="804"/>
      <c r="BF98" s="804"/>
      <c r="BG98" s="804"/>
      <c r="BH98" s="804"/>
      <c r="BI98" s="804"/>
      <c r="BJ98" s="804"/>
      <c r="BK98" s="804"/>
      <c r="BL98" s="804"/>
      <c r="BM98" s="804"/>
      <c r="BN98" s="804"/>
      <c r="BO98" s="804"/>
      <c r="BP98" s="804"/>
      <c r="BQ98" s="804"/>
    </row>
    <row r="99" spans="39:69" s="169" customFormat="1">
      <c r="AM99" s="804"/>
      <c r="AN99" s="804"/>
      <c r="AO99" s="804"/>
      <c r="AP99" s="804"/>
      <c r="AQ99" s="804"/>
      <c r="AR99" s="804"/>
      <c r="AS99" s="804"/>
      <c r="AT99" s="804"/>
      <c r="AU99" s="804"/>
      <c r="AV99" s="804"/>
      <c r="AW99" s="804"/>
      <c r="AX99" s="804"/>
      <c r="AY99" s="804"/>
      <c r="AZ99" s="804"/>
      <c r="BA99" s="804"/>
      <c r="BB99" s="804"/>
      <c r="BC99" s="804"/>
      <c r="BD99" s="804"/>
      <c r="BE99" s="804"/>
      <c r="BF99" s="804"/>
      <c r="BG99" s="804"/>
      <c r="BH99" s="804"/>
      <c r="BI99" s="804"/>
      <c r="BJ99" s="804"/>
      <c r="BK99" s="804"/>
      <c r="BL99" s="804"/>
      <c r="BM99" s="804"/>
      <c r="BN99" s="804"/>
      <c r="BO99" s="804"/>
      <c r="BP99" s="804"/>
      <c r="BQ99" s="804"/>
    </row>
    <row r="100" spans="39:69" s="169" customFormat="1">
      <c r="AM100" s="804"/>
      <c r="AN100" s="804"/>
      <c r="AO100" s="804"/>
      <c r="AP100" s="804"/>
      <c r="AQ100" s="804"/>
      <c r="AR100" s="804"/>
      <c r="AS100" s="804"/>
      <c r="AT100" s="804"/>
      <c r="AU100" s="804"/>
      <c r="AV100" s="804"/>
      <c r="AW100" s="804"/>
      <c r="AX100" s="804"/>
      <c r="AY100" s="804"/>
      <c r="AZ100" s="804"/>
      <c r="BA100" s="804"/>
      <c r="BB100" s="804"/>
      <c r="BC100" s="804"/>
      <c r="BD100" s="804"/>
      <c r="BE100" s="804"/>
      <c r="BF100" s="804"/>
      <c r="BG100" s="804"/>
      <c r="BH100" s="804"/>
      <c r="BI100" s="804"/>
      <c r="BJ100" s="804"/>
      <c r="BK100" s="804"/>
      <c r="BL100" s="804"/>
      <c r="BM100" s="804"/>
      <c r="BN100" s="804"/>
      <c r="BO100" s="804"/>
      <c r="BP100" s="804"/>
      <c r="BQ100" s="804"/>
    </row>
    <row r="101" spans="39:69" s="169" customFormat="1">
      <c r="AM101" s="804"/>
      <c r="AN101" s="804"/>
      <c r="AO101" s="804"/>
      <c r="AP101" s="804"/>
      <c r="AQ101" s="804"/>
      <c r="AR101" s="804"/>
      <c r="AS101" s="804"/>
      <c r="AT101" s="804"/>
      <c r="AU101" s="804"/>
      <c r="AV101" s="804"/>
      <c r="AW101" s="804"/>
      <c r="AX101" s="804"/>
      <c r="AY101" s="804"/>
      <c r="AZ101" s="804"/>
      <c r="BA101" s="804"/>
      <c r="BB101" s="804"/>
      <c r="BC101" s="804"/>
      <c r="BD101" s="804"/>
      <c r="BE101" s="804"/>
      <c r="BF101" s="804"/>
      <c r="BG101" s="804"/>
      <c r="BH101" s="804"/>
      <c r="BI101" s="804"/>
      <c r="BJ101" s="804"/>
      <c r="BK101" s="804"/>
      <c r="BL101" s="804"/>
      <c r="BM101" s="804"/>
      <c r="BN101" s="804"/>
      <c r="BO101" s="804"/>
      <c r="BP101" s="804"/>
      <c r="BQ101" s="804"/>
    </row>
    <row r="102" spans="39:69" s="169" customFormat="1">
      <c r="AM102" s="804"/>
      <c r="AN102" s="804"/>
      <c r="AO102" s="804"/>
      <c r="AP102" s="804"/>
      <c r="AQ102" s="804"/>
      <c r="AR102" s="804"/>
      <c r="AS102" s="804"/>
      <c r="AT102" s="804"/>
      <c r="AU102" s="804"/>
      <c r="AV102" s="804"/>
      <c r="AW102" s="804"/>
      <c r="AX102" s="804"/>
      <c r="AY102" s="804"/>
      <c r="AZ102" s="804"/>
      <c r="BA102" s="804"/>
      <c r="BB102" s="804"/>
      <c r="BC102" s="804"/>
      <c r="BD102" s="804"/>
      <c r="BE102" s="804"/>
      <c r="BF102" s="804"/>
      <c r="BG102" s="804"/>
      <c r="BH102" s="804"/>
      <c r="BI102" s="804"/>
      <c r="BJ102" s="804"/>
      <c r="BK102" s="804"/>
      <c r="BL102" s="804"/>
      <c r="BM102" s="804"/>
      <c r="BN102" s="804"/>
      <c r="BO102" s="804"/>
      <c r="BP102" s="804"/>
      <c r="BQ102" s="804"/>
    </row>
    <row r="103" spans="39:69" s="169" customFormat="1">
      <c r="AM103" s="804"/>
      <c r="AN103" s="804"/>
      <c r="AO103" s="804"/>
      <c r="AP103" s="804"/>
      <c r="AQ103" s="804"/>
      <c r="AR103" s="804"/>
      <c r="AS103" s="804"/>
      <c r="AT103" s="804"/>
      <c r="AU103" s="804"/>
      <c r="AV103" s="804"/>
      <c r="AW103" s="804"/>
      <c r="AX103" s="804"/>
      <c r="AY103" s="804"/>
      <c r="AZ103" s="804"/>
      <c r="BA103" s="804"/>
      <c r="BB103" s="804"/>
      <c r="BC103" s="804"/>
      <c r="BD103" s="804"/>
      <c r="BE103" s="804"/>
      <c r="BF103" s="804"/>
      <c r="BG103" s="804"/>
      <c r="BH103" s="804"/>
      <c r="BI103" s="804"/>
      <c r="BJ103" s="804"/>
      <c r="BK103" s="804"/>
      <c r="BL103" s="804"/>
      <c r="BM103" s="804"/>
      <c r="BN103" s="804"/>
      <c r="BO103" s="804"/>
      <c r="BP103" s="804"/>
      <c r="BQ103" s="804"/>
    </row>
    <row r="104" spans="39:69" s="169" customFormat="1">
      <c r="AM104" s="804"/>
      <c r="AN104" s="804"/>
      <c r="AO104" s="804"/>
      <c r="AP104" s="804"/>
      <c r="AQ104" s="804"/>
      <c r="AR104" s="804"/>
      <c r="AS104" s="804"/>
      <c r="AT104" s="804"/>
      <c r="AU104" s="804"/>
      <c r="AV104" s="804"/>
      <c r="AW104" s="804"/>
      <c r="AX104" s="804"/>
      <c r="AY104" s="804"/>
      <c r="AZ104" s="804"/>
      <c r="BA104" s="804"/>
      <c r="BB104" s="804"/>
      <c r="BC104" s="804"/>
      <c r="BD104" s="804"/>
      <c r="BE104" s="804"/>
      <c r="BF104" s="804"/>
      <c r="BG104" s="804"/>
      <c r="BH104" s="804"/>
      <c r="BI104" s="804"/>
      <c r="BJ104" s="804"/>
      <c r="BK104" s="804"/>
      <c r="BL104" s="804"/>
      <c r="BM104" s="804"/>
      <c r="BN104" s="804"/>
      <c r="BO104" s="804"/>
      <c r="BP104" s="804"/>
      <c r="BQ104" s="804"/>
    </row>
    <row r="105" spans="39:69" s="169" customFormat="1">
      <c r="AM105" s="804"/>
      <c r="AN105" s="804"/>
      <c r="AO105" s="804"/>
      <c r="AP105" s="804"/>
      <c r="AQ105" s="804"/>
      <c r="AR105" s="804"/>
      <c r="AS105" s="804"/>
      <c r="AT105" s="804"/>
      <c r="AU105" s="804"/>
      <c r="AV105" s="804"/>
      <c r="AW105" s="804"/>
      <c r="AX105" s="804"/>
      <c r="AY105" s="804"/>
      <c r="AZ105" s="804"/>
      <c r="BA105" s="804"/>
      <c r="BB105" s="804"/>
      <c r="BC105" s="804"/>
      <c r="BD105" s="804"/>
      <c r="BE105" s="804"/>
      <c r="BF105" s="804"/>
      <c r="BG105" s="804"/>
      <c r="BH105" s="804"/>
      <c r="BI105" s="804"/>
      <c r="BJ105" s="804"/>
      <c r="BK105" s="804"/>
      <c r="BL105" s="804"/>
      <c r="BM105" s="804"/>
      <c r="BN105" s="804"/>
      <c r="BO105" s="804"/>
      <c r="BP105" s="804"/>
      <c r="BQ105" s="804"/>
    </row>
    <row r="106" spans="39:69" s="169" customFormat="1">
      <c r="AM106" s="804"/>
      <c r="AN106" s="804"/>
      <c r="AO106" s="804"/>
      <c r="AP106" s="804"/>
      <c r="AQ106" s="804"/>
      <c r="AR106" s="804"/>
      <c r="AS106" s="804"/>
      <c r="AT106" s="804"/>
      <c r="AU106" s="804"/>
      <c r="AV106" s="804"/>
      <c r="AW106" s="804"/>
      <c r="AX106" s="804"/>
      <c r="AY106" s="804"/>
      <c r="AZ106" s="804"/>
      <c r="BA106" s="804"/>
      <c r="BB106" s="804"/>
      <c r="BC106" s="804"/>
      <c r="BD106" s="804"/>
      <c r="BE106" s="804"/>
      <c r="BF106" s="804"/>
      <c r="BG106" s="804"/>
      <c r="BH106" s="804"/>
      <c r="BI106" s="804"/>
      <c r="BJ106" s="804"/>
      <c r="BK106" s="804"/>
      <c r="BL106" s="804"/>
      <c r="BM106" s="804"/>
      <c r="BN106" s="804"/>
      <c r="BO106" s="804"/>
      <c r="BP106" s="804"/>
      <c r="BQ106" s="804"/>
    </row>
    <row r="107" spans="39:69" s="169" customFormat="1">
      <c r="AM107" s="804"/>
      <c r="AN107" s="804"/>
      <c r="AO107" s="804"/>
      <c r="AP107" s="804"/>
      <c r="AQ107" s="804"/>
      <c r="AR107" s="804"/>
      <c r="AS107" s="804"/>
      <c r="AT107" s="804"/>
      <c r="AU107" s="804"/>
      <c r="AV107" s="804"/>
      <c r="AW107" s="804"/>
      <c r="AX107" s="804"/>
      <c r="AY107" s="804"/>
      <c r="AZ107" s="804"/>
      <c r="BA107" s="804"/>
      <c r="BB107" s="804"/>
      <c r="BC107" s="804"/>
      <c r="BD107" s="804"/>
      <c r="BE107" s="804"/>
      <c r="BF107" s="804"/>
      <c r="BG107" s="804"/>
      <c r="BH107" s="804"/>
      <c r="BI107" s="804"/>
      <c r="BJ107" s="804"/>
      <c r="BK107" s="804"/>
      <c r="BL107" s="804"/>
      <c r="BM107" s="804"/>
      <c r="BN107" s="804"/>
      <c r="BO107" s="804"/>
      <c r="BP107" s="804"/>
      <c r="BQ107" s="804"/>
    </row>
    <row r="108" spans="39:69" s="169" customFormat="1">
      <c r="AM108" s="804"/>
      <c r="AN108" s="804"/>
      <c r="AO108" s="804"/>
      <c r="AP108" s="804"/>
      <c r="AQ108" s="804"/>
      <c r="AR108" s="804"/>
      <c r="AS108" s="804"/>
      <c r="AT108" s="804"/>
      <c r="AU108" s="804"/>
      <c r="AV108" s="804"/>
      <c r="AW108" s="804"/>
      <c r="AX108" s="804"/>
      <c r="AY108" s="804"/>
      <c r="AZ108" s="804"/>
      <c r="BA108" s="804"/>
      <c r="BB108" s="804"/>
      <c r="BC108" s="804"/>
      <c r="BD108" s="804"/>
      <c r="BE108" s="804"/>
      <c r="BF108" s="804"/>
      <c r="BG108" s="804"/>
      <c r="BH108" s="804"/>
      <c r="BI108" s="804"/>
      <c r="BJ108" s="804"/>
      <c r="BK108" s="804"/>
      <c r="BL108" s="804"/>
      <c r="BM108" s="804"/>
      <c r="BN108" s="804"/>
      <c r="BO108" s="804"/>
      <c r="BP108" s="804"/>
      <c r="BQ108" s="804"/>
    </row>
    <row r="109" spans="39:69" s="169" customFormat="1">
      <c r="AM109" s="804"/>
      <c r="AN109" s="804"/>
      <c r="AO109" s="804"/>
      <c r="AP109" s="804"/>
      <c r="AQ109" s="804"/>
      <c r="AR109" s="804"/>
      <c r="AS109" s="804"/>
      <c r="AT109" s="804"/>
      <c r="AU109" s="804"/>
      <c r="AV109" s="804"/>
      <c r="AW109" s="804"/>
      <c r="AX109" s="804"/>
      <c r="AY109" s="804"/>
      <c r="AZ109" s="804"/>
      <c r="BA109" s="804"/>
      <c r="BB109" s="804"/>
      <c r="BC109" s="804"/>
      <c r="BD109" s="804"/>
      <c r="BE109" s="804"/>
      <c r="BF109" s="804"/>
      <c r="BG109" s="804"/>
      <c r="BH109" s="804"/>
      <c r="BI109" s="804"/>
      <c r="BJ109" s="804"/>
      <c r="BK109" s="804"/>
      <c r="BL109" s="804"/>
      <c r="BM109" s="804"/>
      <c r="BN109" s="804"/>
      <c r="BO109" s="804"/>
      <c r="BP109" s="804"/>
      <c r="BQ109" s="804"/>
    </row>
    <row r="110" spans="39:69" s="169" customFormat="1">
      <c r="AM110" s="804"/>
      <c r="AN110" s="804"/>
      <c r="AO110" s="804"/>
      <c r="AP110" s="804"/>
      <c r="AQ110" s="804"/>
      <c r="AR110" s="804"/>
      <c r="AS110" s="804"/>
      <c r="AT110" s="804"/>
      <c r="AU110" s="804"/>
      <c r="AV110" s="804"/>
      <c r="AW110" s="804"/>
      <c r="AX110" s="804"/>
      <c r="AY110" s="804"/>
      <c r="AZ110" s="804"/>
      <c r="BA110" s="804"/>
      <c r="BB110" s="804"/>
      <c r="BC110" s="804"/>
      <c r="BD110" s="804"/>
      <c r="BE110" s="804"/>
      <c r="BF110" s="804"/>
      <c r="BG110" s="804"/>
      <c r="BH110" s="804"/>
      <c r="BI110" s="804"/>
      <c r="BJ110" s="804"/>
      <c r="BK110" s="804"/>
      <c r="BL110" s="804"/>
      <c r="BM110" s="804"/>
      <c r="BN110" s="804"/>
      <c r="BO110" s="804"/>
      <c r="BP110" s="804"/>
      <c r="BQ110" s="804"/>
    </row>
    <row r="111" spans="39:69" s="169" customFormat="1">
      <c r="AM111" s="804"/>
      <c r="AN111" s="804"/>
      <c r="AO111" s="804"/>
      <c r="AP111" s="804"/>
      <c r="AQ111" s="804"/>
      <c r="AR111" s="804"/>
      <c r="AS111" s="804"/>
      <c r="AT111" s="804"/>
      <c r="AU111" s="804"/>
      <c r="AV111" s="804"/>
      <c r="AW111" s="804"/>
      <c r="AX111" s="804"/>
      <c r="AY111" s="804"/>
      <c r="AZ111" s="804"/>
      <c r="BA111" s="804"/>
      <c r="BB111" s="804"/>
      <c r="BC111" s="804"/>
      <c r="BD111" s="804"/>
      <c r="BE111" s="804"/>
      <c r="BF111" s="804"/>
      <c r="BG111" s="804"/>
      <c r="BH111" s="804"/>
      <c r="BI111" s="804"/>
      <c r="BJ111" s="804"/>
      <c r="BK111" s="804"/>
      <c r="BL111" s="804"/>
      <c r="BM111" s="804"/>
      <c r="BN111" s="804"/>
      <c r="BO111" s="804"/>
      <c r="BP111" s="804"/>
      <c r="BQ111" s="804"/>
    </row>
    <row r="112" spans="39:69" s="169" customFormat="1">
      <c r="AM112" s="804"/>
      <c r="AN112" s="804"/>
      <c r="AO112" s="804"/>
      <c r="AP112" s="804"/>
      <c r="AQ112" s="804"/>
      <c r="AR112" s="804"/>
      <c r="AS112" s="804"/>
      <c r="AT112" s="804"/>
      <c r="AU112" s="804"/>
      <c r="AV112" s="804"/>
      <c r="AW112" s="804"/>
      <c r="AX112" s="804"/>
      <c r="AY112" s="804"/>
      <c r="AZ112" s="804"/>
      <c r="BA112" s="804"/>
      <c r="BB112" s="804"/>
      <c r="BC112" s="804"/>
      <c r="BD112" s="804"/>
      <c r="BE112" s="804"/>
      <c r="BF112" s="804"/>
      <c r="BG112" s="804"/>
      <c r="BH112" s="804"/>
      <c r="BI112" s="804"/>
      <c r="BJ112" s="804"/>
      <c r="BK112" s="804"/>
      <c r="BL112" s="804"/>
      <c r="BM112" s="804"/>
      <c r="BN112" s="804"/>
      <c r="BO112" s="804"/>
      <c r="BP112" s="804"/>
      <c r="BQ112" s="804"/>
    </row>
    <row r="113" spans="39:69" s="169" customFormat="1">
      <c r="AM113" s="804"/>
      <c r="AN113" s="804"/>
      <c r="AO113" s="804"/>
      <c r="AP113" s="804"/>
      <c r="AQ113" s="804"/>
      <c r="AR113" s="804"/>
      <c r="AS113" s="804"/>
      <c r="AT113" s="804"/>
      <c r="AU113" s="804"/>
      <c r="AV113" s="804"/>
      <c r="AW113" s="804"/>
      <c r="AX113" s="804"/>
      <c r="AY113" s="804"/>
      <c r="AZ113" s="804"/>
      <c r="BA113" s="804"/>
      <c r="BB113" s="804"/>
      <c r="BC113" s="804"/>
      <c r="BD113" s="804"/>
      <c r="BE113" s="804"/>
      <c r="BF113" s="804"/>
      <c r="BG113" s="804"/>
      <c r="BH113" s="804"/>
      <c r="BI113" s="804"/>
      <c r="BJ113" s="804"/>
      <c r="BK113" s="804"/>
      <c r="BL113" s="804"/>
      <c r="BM113" s="804"/>
      <c r="BN113" s="804"/>
      <c r="BO113" s="804"/>
      <c r="BP113" s="804"/>
      <c r="BQ113" s="804"/>
    </row>
    <row r="114" spans="39:69" s="169" customFormat="1">
      <c r="AM114" s="804"/>
      <c r="AN114" s="804"/>
      <c r="AO114" s="804"/>
      <c r="AP114" s="804"/>
      <c r="AQ114" s="804"/>
      <c r="AR114" s="804"/>
      <c r="AS114" s="804"/>
      <c r="AT114" s="804"/>
      <c r="AU114" s="804"/>
      <c r="AV114" s="804"/>
      <c r="AW114" s="804"/>
      <c r="AX114" s="804"/>
      <c r="AY114" s="804"/>
      <c r="AZ114" s="804"/>
      <c r="BA114" s="804"/>
      <c r="BB114" s="804"/>
      <c r="BC114" s="804"/>
      <c r="BD114" s="804"/>
      <c r="BE114" s="804"/>
      <c r="BF114" s="804"/>
      <c r="BG114" s="804"/>
      <c r="BH114" s="804"/>
      <c r="BI114" s="804"/>
      <c r="BJ114" s="804"/>
      <c r="BK114" s="804"/>
      <c r="BL114" s="804"/>
      <c r="BM114" s="804"/>
      <c r="BN114" s="804"/>
      <c r="BO114" s="804"/>
      <c r="BP114" s="804"/>
      <c r="BQ114" s="804"/>
    </row>
    <row r="115" spans="39:69" s="169" customFormat="1">
      <c r="AM115" s="804"/>
      <c r="AN115" s="804"/>
      <c r="AO115" s="804"/>
      <c r="AP115" s="804"/>
      <c r="AQ115" s="804"/>
      <c r="AR115" s="804"/>
      <c r="AS115" s="804"/>
      <c r="AT115" s="804"/>
      <c r="AU115" s="804"/>
      <c r="AV115" s="804"/>
      <c r="AW115" s="804"/>
      <c r="AX115" s="804"/>
      <c r="AY115" s="804"/>
      <c r="AZ115" s="804"/>
      <c r="BA115" s="804"/>
      <c r="BB115" s="804"/>
      <c r="BC115" s="804"/>
      <c r="BD115" s="804"/>
      <c r="BE115" s="804"/>
      <c r="BF115" s="804"/>
      <c r="BG115" s="804"/>
      <c r="BH115" s="804"/>
      <c r="BI115" s="804"/>
      <c r="BJ115" s="804"/>
      <c r="BK115" s="804"/>
      <c r="BL115" s="804"/>
      <c r="BM115" s="804"/>
      <c r="BN115" s="804"/>
      <c r="BO115" s="804"/>
      <c r="BP115" s="804"/>
      <c r="BQ115" s="804"/>
    </row>
    <row r="116" spans="39:69" s="169" customFormat="1">
      <c r="AM116" s="804"/>
      <c r="AN116" s="804"/>
      <c r="AO116" s="804"/>
      <c r="AP116" s="804"/>
      <c r="AQ116" s="804"/>
      <c r="AR116" s="804"/>
      <c r="AS116" s="804"/>
      <c r="AT116" s="804"/>
      <c r="AU116" s="804"/>
      <c r="AV116" s="804"/>
      <c r="AW116" s="804"/>
      <c r="AX116" s="804"/>
      <c r="AY116" s="804"/>
      <c r="AZ116" s="804"/>
      <c r="BA116" s="804"/>
      <c r="BB116" s="804"/>
      <c r="BC116" s="804"/>
      <c r="BD116" s="804"/>
      <c r="BE116" s="804"/>
      <c r="BF116" s="804"/>
      <c r="BG116" s="804"/>
      <c r="BH116" s="804"/>
      <c r="BI116" s="804"/>
      <c r="BJ116" s="804"/>
      <c r="BK116" s="804"/>
      <c r="BL116" s="804"/>
      <c r="BM116" s="804"/>
      <c r="BN116" s="804"/>
      <c r="BO116" s="804"/>
      <c r="BP116" s="804"/>
      <c r="BQ116" s="804"/>
    </row>
    <row r="117" spans="39:69" s="169" customFormat="1">
      <c r="AM117" s="804"/>
      <c r="AN117" s="804"/>
      <c r="AO117" s="804"/>
      <c r="AP117" s="804"/>
      <c r="AQ117" s="804"/>
      <c r="AR117" s="804"/>
      <c r="AS117" s="804"/>
      <c r="AT117" s="804"/>
      <c r="AU117" s="804"/>
      <c r="AV117" s="804"/>
      <c r="AW117" s="804"/>
      <c r="AX117" s="804"/>
      <c r="AY117" s="804"/>
      <c r="AZ117" s="804"/>
      <c r="BA117" s="804"/>
      <c r="BB117" s="804"/>
      <c r="BC117" s="804"/>
      <c r="BD117" s="804"/>
      <c r="BE117" s="804"/>
      <c r="BF117" s="804"/>
      <c r="BG117" s="804"/>
      <c r="BH117" s="804"/>
      <c r="BI117" s="804"/>
      <c r="BJ117" s="804"/>
      <c r="BK117" s="804"/>
      <c r="BL117" s="804"/>
      <c r="BM117" s="804"/>
      <c r="BN117" s="804"/>
      <c r="BO117" s="804"/>
      <c r="BP117" s="804"/>
      <c r="BQ117" s="804"/>
    </row>
    <row r="118" spans="39:69" s="169" customFormat="1">
      <c r="AM118" s="804"/>
      <c r="AN118" s="804"/>
      <c r="AO118" s="804"/>
      <c r="AP118" s="804"/>
      <c r="AQ118" s="804"/>
      <c r="AR118" s="804"/>
      <c r="AS118" s="804"/>
      <c r="AT118" s="804"/>
      <c r="AU118" s="804"/>
      <c r="AV118" s="804"/>
      <c r="AW118" s="804"/>
      <c r="AX118" s="804"/>
      <c r="AY118" s="804"/>
      <c r="AZ118" s="804"/>
      <c r="BA118" s="804"/>
      <c r="BB118" s="804"/>
      <c r="BC118" s="804"/>
      <c r="BD118" s="804"/>
      <c r="BE118" s="804"/>
      <c r="BF118" s="804"/>
      <c r="BG118" s="804"/>
      <c r="BH118" s="804"/>
      <c r="BI118" s="804"/>
      <c r="BJ118" s="804"/>
      <c r="BK118" s="804"/>
      <c r="BL118" s="804"/>
      <c r="BM118" s="804"/>
      <c r="BN118" s="804"/>
      <c r="BO118" s="804"/>
      <c r="BP118" s="804"/>
      <c r="BQ118" s="804"/>
    </row>
    <row r="119" spans="39:69" s="169" customFormat="1">
      <c r="AM119" s="804"/>
      <c r="AN119" s="804"/>
      <c r="AO119" s="804"/>
      <c r="AP119" s="804"/>
      <c r="AQ119" s="804"/>
      <c r="AR119" s="804"/>
      <c r="AS119" s="804"/>
      <c r="AT119" s="804"/>
      <c r="AU119" s="804"/>
      <c r="AV119" s="804"/>
      <c r="AW119" s="804"/>
      <c r="AX119" s="804"/>
      <c r="AY119" s="804"/>
      <c r="AZ119" s="804"/>
      <c r="BA119" s="804"/>
      <c r="BB119" s="804"/>
      <c r="BC119" s="804"/>
      <c r="BD119" s="804"/>
      <c r="BE119" s="804"/>
      <c r="BF119" s="804"/>
      <c r="BG119" s="804"/>
      <c r="BH119" s="804"/>
      <c r="BI119" s="804"/>
      <c r="BJ119" s="804"/>
      <c r="BK119" s="804"/>
      <c r="BL119" s="804"/>
      <c r="BM119" s="804"/>
      <c r="BN119" s="804"/>
      <c r="BO119" s="804"/>
      <c r="BP119" s="804"/>
      <c r="BQ119" s="804"/>
    </row>
    <row r="120" spans="39:69" s="169" customFormat="1">
      <c r="AM120" s="804"/>
      <c r="AN120" s="804"/>
      <c r="AO120" s="804"/>
      <c r="AP120" s="804"/>
      <c r="AQ120" s="804"/>
      <c r="AR120" s="804"/>
      <c r="AS120" s="804"/>
      <c r="AT120" s="804"/>
      <c r="AU120" s="804"/>
      <c r="AV120" s="804"/>
      <c r="AW120" s="804"/>
      <c r="AX120" s="804"/>
      <c r="AY120" s="804"/>
      <c r="AZ120" s="804"/>
      <c r="BA120" s="804"/>
      <c r="BB120" s="804"/>
      <c r="BC120" s="804"/>
      <c r="BD120" s="804"/>
      <c r="BE120" s="804"/>
      <c r="BF120" s="804"/>
      <c r="BG120" s="804"/>
      <c r="BH120" s="804"/>
      <c r="BI120" s="804"/>
      <c r="BJ120" s="804"/>
      <c r="BK120" s="804"/>
      <c r="BL120" s="804"/>
      <c r="BM120" s="804"/>
      <c r="BN120" s="804"/>
      <c r="BO120" s="804"/>
      <c r="BP120" s="804"/>
      <c r="BQ120" s="804"/>
    </row>
    <row r="121" spans="39:69" s="169" customFormat="1">
      <c r="AM121" s="804"/>
      <c r="AN121" s="804"/>
      <c r="AO121" s="804"/>
      <c r="AP121" s="804"/>
      <c r="AQ121" s="804"/>
      <c r="AR121" s="804"/>
      <c r="AS121" s="804"/>
      <c r="AT121" s="804"/>
      <c r="AU121" s="804"/>
      <c r="AV121" s="804"/>
      <c r="AW121" s="804"/>
      <c r="AX121" s="804"/>
      <c r="AY121" s="804"/>
      <c r="AZ121" s="804"/>
      <c r="BA121" s="804"/>
      <c r="BB121" s="804"/>
      <c r="BC121" s="804"/>
      <c r="BD121" s="804"/>
      <c r="BE121" s="804"/>
      <c r="BF121" s="804"/>
      <c r="BG121" s="804"/>
      <c r="BH121" s="804"/>
      <c r="BI121" s="804"/>
      <c r="BJ121" s="804"/>
      <c r="BK121" s="804"/>
      <c r="BL121" s="804"/>
      <c r="BM121" s="804"/>
      <c r="BN121" s="804"/>
      <c r="BO121" s="804"/>
      <c r="BP121" s="804"/>
      <c r="BQ121" s="804"/>
    </row>
    <row r="122" spans="39:69" s="169" customFormat="1">
      <c r="AM122" s="804"/>
      <c r="AN122" s="804"/>
      <c r="AO122" s="804"/>
      <c r="AP122" s="804"/>
      <c r="AQ122" s="804"/>
      <c r="AR122" s="804"/>
      <c r="AS122" s="804"/>
      <c r="AT122" s="804"/>
      <c r="AU122" s="804"/>
      <c r="AV122" s="804"/>
      <c r="AW122" s="804"/>
      <c r="AX122" s="804"/>
      <c r="AY122" s="804"/>
      <c r="AZ122" s="804"/>
      <c r="BA122" s="804"/>
      <c r="BB122" s="804"/>
      <c r="BC122" s="804"/>
      <c r="BD122" s="804"/>
      <c r="BE122" s="804"/>
      <c r="BF122" s="804"/>
      <c r="BG122" s="804"/>
      <c r="BH122" s="804"/>
      <c r="BI122" s="804"/>
      <c r="BJ122" s="804"/>
      <c r="BK122" s="804"/>
      <c r="BL122" s="804"/>
      <c r="BM122" s="804"/>
      <c r="BN122" s="804"/>
      <c r="BO122" s="804"/>
      <c r="BP122" s="804"/>
      <c r="BQ122" s="804"/>
    </row>
    <row r="123" spans="39:69" s="169" customFormat="1">
      <c r="AM123" s="804"/>
      <c r="AN123" s="804"/>
      <c r="AO123" s="804"/>
      <c r="AP123" s="804"/>
      <c r="AQ123" s="804"/>
      <c r="AR123" s="804"/>
      <c r="AS123" s="804"/>
      <c r="AT123" s="804"/>
      <c r="AU123" s="804"/>
      <c r="AV123" s="804"/>
      <c r="AW123" s="804"/>
      <c r="AX123" s="804"/>
      <c r="AY123" s="804"/>
      <c r="AZ123" s="804"/>
      <c r="BA123" s="804"/>
      <c r="BB123" s="804"/>
      <c r="BC123" s="804"/>
      <c r="BD123" s="804"/>
      <c r="BE123" s="804"/>
      <c r="BF123" s="804"/>
      <c r="BG123" s="804"/>
      <c r="BH123" s="804"/>
      <c r="BI123" s="804"/>
      <c r="BJ123" s="804"/>
      <c r="BK123" s="804"/>
      <c r="BL123" s="804"/>
      <c r="BM123" s="804"/>
      <c r="BN123" s="804"/>
      <c r="BO123" s="804"/>
      <c r="BP123" s="804"/>
      <c r="BQ123" s="804"/>
    </row>
    <row r="124" spans="39:69" s="169" customFormat="1">
      <c r="AM124" s="804"/>
      <c r="AN124" s="804"/>
      <c r="AO124" s="804"/>
      <c r="AP124" s="804"/>
      <c r="AQ124" s="804"/>
      <c r="AR124" s="804"/>
      <c r="AS124" s="804"/>
      <c r="AT124" s="804"/>
      <c r="AU124" s="804"/>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4"/>
      <c r="BQ124" s="804"/>
    </row>
    <row r="125" spans="39:69" s="169" customFormat="1">
      <c r="AM125" s="804"/>
      <c r="AN125" s="804"/>
      <c r="AO125" s="804"/>
      <c r="AP125" s="804"/>
      <c r="AQ125" s="804"/>
      <c r="AR125" s="804"/>
      <c r="AS125" s="804"/>
      <c r="AT125" s="804"/>
      <c r="AU125" s="804"/>
      <c r="AV125" s="804"/>
      <c r="AW125" s="804"/>
      <c r="AX125" s="804"/>
      <c r="AY125" s="804"/>
      <c r="AZ125" s="804"/>
      <c r="BA125" s="804"/>
      <c r="BB125" s="804"/>
      <c r="BC125" s="804"/>
      <c r="BD125" s="804"/>
      <c r="BE125" s="804"/>
      <c r="BF125" s="804"/>
      <c r="BG125" s="804"/>
      <c r="BH125" s="804"/>
      <c r="BI125" s="804"/>
      <c r="BJ125" s="804"/>
      <c r="BK125" s="804"/>
      <c r="BL125" s="804"/>
      <c r="BM125" s="804"/>
      <c r="BN125" s="804"/>
      <c r="BO125" s="804"/>
      <c r="BP125" s="804"/>
      <c r="BQ125" s="804"/>
    </row>
    <row r="126" spans="39:69" s="169" customFormat="1">
      <c r="AM126" s="804"/>
      <c r="AN126" s="804"/>
      <c r="AO126" s="804"/>
      <c r="AP126" s="804"/>
      <c r="AQ126" s="804"/>
      <c r="AR126" s="804"/>
      <c r="AS126" s="804"/>
      <c r="AT126" s="804"/>
      <c r="AU126" s="804"/>
      <c r="AV126" s="804"/>
      <c r="AW126" s="804"/>
      <c r="AX126" s="804"/>
      <c r="AY126" s="804"/>
      <c r="AZ126" s="804"/>
      <c r="BA126" s="804"/>
      <c r="BB126" s="804"/>
      <c r="BC126" s="804"/>
      <c r="BD126" s="804"/>
      <c r="BE126" s="804"/>
      <c r="BF126" s="804"/>
      <c r="BG126" s="804"/>
      <c r="BH126" s="804"/>
      <c r="BI126" s="804"/>
      <c r="BJ126" s="804"/>
      <c r="BK126" s="804"/>
      <c r="BL126" s="804"/>
      <c r="BM126" s="804"/>
      <c r="BN126" s="804"/>
      <c r="BO126" s="804"/>
      <c r="BP126" s="804"/>
      <c r="BQ126" s="804"/>
    </row>
    <row r="127" spans="39:69" s="169" customFormat="1">
      <c r="AM127" s="804"/>
      <c r="AN127" s="804"/>
      <c r="AO127" s="804"/>
      <c r="AP127" s="804"/>
      <c r="AQ127" s="804"/>
      <c r="AR127" s="804"/>
      <c r="AS127" s="804"/>
      <c r="AT127" s="804"/>
      <c r="AU127" s="804"/>
      <c r="AV127" s="804"/>
      <c r="AW127" s="804"/>
      <c r="AX127" s="804"/>
      <c r="AY127" s="804"/>
      <c r="AZ127" s="804"/>
      <c r="BA127" s="804"/>
      <c r="BB127" s="804"/>
      <c r="BC127" s="804"/>
      <c r="BD127" s="804"/>
      <c r="BE127" s="804"/>
      <c r="BF127" s="804"/>
      <c r="BG127" s="804"/>
      <c r="BH127" s="804"/>
      <c r="BI127" s="804"/>
      <c r="BJ127" s="804"/>
      <c r="BK127" s="804"/>
      <c r="BL127" s="804"/>
      <c r="BM127" s="804"/>
      <c r="BN127" s="804"/>
      <c r="BO127" s="804"/>
      <c r="BP127" s="804"/>
      <c r="BQ127" s="804"/>
    </row>
    <row r="128" spans="39:69" s="169" customFormat="1">
      <c r="AM128" s="804"/>
      <c r="AN128" s="804"/>
      <c r="AO128" s="804"/>
      <c r="AP128" s="804"/>
      <c r="AQ128" s="804"/>
      <c r="AR128" s="804"/>
      <c r="AS128" s="804"/>
      <c r="AT128" s="804"/>
      <c r="AU128" s="804"/>
      <c r="AV128" s="804"/>
      <c r="AW128" s="804"/>
      <c r="AX128" s="804"/>
      <c r="AY128" s="804"/>
      <c r="AZ128" s="804"/>
      <c r="BA128" s="804"/>
      <c r="BB128" s="804"/>
      <c r="BC128" s="804"/>
      <c r="BD128" s="804"/>
      <c r="BE128" s="804"/>
      <c r="BF128" s="804"/>
      <c r="BG128" s="804"/>
      <c r="BH128" s="804"/>
      <c r="BI128" s="804"/>
      <c r="BJ128" s="804"/>
      <c r="BK128" s="804"/>
      <c r="BL128" s="804"/>
      <c r="BM128" s="804"/>
      <c r="BN128" s="804"/>
      <c r="BO128" s="804"/>
      <c r="BP128" s="804"/>
      <c r="BQ128" s="804"/>
    </row>
    <row r="129" spans="39:69" s="169" customFormat="1">
      <c r="AM129" s="804"/>
      <c r="AN129" s="804"/>
      <c r="AO129" s="804"/>
      <c r="AP129" s="804"/>
      <c r="AQ129" s="804"/>
      <c r="AR129" s="804"/>
      <c r="AS129" s="804"/>
      <c r="AT129" s="804"/>
      <c r="AU129" s="804"/>
      <c r="AV129" s="804"/>
      <c r="AW129" s="804"/>
      <c r="AX129" s="804"/>
      <c r="AY129" s="804"/>
      <c r="AZ129" s="804"/>
      <c r="BA129" s="804"/>
      <c r="BB129" s="804"/>
      <c r="BC129" s="804"/>
      <c r="BD129" s="804"/>
      <c r="BE129" s="804"/>
      <c r="BF129" s="804"/>
      <c r="BG129" s="804"/>
      <c r="BH129" s="804"/>
      <c r="BI129" s="804"/>
      <c r="BJ129" s="804"/>
      <c r="BK129" s="804"/>
      <c r="BL129" s="804"/>
      <c r="BM129" s="804"/>
      <c r="BN129" s="804"/>
      <c r="BO129" s="804"/>
      <c r="BP129" s="804"/>
      <c r="BQ129" s="804"/>
    </row>
    <row r="130" spans="39:69" s="169" customFormat="1">
      <c r="AM130" s="804"/>
      <c r="AN130" s="804"/>
      <c r="AO130" s="804"/>
      <c r="AP130" s="804"/>
      <c r="AQ130" s="804"/>
      <c r="AR130" s="804"/>
      <c r="AS130" s="804"/>
      <c r="AT130" s="804"/>
      <c r="AU130" s="804"/>
      <c r="AV130" s="804"/>
      <c r="AW130" s="804"/>
      <c r="AX130" s="804"/>
      <c r="AY130" s="804"/>
      <c r="AZ130" s="804"/>
      <c r="BA130" s="804"/>
      <c r="BB130" s="804"/>
      <c r="BC130" s="804"/>
      <c r="BD130" s="804"/>
      <c r="BE130" s="804"/>
      <c r="BF130" s="804"/>
      <c r="BG130" s="804"/>
      <c r="BH130" s="804"/>
      <c r="BI130" s="804"/>
      <c r="BJ130" s="804"/>
      <c r="BK130" s="804"/>
      <c r="BL130" s="804"/>
      <c r="BM130" s="804"/>
      <c r="BN130" s="804"/>
      <c r="BO130" s="804"/>
      <c r="BP130" s="804"/>
      <c r="BQ130" s="804"/>
    </row>
    <row r="131" spans="39:69" s="169" customFormat="1">
      <c r="AM131" s="804"/>
      <c r="AN131" s="804"/>
      <c r="AO131" s="804"/>
      <c r="AP131" s="804"/>
      <c r="AQ131" s="804"/>
      <c r="AR131" s="804"/>
      <c r="AS131" s="804"/>
      <c r="AT131" s="804"/>
      <c r="AU131" s="804"/>
      <c r="AV131" s="804"/>
      <c r="AW131" s="804"/>
      <c r="AX131" s="804"/>
      <c r="AY131" s="804"/>
      <c r="AZ131" s="804"/>
      <c r="BA131" s="804"/>
      <c r="BB131" s="804"/>
      <c r="BC131" s="804"/>
      <c r="BD131" s="804"/>
      <c r="BE131" s="804"/>
      <c r="BF131" s="804"/>
      <c r="BG131" s="804"/>
      <c r="BH131" s="804"/>
      <c r="BI131" s="804"/>
      <c r="BJ131" s="804"/>
      <c r="BK131" s="804"/>
      <c r="BL131" s="804"/>
      <c r="BM131" s="804"/>
      <c r="BN131" s="804"/>
      <c r="BO131" s="804"/>
      <c r="BP131" s="804"/>
      <c r="BQ131" s="804"/>
    </row>
    <row r="132" spans="39:69" s="169" customFormat="1">
      <c r="AM132" s="804"/>
      <c r="AN132" s="804"/>
      <c r="AO132" s="804"/>
      <c r="AP132" s="804"/>
      <c r="AQ132" s="804"/>
      <c r="AR132" s="804"/>
      <c r="AS132" s="804"/>
      <c r="AT132" s="804"/>
      <c r="AU132" s="804"/>
      <c r="AV132" s="804"/>
      <c r="AW132" s="804"/>
      <c r="AX132" s="804"/>
      <c r="AY132" s="804"/>
      <c r="AZ132" s="804"/>
      <c r="BA132" s="804"/>
      <c r="BB132" s="804"/>
      <c r="BC132" s="804"/>
      <c r="BD132" s="804"/>
      <c r="BE132" s="804"/>
      <c r="BF132" s="804"/>
      <c r="BG132" s="804"/>
      <c r="BH132" s="804"/>
      <c r="BI132" s="804"/>
      <c r="BJ132" s="804"/>
      <c r="BK132" s="804"/>
      <c r="BL132" s="804"/>
      <c r="BM132" s="804"/>
      <c r="BN132" s="804"/>
      <c r="BO132" s="804"/>
      <c r="BP132" s="804"/>
      <c r="BQ132" s="804"/>
    </row>
    <row r="133" spans="39:69" s="169" customFormat="1">
      <c r="AM133" s="804"/>
      <c r="AN133" s="804"/>
      <c r="AO133" s="804"/>
      <c r="AP133" s="804"/>
      <c r="AQ133" s="804"/>
      <c r="AR133" s="804"/>
      <c r="AS133" s="804"/>
      <c r="AT133" s="804"/>
      <c r="AU133" s="804"/>
      <c r="AV133" s="804"/>
      <c r="AW133" s="804"/>
      <c r="AX133" s="804"/>
      <c r="AY133" s="804"/>
      <c r="AZ133" s="804"/>
      <c r="BA133" s="804"/>
      <c r="BB133" s="804"/>
      <c r="BC133" s="804"/>
      <c r="BD133" s="804"/>
      <c r="BE133" s="804"/>
      <c r="BF133" s="804"/>
      <c r="BG133" s="804"/>
      <c r="BH133" s="804"/>
      <c r="BI133" s="804"/>
      <c r="BJ133" s="804"/>
      <c r="BK133" s="804"/>
      <c r="BL133" s="804"/>
      <c r="BM133" s="804"/>
      <c r="BN133" s="804"/>
      <c r="BO133" s="804"/>
      <c r="BP133" s="804"/>
      <c r="BQ133" s="804"/>
    </row>
    <row r="134" spans="39:69" s="169" customFormat="1">
      <c r="AM134" s="804"/>
      <c r="AN134" s="804"/>
      <c r="AO134" s="804"/>
      <c r="AP134" s="804"/>
      <c r="AQ134" s="804"/>
      <c r="AR134" s="804"/>
      <c r="AS134" s="804"/>
      <c r="AT134" s="804"/>
      <c r="AU134" s="804"/>
      <c r="AV134" s="804"/>
      <c r="AW134" s="804"/>
      <c r="AX134" s="804"/>
      <c r="AY134" s="804"/>
      <c r="AZ134" s="804"/>
      <c r="BA134" s="804"/>
      <c r="BB134" s="804"/>
      <c r="BC134" s="804"/>
      <c r="BD134" s="804"/>
      <c r="BE134" s="804"/>
      <c r="BF134" s="804"/>
      <c r="BG134" s="804"/>
      <c r="BH134" s="804"/>
      <c r="BI134" s="804"/>
      <c r="BJ134" s="804"/>
      <c r="BK134" s="804"/>
      <c r="BL134" s="804"/>
      <c r="BM134" s="804"/>
      <c r="BN134" s="804"/>
      <c r="BO134" s="804"/>
      <c r="BP134" s="804"/>
      <c r="BQ134" s="804"/>
    </row>
    <row r="135" spans="39:69" s="169" customFormat="1">
      <c r="AM135" s="804"/>
      <c r="AN135" s="804"/>
      <c r="AO135" s="804"/>
      <c r="AP135" s="804"/>
      <c r="AQ135" s="804"/>
      <c r="AR135" s="804"/>
      <c r="AS135" s="804"/>
      <c r="AT135" s="804"/>
      <c r="AU135" s="804"/>
      <c r="AV135" s="804"/>
      <c r="AW135" s="804"/>
      <c r="AX135" s="804"/>
      <c r="AY135" s="804"/>
      <c r="AZ135" s="804"/>
      <c r="BA135" s="804"/>
      <c r="BB135" s="804"/>
      <c r="BC135" s="804"/>
      <c r="BD135" s="804"/>
      <c r="BE135" s="804"/>
      <c r="BF135" s="804"/>
      <c r="BG135" s="804"/>
      <c r="BH135" s="804"/>
      <c r="BI135" s="804"/>
      <c r="BJ135" s="804"/>
      <c r="BK135" s="804"/>
      <c r="BL135" s="804"/>
      <c r="BM135" s="804"/>
      <c r="BN135" s="804"/>
      <c r="BO135" s="804"/>
      <c r="BP135" s="804"/>
      <c r="BQ135" s="804"/>
    </row>
    <row r="136" spans="39:69" s="169" customFormat="1">
      <c r="AM136" s="804"/>
      <c r="AN136" s="804"/>
      <c r="AO136" s="804"/>
      <c r="AP136" s="804"/>
      <c r="AQ136" s="804"/>
      <c r="AR136" s="804"/>
      <c r="AS136" s="804"/>
      <c r="AT136" s="804"/>
      <c r="AU136" s="804"/>
      <c r="AV136" s="804"/>
      <c r="AW136" s="804"/>
      <c r="AX136" s="804"/>
      <c r="AY136" s="804"/>
      <c r="AZ136" s="804"/>
      <c r="BA136" s="804"/>
      <c r="BB136" s="804"/>
      <c r="BC136" s="804"/>
      <c r="BD136" s="804"/>
      <c r="BE136" s="804"/>
      <c r="BF136" s="804"/>
      <c r="BG136" s="804"/>
      <c r="BH136" s="804"/>
      <c r="BI136" s="804"/>
      <c r="BJ136" s="804"/>
      <c r="BK136" s="804"/>
      <c r="BL136" s="804"/>
      <c r="BM136" s="804"/>
      <c r="BN136" s="804"/>
      <c r="BO136" s="804"/>
      <c r="BP136" s="804"/>
      <c r="BQ136" s="804"/>
    </row>
    <row r="137" spans="39:69" s="169" customFormat="1">
      <c r="AM137" s="804"/>
      <c r="AN137" s="804"/>
      <c r="AO137" s="804"/>
      <c r="AP137" s="804"/>
      <c r="AQ137" s="804"/>
      <c r="AR137" s="804"/>
      <c r="AS137" s="804"/>
      <c r="AT137" s="804"/>
      <c r="AU137" s="804"/>
      <c r="AV137" s="804"/>
      <c r="AW137" s="804"/>
      <c r="AX137" s="804"/>
      <c r="AY137" s="804"/>
      <c r="AZ137" s="804"/>
      <c r="BA137" s="804"/>
      <c r="BB137" s="804"/>
      <c r="BC137" s="804"/>
      <c r="BD137" s="804"/>
      <c r="BE137" s="804"/>
      <c r="BF137" s="804"/>
      <c r="BG137" s="804"/>
      <c r="BH137" s="804"/>
      <c r="BI137" s="804"/>
      <c r="BJ137" s="804"/>
      <c r="BK137" s="804"/>
      <c r="BL137" s="804"/>
      <c r="BM137" s="804"/>
      <c r="BN137" s="804"/>
      <c r="BO137" s="804"/>
      <c r="BP137" s="804"/>
      <c r="BQ137" s="804"/>
    </row>
    <row r="138" spans="39:69" s="169" customFormat="1">
      <c r="AM138" s="804"/>
      <c r="AN138" s="804"/>
      <c r="AO138" s="804"/>
      <c r="AP138" s="804"/>
      <c r="AQ138" s="804"/>
      <c r="AR138" s="804"/>
      <c r="AS138" s="804"/>
      <c r="AT138" s="804"/>
      <c r="AU138" s="804"/>
      <c r="AV138" s="804"/>
      <c r="AW138" s="804"/>
      <c r="AX138" s="804"/>
      <c r="AY138" s="804"/>
      <c r="AZ138" s="804"/>
      <c r="BA138" s="804"/>
      <c r="BB138" s="804"/>
      <c r="BC138" s="804"/>
      <c r="BD138" s="804"/>
      <c r="BE138" s="804"/>
      <c r="BF138" s="804"/>
      <c r="BG138" s="804"/>
      <c r="BH138" s="804"/>
      <c r="BI138" s="804"/>
      <c r="BJ138" s="804"/>
      <c r="BK138" s="804"/>
      <c r="BL138" s="804"/>
      <c r="BM138" s="804"/>
      <c r="BN138" s="804"/>
      <c r="BO138" s="804"/>
      <c r="BP138" s="804"/>
      <c r="BQ138" s="804"/>
    </row>
    <row r="139" spans="39:69" s="169" customFormat="1">
      <c r="AM139" s="804"/>
      <c r="AN139" s="804"/>
      <c r="AO139" s="804"/>
      <c r="AP139" s="804"/>
      <c r="AQ139" s="804"/>
      <c r="AR139" s="804"/>
      <c r="AS139" s="804"/>
      <c r="AT139" s="804"/>
      <c r="AU139" s="804"/>
      <c r="AV139" s="804"/>
      <c r="AW139" s="804"/>
      <c r="AX139" s="804"/>
      <c r="AY139" s="804"/>
      <c r="AZ139" s="804"/>
      <c r="BA139" s="804"/>
      <c r="BB139" s="804"/>
      <c r="BC139" s="804"/>
      <c r="BD139" s="804"/>
      <c r="BE139" s="804"/>
      <c r="BF139" s="804"/>
      <c r="BG139" s="804"/>
      <c r="BH139" s="804"/>
      <c r="BI139" s="804"/>
      <c r="BJ139" s="804"/>
      <c r="BK139" s="804"/>
      <c r="BL139" s="804"/>
      <c r="BM139" s="804"/>
      <c r="BN139" s="804"/>
      <c r="BO139" s="804"/>
      <c r="BP139" s="804"/>
      <c r="BQ139" s="804"/>
    </row>
    <row r="140" spans="39:69" s="169" customFormat="1">
      <c r="AM140" s="804"/>
      <c r="AN140" s="804"/>
      <c r="AO140" s="804"/>
      <c r="AP140" s="804"/>
      <c r="AQ140" s="804"/>
      <c r="AR140" s="804"/>
      <c r="AS140" s="804"/>
      <c r="AT140" s="804"/>
      <c r="AU140" s="804"/>
      <c r="AV140" s="804"/>
      <c r="AW140" s="804"/>
      <c r="AX140" s="804"/>
      <c r="AY140" s="804"/>
      <c r="AZ140" s="804"/>
      <c r="BA140" s="804"/>
      <c r="BB140" s="804"/>
      <c r="BC140" s="804"/>
      <c r="BD140" s="804"/>
      <c r="BE140" s="804"/>
      <c r="BF140" s="804"/>
      <c r="BG140" s="804"/>
      <c r="BH140" s="804"/>
      <c r="BI140" s="804"/>
      <c r="BJ140" s="804"/>
      <c r="BK140" s="804"/>
      <c r="BL140" s="804"/>
      <c r="BM140" s="804"/>
      <c r="BN140" s="804"/>
      <c r="BO140" s="804"/>
      <c r="BP140" s="804"/>
      <c r="BQ140" s="804"/>
    </row>
    <row r="141" spans="39:69" s="169" customFormat="1">
      <c r="AM141" s="804"/>
      <c r="AN141" s="804"/>
      <c r="AO141" s="804"/>
      <c r="AP141" s="804"/>
      <c r="AQ141" s="804"/>
      <c r="AR141" s="804"/>
      <c r="AS141" s="804"/>
      <c r="AT141" s="804"/>
      <c r="AU141" s="804"/>
      <c r="AV141" s="804"/>
      <c r="AW141" s="804"/>
      <c r="AX141" s="804"/>
      <c r="AY141" s="804"/>
      <c r="AZ141" s="804"/>
      <c r="BA141" s="804"/>
      <c r="BB141" s="804"/>
      <c r="BC141" s="804"/>
      <c r="BD141" s="804"/>
      <c r="BE141" s="804"/>
      <c r="BF141" s="804"/>
      <c r="BG141" s="804"/>
      <c r="BH141" s="804"/>
      <c r="BI141" s="804"/>
      <c r="BJ141" s="804"/>
      <c r="BK141" s="804"/>
      <c r="BL141" s="804"/>
      <c r="BM141" s="804"/>
      <c r="BN141" s="804"/>
      <c r="BO141" s="804"/>
      <c r="BP141" s="804"/>
      <c r="BQ141" s="804"/>
    </row>
    <row r="142" spans="39:69" s="169" customFormat="1">
      <c r="AM142" s="804"/>
      <c r="AN142" s="804"/>
      <c r="AO142" s="804"/>
      <c r="AP142" s="804"/>
      <c r="AQ142" s="804"/>
      <c r="AR142" s="804"/>
      <c r="AS142" s="804"/>
      <c r="AT142" s="804"/>
      <c r="AU142" s="804"/>
      <c r="AV142" s="804"/>
      <c r="AW142" s="804"/>
      <c r="AX142" s="804"/>
      <c r="AY142" s="804"/>
      <c r="AZ142" s="804"/>
      <c r="BA142" s="804"/>
      <c r="BB142" s="804"/>
      <c r="BC142" s="804"/>
      <c r="BD142" s="804"/>
      <c r="BE142" s="804"/>
      <c r="BF142" s="804"/>
      <c r="BG142" s="804"/>
      <c r="BH142" s="804"/>
      <c r="BI142" s="804"/>
      <c r="BJ142" s="804"/>
      <c r="BK142" s="804"/>
      <c r="BL142" s="804"/>
      <c r="BM142" s="804"/>
      <c r="BN142" s="804"/>
      <c r="BO142" s="804"/>
      <c r="BP142" s="804"/>
      <c r="BQ142" s="804"/>
    </row>
    <row r="143" spans="39:69" s="169" customFormat="1">
      <c r="AM143" s="804"/>
      <c r="AN143" s="804"/>
      <c r="AO143" s="804"/>
      <c r="AP143" s="804"/>
      <c r="AQ143" s="804"/>
      <c r="AR143" s="804"/>
      <c r="AS143" s="804"/>
      <c r="AT143" s="804"/>
      <c r="AU143" s="804"/>
      <c r="AV143" s="804"/>
      <c r="AW143" s="804"/>
      <c r="AX143" s="804"/>
      <c r="AY143" s="804"/>
      <c r="AZ143" s="804"/>
      <c r="BA143" s="804"/>
      <c r="BB143" s="804"/>
      <c r="BC143" s="804"/>
      <c r="BD143" s="804"/>
      <c r="BE143" s="804"/>
      <c r="BF143" s="804"/>
      <c r="BG143" s="804"/>
      <c r="BH143" s="804"/>
      <c r="BI143" s="804"/>
      <c r="BJ143" s="804"/>
      <c r="BK143" s="804"/>
      <c r="BL143" s="804"/>
      <c r="BM143" s="804"/>
      <c r="BN143" s="804"/>
      <c r="BO143" s="804"/>
      <c r="BP143" s="804"/>
      <c r="BQ143" s="804"/>
    </row>
    <row r="144" spans="39:69" s="169" customFormat="1">
      <c r="AM144" s="804"/>
      <c r="AN144" s="804"/>
      <c r="AO144" s="804"/>
      <c r="AP144" s="804"/>
      <c r="AQ144" s="804"/>
      <c r="AR144" s="804"/>
      <c r="AS144" s="804"/>
      <c r="AT144" s="804"/>
      <c r="AU144" s="804"/>
      <c r="AV144" s="804"/>
      <c r="AW144" s="804"/>
      <c r="AX144" s="804"/>
      <c r="AY144" s="804"/>
      <c r="AZ144" s="804"/>
      <c r="BA144" s="804"/>
      <c r="BB144" s="804"/>
      <c r="BC144" s="804"/>
      <c r="BD144" s="804"/>
      <c r="BE144" s="804"/>
      <c r="BF144" s="804"/>
      <c r="BG144" s="804"/>
      <c r="BH144" s="804"/>
      <c r="BI144" s="804"/>
      <c r="BJ144" s="804"/>
      <c r="BK144" s="804"/>
      <c r="BL144" s="804"/>
      <c r="BM144" s="804"/>
      <c r="BN144" s="804"/>
      <c r="BO144" s="804"/>
      <c r="BP144" s="804"/>
      <c r="BQ144" s="804"/>
    </row>
    <row r="145" spans="39:69" s="169" customFormat="1">
      <c r="AM145" s="804"/>
      <c r="AN145" s="804"/>
      <c r="AO145" s="804"/>
      <c r="AP145" s="804"/>
      <c r="AQ145" s="804"/>
      <c r="AR145" s="804"/>
      <c r="AS145" s="804"/>
      <c r="AT145" s="804"/>
      <c r="AU145" s="804"/>
      <c r="AV145" s="804"/>
      <c r="AW145" s="804"/>
      <c r="AX145" s="804"/>
      <c r="AY145" s="804"/>
      <c r="AZ145" s="804"/>
      <c r="BA145" s="804"/>
      <c r="BB145" s="804"/>
      <c r="BC145" s="804"/>
      <c r="BD145" s="804"/>
      <c r="BE145" s="804"/>
      <c r="BF145" s="804"/>
      <c r="BG145" s="804"/>
      <c r="BH145" s="804"/>
      <c r="BI145" s="804"/>
      <c r="BJ145" s="804"/>
      <c r="BK145" s="804"/>
      <c r="BL145" s="804"/>
      <c r="BM145" s="804"/>
      <c r="BN145" s="804"/>
      <c r="BO145" s="804"/>
      <c r="BP145" s="804"/>
      <c r="BQ145" s="804"/>
    </row>
    <row r="146" spans="39:69" s="169" customFormat="1">
      <c r="AM146" s="804"/>
      <c r="AN146" s="804"/>
      <c r="AO146" s="804"/>
      <c r="AP146" s="804"/>
      <c r="AQ146" s="804"/>
      <c r="AR146" s="804"/>
      <c r="AS146" s="804"/>
      <c r="AT146" s="804"/>
      <c r="AU146" s="804"/>
      <c r="AV146" s="804"/>
      <c r="AW146" s="804"/>
      <c r="AX146" s="804"/>
      <c r="AY146" s="804"/>
      <c r="AZ146" s="804"/>
      <c r="BA146" s="804"/>
      <c r="BB146" s="804"/>
      <c r="BC146" s="804"/>
      <c r="BD146" s="804"/>
      <c r="BE146" s="804"/>
      <c r="BF146" s="804"/>
      <c r="BG146" s="804"/>
      <c r="BH146" s="804"/>
      <c r="BI146" s="804"/>
      <c r="BJ146" s="804"/>
      <c r="BK146" s="804"/>
      <c r="BL146" s="804"/>
      <c r="BM146" s="804"/>
      <c r="BN146" s="804"/>
      <c r="BO146" s="804"/>
      <c r="BP146" s="804"/>
      <c r="BQ146" s="804"/>
    </row>
    <row r="147" spans="39:69" s="169" customFormat="1">
      <c r="AM147" s="804"/>
      <c r="AN147" s="804"/>
      <c r="AO147" s="804"/>
      <c r="AP147" s="804"/>
      <c r="AQ147" s="804"/>
      <c r="AR147" s="804"/>
      <c r="AS147" s="804"/>
      <c r="AT147" s="804"/>
      <c r="AU147" s="804"/>
      <c r="AV147" s="804"/>
      <c r="AW147" s="804"/>
      <c r="AX147" s="804"/>
      <c r="AY147" s="804"/>
      <c r="AZ147" s="804"/>
      <c r="BA147" s="804"/>
      <c r="BB147" s="804"/>
      <c r="BC147" s="804"/>
      <c r="BD147" s="804"/>
      <c r="BE147" s="804"/>
      <c r="BF147" s="804"/>
      <c r="BG147" s="804"/>
      <c r="BH147" s="804"/>
      <c r="BI147" s="804"/>
      <c r="BJ147" s="804"/>
      <c r="BK147" s="804"/>
      <c r="BL147" s="804"/>
      <c r="BM147" s="804"/>
      <c r="BN147" s="804"/>
      <c r="BO147" s="804"/>
      <c r="BP147" s="804"/>
      <c r="BQ147" s="804"/>
    </row>
    <row r="148" spans="39:69" s="169" customFormat="1">
      <c r="AM148" s="804"/>
      <c r="AN148" s="804"/>
      <c r="AO148" s="804"/>
      <c r="AP148" s="804"/>
      <c r="AQ148" s="804"/>
      <c r="AR148" s="804"/>
      <c r="AS148" s="804"/>
      <c r="AT148" s="804"/>
      <c r="AU148" s="804"/>
      <c r="AV148" s="804"/>
      <c r="AW148" s="804"/>
      <c r="AX148" s="804"/>
      <c r="AY148" s="804"/>
      <c r="AZ148" s="804"/>
      <c r="BA148" s="804"/>
      <c r="BB148" s="804"/>
      <c r="BC148" s="804"/>
      <c r="BD148" s="804"/>
      <c r="BE148" s="804"/>
      <c r="BF148" s="804"/>
      <c r="BG148" s="804"/>
      <c r="BH148" s="804"/>
      <c r="BI148" s="804"/>
      <c r="BJ148" s="804"/>
      <c r="BK148" s="804"/>
      <c r="BL148" s="804"/>
      <c r="BM148" s="804"/>
      <c r="BN148" s="804"/>
      <c r="BO148" s="804"/>
      <c r="BP148" s="804"/>
      <c r="BQ148" s="804"/>
    </row>
    <row r="149" spans="39:69" s="169" customFormat="1">
      <c r="AM149" s="804"/>
      <c r="AN149" s="804"/>
      <c r="AO149" s="804"/>
      <c r="AP149" s="804"/>
      <c r="AQ149" s="804"/>
      <c r="AR149" s="804"/>
      <c r="AS149" s="804"/>
      <c r="AT149" s="804"/>
      <c r="AU149" s="804"/>
      <c r="AV149" s="804"/>
      <c r="AW149" s="804"/>
      <c r="AX149" s="804"/>
      <c r="AY149" s="804"/>
      <c r="AZ149" s="804"/>
      <c r="BA149" s="804"/>
      <c r="BB149" s="804"/>
      <c r="BC149" s="804"/>
      <c r="BD149" s="804"/>
      <c r="BE149" s="804"/>
      <c r="BF149" s="804"/>
      <c r="BG149" s="804"/>
      <c r="BH149" s="804"/>
      <c r="BI149" s="804"/>
      <c r="BJ149" s="804"/>
      <c r="BK149" s="804"/>
      <c r="BL149" s="804"/>
      <c r="BM149" s="804"/>
      <c r="BN149" s="804"/>
      <c r="BO149" s="804"/>
      <c r="BP149" s="804"/>
      <c r="BQ149" s="804"/>
    </row>
    <row r="150" spans="39:69" s="169" customFormat="1">
      <c r="AM150" s="804"/>
      <c r="AN150" s="804"/>
      <c r="AO150" s="804"/>
      <c r="AP150" s="804"/>
      <c r="AQ150" s="804"/>
      <c r="AR150" s="804"/>
      <c r="AS150" s="804"/>
      <c r="AT150" s="804"/>
      <c r="AU150" s="804"/>
      <c r="AV150" s="804"/>
      <c r="AW150" s="804"/>
      <c r="AX150" s="804"/>
      <c r="AY150" s="804"/>
      <c r="AZ150" s="804"/>
      <c r="BA150" s="804"/>
      <c r="BB150" s="804"/>
      <c r="BC150" s="804"/>
      <c r="BD150" s="804"/>
      <c r="BE150" s="804"/>
      <c r="BF150" s="804"/>
      <c r="BG150" s="804"/>
      <c r="BH150" s="804"/>
      <c r="BI150" s="804"/>
      <c r="BJ150" s="804"/>
      <c r="BK150" s="804"/>
      <c r="BL150" s="804"/>
      <c r="BM150" s="804"/>
      <c r="BN150" s="804"/>
      <c r="BO150" s="804"/>
      <c r="BP150" s="804"/>
      <c r="BQ150" s="804"/>
    </row>
    <row r="151" spans="39:69" s="169" customFormat="1">
      <c r="AM151" s="804"/>
      <c r="AN151" s="804"/>
      <c r="AO151" s="804"/>
      <c r="AP151" s="804"/>
      <c r="AQ151" s="804"/>
      <c r="AR151" s="804"/>
      <c r="AS151" s="804"/>
      <c r="AT151" s="804"/>
      <c r="AU151" s="804"/>
      <c r="AV151" s="804"/>
      <c r="AW151" s="804"/>
      <c r="AX151" s="804"/>
      <c r="AY151" s="804"/>
      <c r="AZ151" s="804"/>
      <c r="BA151" s="804"/>
      <c r="BB151" s="804"/>
      <c r="BC151" s="804"/>
      <c r="BD151" s="804"/>
      <c r="BE151" s="804"/>
      <c r="BF151" s="804"/>
      <c r="BG151" s="804"/>
      <c r="BH151" s="804"/>
      <c r="BI151" s="804"/>
      <c r="BJ151" s="804"/>
      <c r="BK151" s="804"/>
      <c r="BL151" s="804"/>
      <c r="BM151" s="804"/>
      <c r="BN151" s="804"/>
      <c r="BO151" s="804"/>
      <c r="BP151" s="804"/>
      <c r="BQ151" s="804"/>
    </row>
    <row r="152" spans="39:69" s="169" customFormat="1">
      <c r="AM152" s="804"/>
      <c r="AN152" s="804"/>
      <c r="AO152" s="804"/>
      <c r="AP152" s="804"/>
      <c r="AQ152" s="804"/>
      <c r="AR152" s="804"/>
      <c r="AS152" s="804"/>
      <c r="AT152" s="804"/>
      <c r="AU152" s="804"/>
      <c r="AV152" s="804"/>
      <c r="AW152" s="804"/>
      <c r="AX152" s="804"/>
      <c r="AY152" s="804"/>
      <c r="AZ152" s="804"/>
      <c r="BA152" s="804"/>
      <c r="BB152" s="804"/>
      <c r="BC152" s="804"/>
      <c r="BD152" s="804"/>
      <c r="BE152" s="804"/>
      <c r="BF152" s="804"/>
      <c r="BG152" s="804"/>
      <c r="BH152" s="804"/>
      <c r="BI152" s="804"/>
      <c r="BJ152" s="804"/>
      <c r="BK152" s="804"/>
      <c r="BL152" s="804"/>
      <c r="BM152" s="804"/>
      <c r="BN152" s="804"/>
      <c r="BO152" s="804"/>
      <c r="BP152" s="804"/>
      <c r="BQ152" s="804"/>
    </row>
    <row r="153" spans="39:69" s="169" customFormat="1">
      <c r="AM153" s="804"/>
      <c r="AN153" s="804"/>
      <c r="AO153" s="804"/>
      <c r="AP153" s="804"/>
      <c r="AQ153" s="804"/>
      <c r="AR153" s="804"/>
      <c r="AS153" s="804"/>
      <c r="AT153" s="804"/>
      <c r="AU153" s="804"/>
      <c r="AV153" s="804"/>
      <c r="AW153" s="804"/>
      <c r="AX153" s="804"/>
      <c r="AY153" s="804"/>
      <c r="AZ153" s="804"/>
      <c r="BA153" s="804"/>
      <c r="BB153" s="804"/>
      <c r="BC153" s="804"/>
      <c r="BD153" s="804"/>
      <c r="BE153" s="804"/>
      <c r="BF153" s="804"/>
      <c r="BG153" s="804"/>
      <c r="BH153" s="804"/>
      <c r="BI153" s="804"/>
      <c r="BJ153" s="804"/>
      <c r="BK153" s="804"/>
      <c r="BL153" s="804"/>
      <c r="BM153" s="804"/>
      <c r="BN153" s="804"/>
      <c r="BO153" s="804"/>
      <c r="BP153" s="804"/>
      <c r="BQ153" s="804"/>
    </row>
    <row r="154" spans="39:69" s="169" customFormat="1">
      <c r="AM154" s="804"/>
      <c r="AN154" s="804"/>
      <c r="AO154" s="804"/>
      <c r="AP154" s="804"/>
      <c r="AQ154" s="804"/>
      <c r="AR154" s="804"/>
      <c r="AS154" s="804"/>
      <c r="AT154" s="804"/>
      <c r="AU154" s="804"/>
      <c r="AV154" s="804"/>
      <c r="AW154" s="804"/>
      <c r="AX154" s="804"/>
      <c r="AY154" s="804"/>
      <c r="AZ154" s="804"/>
      <c r="BA154" s="804"/>
      <c r="BB154" s="804"/>
      <c r="BC154" s="804"/>
      <c r="BD154" s="804"/>
      <c r="BE154" s="804"/>
      <c r="BF154" s="804"/>
      <c r="BG154" s="804"/>
      <c r="BH154" s="804"/>
      <c r="BI154" s="804"/>
      <c r="BJ154" s="804"/>
      <c r="BK154" s="804"/>
      <c r="BL154" s="804"/>
      <c r="BM154" s="804"/>
      <c r="BN154" s="804"/>
      <c r="BO154" s="804"/>
      <c r="BP154" s="804"/>
      <c r="BQ154" s="804"/>
    </row>
    <row r="155" spans="39:69" s="169" customFormat="1">
      <c r="AM155" s="804"/>
      <c r="AN155" s="804"/>
      <c r="AO155" s="804"/>
      <c r="AP155" s="804"/>
      <c r="AQ155" s="804"/>
      <c r="AR155" s="804"/>
      <c r="AS155" s="804"/>
      <c r="AT155" s="804"/>
      <c r="AU155" s="804"/>
      <c r="AV155" s="804"/>
      <c r="AW155" s="804"/>
      <c r="AX155" s="804"/>
      <c r="AY155" s="804"/>
      <c r="AZ155" s="804"/>
      <c r="BA155" s="804"/>
      <c r="BB155" s="804"/>
      <c r="BC155" s="804"/>
      <c r="BD155" s="804"/>
      <c r="BE155" s="804"/>
      <c r="BF155" s="804"/>
      <c r="BG155" s="804"/>
      <c r="BH155" s="804"/>
      <c r="BI155" s="804"/>
      <c r="BJ155" s="804"/>
      <c r="BK155" s="804"/>
      <c r="BL155" s="804"/>
      <c r="BM155" s="804"/>
      <c r="BN155" s="804"/>
      <c r="BO155" s="804"/>
      <c r="BP155" s="804"/>
      <c r="BQ155" s="804"/>
    </row>
    <row r="156" spans="39:69" s="169" customFormat="1">
      <c r="AM156" s="804"/>
      <c r="AN156" s="804"/>
      <c r="AO156" s="804"/>
      <c r="AP156" s="804"/>
      <c r="AQ156" s="804"/>
      <c r="AR156" s="804"/>
      <c r="AS156" s="804"/>
      <c r="AT156" s="804"/>
      <c r="AU156" s="804"/>
      <c r="AV156" s="804"/>
      <c r="AW156" s="804"/>
      <c r="AX156" s="804"/>
      <c r="AY156" s="804"/>
      <c r="AZ156" s="804"/>
      <c r="BA156" s="804"/>
      <c r="BB156" s="804"/>
      <c r="BC156" s="804"/>
      <c r="BD156" s="804"/>
      <c r="BE156" s="804"/>
      <c r="BF156" s="804"/>
      <c r="BG156" s="804"/>
      <c r="BH156" s="804"/>
      <c r="BI156" s="804"/>
      <c r="BJ156" s="804"/>
      <c r="BK156" s="804"/>
      <c r="BL156" s="804"/>
      <c r="BM156" s="804"/>
      <c r="BN156" s="804"/>
      <c r="BO156" s="804"/>
      <c r="BP156" s="804"/>
      <c r="BQ156" s="804"/>
    </row>
    <row r="157" spans="39:69" s="169" customFormat="1">
      <c r="AM157" s="804"/>
      <c r="AN157" s="804"/>
      <c r="AO157" s="804"/>
      <c r="AP157" s="804"/>
      <c r="AQ157" s="804"/>
      <c r="AR157" s="804"/>
      <c r="AS157" s="804"/>
      <c r="AT157" s="804"/>
      <c r="AU157" s="804"/>
      <c r="AV157" s="804"/>
      <c r="AW157" s="804"/>
      <c r="AX157" s="804"/>
      <c r="AY157" s="804"/>
      <c r="AZ157" s="804"/>
      <c r="BA157" s="804"/>
      <c r="BB157" s="804"/>
      <c r="BC157" s="804"/>
      <c r="BD157" s="804"/>
      <c r="BE157" s="804"/>
      <c r="BF157" s="804"/>
      <c r="BG157" s="804"/>
      <c r="BH157" s="804"/>
      <c r="BI157" s="804"/>
      <c r="BJ157" s="804"/>
      <c r="BK157" s="804"/>
      <c r="BL157" s="804"/>
      <c r="BM157" s="804"/>
      <c r="BN157" s="804"/>
      <c r="BO157" s="804"/>
      <c r="BP157" s="804"/>
      <c r="BQ157" s="804"/>
    </row>
    <row r="158" spans="39:69" s="169" customFormat="1">
      <c r="AM158" s="804"/>
      <c r="AN158" s="804"/>
      <c r="AO158" s="804"/>
      <c r="AP158" s="804"/>
      <c r="AQ158" s="804"/>
      <c r="AR158" s="804"/>
      <c r="AS158" s="804"/>
      <c r="AT158" s="804"/>
      <c r="AU158" s="804"/>
      <c r="AV158" s="804"/>
      <c r="AW158" s="804"/>
      <c r="AX158" s="804"/>
      <c r="AY158" s="804"/>
      <c r="AZ158" s="804"/>
      <c r="BA158" s="804"/>
      <c r="BB158" s="804"/>
      <c r="BC158" s="804"/>
      <c r="BD158" s="804"/>
      <c r="BE158" s="804"/>
      <c r="BF158" s="804"/>
      <c r="BG158" s="804"/>
      <c r="BH158" s="804"/>
      <c r="BI158" s="804"/>
      <c r="BJ158" s="804"/>
      <c r="BK158" s="804"/>
      <c r="BL158" s="804"/>
      <c r="BM158" s="804"/>
      <c r="BN158" s="804"/>
      <c r="BO158" s="804"/>
      <c r="BP158" s="804"/>
      <c r="BQ158" s="804"/>
    </row>
    <row r="159" spans="39:69" s="169" customFormat="1">
      <c r="AM159" s="804"/>
      <c r="AN159" s="804"/>
      <c r="AO159" s="804"/>
      <c r="AP159" s="804"/>
      <c r="AQ159" s="804"/>
      <c r="AR159" s="804"/>
      <c r="AS159" s="804"/>
      <c r="AT159" s="804"/>
      <c r="AU159" s="804"/>
      <c r="AV159" s="804"/>
      <c r="AW159" s="804"/>
      <c r="AX159" s="804"/>
      <c r="AY159" s="804"/>
      <c r="AZ159" s="804"/>
      <c r="BA159" s="804"/>
      <c r="BB159" s="804"/>
      <c r="BC159" s="804"/>
      <c r="BD159" s="804"/>
      <c r="BE159" s="804"/>
      <c r="BF159" s="804"/>
      <c r="BG159" s="804"/>
      <c r="BH159" s="804"/>
      <c r="BI159" s="804"/>
      <c r="BJ159" s="804"/>
      <c r="BK159" s="804"/>
      <c r="BL159" s="804"/>
      <c r="BM159" s="804"/>
      <c r="BN159" s="804"/>
      <c r="BO159" s="804"/>
      <c r="BP159" s="804"/>
      <c r="BQ159" s="804"/>
    </row>
    <row r="160" spans="39:69" s="169" customFormat="1">
      <c r="AM160" s="804"/>
      <c r="AN160" s="804"/>
      <c r="AO160" s="804"/>
      <c r="AP160" s="804"/>
      <c r="AQ160" s="804"/>
      <c r="AR160" s="804"/>
      <c r="AS160" s="804"/>
      <c r="AT160" s="804"/>
      <c r="AU160" s="804"/>
      <c r="AV160" s="804"/>
      <c r="AW160" s="804"/>
      <c r="AX160" s="804"/>
      <c r="AY160" s="804"/>
      <c r="AZ160" s="804"/>
      <c r="BA160" s="804"/>
      <c r="BB160" s="804"/>
      <c r="BC160" s="804"/>
      <c r="BD160" s="804"/>
      <c r="BE160" s="804"/>
      <c r="BF160" s="804"/>
      <c r="BG160" s="804"/>
      <c r="BH160" s="804"/>
      <c r="BI160" s="804"/>
      <c r="BJ160" s="804"/>
      <c r="BK160" s="804"/>
      <c r="BL160" s="804"/>
      <c r="BM160" s="804"/>
      <c r="BN160" s="804"/>
      <c r="BO160" s="804"/>
      <c r="BP160" s="804"/>
      <c r="BQ160" s="804"/>
    </row>
    <row r="161" spans="39:69" s="169" customFormat="1">
      <c r="AM161" s="804"/>
      <c r="AN161" s="804"/>
      <c r="AO161" s="804"/>
      <c r="AP161" s="804"/>
      <c r="AQ161" s="804"/>
      <c r="AR161" s="804"/>
      <c r="AS161" s="804"/>
      <c r="AT161" s="804"/>
      <c r="AU161" s="804"/>
      <c r="AV161" s="804"/>
      <c r="AW161" s="804"/>
      <c r="AX161" s="804"/>
      <c r="AY161" s="804"/>
      <c r="AZ161" s="804"/>
      <c r="BA161" s="804"/>
      <c r="BB161" s="804"/>
      <c r="BC161" s="804"/>
      <c r="BD161" s="804"/>
      <c r="BE161" s="804"/>
      <c r="BF161" s="804"/>
      <c r="BG161" s="804"/>
      <c r="BH161" s="804"/>
      <c r="BI161" s="804"/>
      <c r="BJ161" s="804"/>
      <c r="BK161" s="804"/>
      <c r="BL161" s="804"/>
      <c r="BM161" s="804"/>
      <c r="BN161" s="804"/>
      <c r="BO161" s="804"/>
      <c r="BP161" s="804"/>
      <c r="BQ161" s="804"/>
    </row>
    <row r="162" spans="39:69" s="169" customFormat="1">
      <c r="AM162" s="804"/>
      <c r="AN162" s="804"/>
      <c r="AO162" s="804"/>
      <c r="AP162" s="804"/>
      <c r="AQ162" s="804"/>
      <c r="AR162" s="804"/>
      <c r="AS162" s="804"/>
      <c r="AT162" s="804"/>
      <c r="AU162" s="804"/>
      <c r="AV162" s="804"/>
      <c r="AW162" s="804"/>
      <c r="AX162" s="804"/>
      <c r="AY162" s="804"/>
      <c r="AZ162" s="804"/>
      <c r="BA162" s="804"/>
      <c r="BB162" s="804"/>
      <c r="BC162" s="804"/>
      <c r="BD162" s="804"/>
      <c r="BE162" s="804"/>
      <c r="BF162" s="804"/>
      <c r="BG162" s="804"/>
      <c r="BH162" s="804"/>
      <c r="BI162" s="804"/>
      <c r="BJ162" s="804"/>
      <c r="BK162" s="804"/>
      <c r="BL162" s="804"/>
      <c r="BM162" s="804"/>
      <c r="BN162" s="804"/>
      <c r="BO162" s="804"/>
      <c r="BP162" s="804"/>
      <c r="BQ162" s="804"/>
    </row>
    <row r="163" spans="39:69" s="169" customFormat="1">
      <c r="AM163" s="804"/>
      <c r="AN163" s="804"/>
      <c r="AO163" s="804"/>
      <c r="AP163" s="804"/>
      <c r="AQ163" s="804"/>
      <c r="AR163" s="804"/>
      <c r="AS163" s="804"/>
      <c r="AT163" s="804"/>
      <c r="AU163" s="804"/>
      <c r="AV163" s="804"/>
      <c r="AW163" s="804"/>
      <c r="AX163" s="804"/>
      <c r="AY163" s="804"/>
      <c r="AZ163" s="804"/>
      <c r="BA163" s="804"/>
      <c r="BB163" s="804"/>
      <c r="BC163" s="804"/>
      <c r="BD163" s="804"/>
      <c r="BE163" s="804"/>
      <c r="BF163" s="804"/>
      <c r="BG163" s="804"/>
      <c r="BH163" s="804"/>
      <c r="BI163" s="804"/>
      <c r="BJ163" s="804"/>
      <c r="BK163" s="804"/>
      <c r="BL163" s="804"/>
      <c r="BM163" s="804"/>
      <c r="BN163" s="804"/>
      <c r="BO163" s="804"/>
      <c r="BP163" s="804"/>
      <c r="BQ163" s="804"/>
    </row>
    <row r="164" spans="39:69" s="169" customFormat="1">
      <c r="AM164" s="804"/>
      <c r="AN164" s="804"/>
      <c r="AO164" s="804"/>
      <c r="AP164" s="804"/>
      <c r="AQ164" s="804"/>
      <c r="AR164" s="804"/>
      <c r="AS164" s="804"/>
      <c r="AT164" s="804"/>
      <c r="AU164" s="804"/>
      <c r="AV164" s="804"/>
      <c r="AW164" s="804"/>
      <c r="AX164" s="804"/>
      <c r="AY164" s="804"/>
      <c r="AZ164" s="804"/>
      <c r="BA164" s="804"/>
      <c r="BB164" s="804"/>
      <c r="BC164" s="804"/>
      <c r="BD164" s="804"/>
      <c r="BE164" s="804"/>
      <c r="BF164" s="804"/>
      <c r="BG164" s="804"/>
      <c r="BH164" s="804"/>
      <c r="BI164" s="804"/>
      <c r="BJ164" s="804"/>
      <c r="BK164" s="804"/>
      <c r="BL164" s="804"/>
      <c r="BM164" s="804"/>
      <c r="BN164" s="804"/>
      <c r="BO164" s="804"/>
      <c r="BP164" s="804"/>
      <c r="BQ164" s="804"/>
    </row>
    <row r="165" spans="39:69" s="169" customFormat="1">
      <c r="AM165" s="804"/>
      <c r="AN165" s="804"/>
      <c r="AO165" s="804"/>
      <c r="AP165" s="804"/>
      <c r="AQ165" s="804"/>
      <c r="AR165" s="804"/>
      <c r="AS165" s="804"/>
      <c r="AT165" s="804"/>
      <c r="AU165" s="804"/>
      <c r="AV165" s="804"/>
      <c r="AW165" s="804"/>
      <c r="AX165" s="804"/>
      <c r="AY165" s="804"/>
      <c r="AZ165" s="804"/>
      <c r="BA165" s="804"/>
      <c r="BB165" s="804"/>
      <c r="BC165" s="804"/>
      <c r="BD165" s="804"/>
      <c r="BE165" s="804"/>
      <c r="BF165" s="804"/>
      <c r="BG165" s="804"/>
      <c r="BH165" s="804"/>
      <c r="BI165" s="804"/>
      <c r="BJ165" s="804"/>
      <c r="BK165" s="804"/>
      <c r="BL165" s="804"/>
      <c r="BM165" s="804"/>
      <c r="BN165" s="804"/>
      <c r="BO165" s="804"/>
      <c r="BP165" s="804"/>
      <c r="BQ165" s="804"/>
    </row>
    <row r="166" spans="39:69" s="169" customFormat="1">
      <c r="AM166" s="804"/>
      <c r="AN166" s="804"/>
      <c r="AO166" s="804"/>
      <c r="AP166" s="804"/>
      <c r="AQ166" s="804"/>
      <c r="AR166" s="804"/>
      <c r="AS166" s="804"/>
      <c r="AT166" s="804"/>
      <c r="AU166" s="804"/>
      <c r="AV166" s="804"/>
      <c r="AW166" s="804"/>
      <c r="AX166" s="804"/>
      <c r="AY166" s="804"/>
      <c r="AZ166" s="804"/>
      <c r="BA166" s="804"/>
      <c r="BB166" s="804"/>
      <c r="BC166" s="804"/>
      <c r="BD166" s="804"/>
      <c r="BE166" s="804"/>
      <c r="BF166" s="804"/>
      <c r="BG166" s="804"/>
      <c r="BH166" s="804"/>
      <c r="BI166" s="804"/>
      <c r="BJ166" s="804"/>
      <c r="BK166" s="804"/>
      <c r="BL166" s="804"/>
      <c r="BM166" s="804"/>
      <c r="BN166" s="804"/>
      <c r="BO166" s="804"/>
      <c r="BP166" s="804"/>
      <c r="BQ166" s="804"/>
    </row>
    <row r="167" spans="39:69" s="169" customFormat="1">
      <c r="AM167" s="804"/>
      <c r="AN167" s="804"/>
      <c r="AO167" s="804"/>
      <c r="AP167" s="804"/>
      <c r="AQ167" s="804"/>
      <c r="AR167" s="804"/>
      <c r="AS167" s="804"/>
      <c r="AT167" s="804"/>
      <c r="AU167" s="804"/>
      <c r="AV167" s="804"/>
      <c r="AW167" s="804"/>
      <c r="AX167" s="804"/>
      <c r="AY167" s="804"/>
      <c r="AZ167" s="804"/>
      <c r="BA167" s="804"/>
      <c r="BB167" s="804"/>
      <c r="BC167" s="804"/>
      <c r="BD167" s="804"/>
      <c r="BE167" s="804"/>
      <c r="BF167" s="804"/>
      <c r="BG167" s="804"/>
      <c r="BH167" s="804"/>
      <c r="BI167" s="804"/>
      <c r="BJ167" s="804"/>
      <c r="BK167" s="804"/>
      <c r="BL167" s="804"/>
      <c r="BM167" s="804"/>
      <c r="BN167" s="804"/>
      <c r="BO167" s="804"/>
      <c r="BP167" s="804"/>
      <c r="BQ167" s="804"/>
    </row>
    <row r="168" spans="39:69" s="169" customFormat="1">
      <c r="AM168" s="804"/>
      <c r="AN168" s="804"/>
      <c r="AO168" s="804"/>
      <c r="AP168" s="804"/>
      <c r="AQ168" s="804"/>
      <c r="AR168" s="804"/>
      <c r="AS168" s="804"/>
      <c r="AT168" s="804"/>
      <c r="AU168" s="804"/>
      <c r="AV168" s="804"/>
      <c r="AW168" s="804"/>
      <c r="AX168" s="804"/>
      <c r="AY168" s="804"/>
      <c r="AZ168" s="804"/>
      <c r="BA168" s="804"/>
      <c r="BB168" s="804"/>
      <c r="BC168" s="804"/>
      <c r="BD168" s="804"/>
      <c r="BE168" s="804"/>
      <c r="BF168" s="804"/>
      <c r="BG168" s="804"/>
      <c r="BH168" s="804"/>
      <c r="BI168" s="804"/>
      <c r="BJ168" s="804"/>
      <c r="BK168" s="804"/>
      <c r="BL168" s="804"/>
      <c r="BM168" s="804"/>
      <c r="BN168" s="804"/>
      <c r="BO168" s="804"/>
      <c r="BP168" s="804"/>
      <c r="BQ168" s="804"/>
    </row>
    <row r="169" spans="39:69" s="169" customFormat="1">
      <c r="AM169" s="804"/>
      <c r="AN169" s="804"/>
      <c r="AO169" s="804"/>
      <c r="AP169" s="804"/>
      <c r="AQ169" s="804"/>
      <c r="AR169" s="804"/>
      <c r="AS169" s="804"/>
      <c r="AT169" s="804"/>
      <c r="AU169" s="804"/>
      <c r="AV169" s="804"/>
      <c r="AW169" s="804"/>
      <c r="AX169" s="804"/>
      <c r="AY169" s="804"/>
      <c r="AZ169" s="804"/>
      <c r="BA169" s="804"/>
      <c r="BB169" s="804"/>
      <c r="BC169" s="804"/>
      <c r="BD169" s="804"/>
      <c r="BE169" s="804"/>
      <c r="BF169" s="804"/>
      <c r="BG169" s="804"/>
      <c r="BH169" s="804"/>
      <c r="BI169" s="804"/>
      <c r="BJ169" s="804"/>
      <c r="BK169" s="804"/>
      <c r="BL169" s="804"/>
      <c r="BM169" s="804"/>
      <c r="BN169" s="804"/>
      <c r="BO169" s="804"/>
      <c r="BP169" s="804"/>
      <c r="BQ169" s="804"/>
    </row>
    <row r="170" spans="39:69" s="169" customFormat="1">
      <c r="AM170" s="804"/>
      <c r="AN170" s="804"/>
      <c r="AO170" s="804"/>
      <c r="AP170" s="804"/>
      <c r="AQ170" s="804"/>
      <c r="AR170" s="804"/>
      <c r="AS170" s="804"/>
      <c r="AT170" s="804"/>
      <c r="AU170" s="804"/>
      <c r="AV170" s="804"/>
      <c r="AW170" s="804"/>
      <c r="AX170" s="804"/>
      <c r="AY170" s="804"/>
      <c r="AZ170" s="804"/>
      <c r="BA170" s="804"/>
      <c r="BB170" s="804"/>
      <c r="BC170" s="804"/>
      <c r="BD170" s="804"/>
      <c r="BE170" s="804"/>
      <c r="BF170" s="804"/>
      <c r="BG170" s="804"/>
      <c r="BH170" s="804"/>
      <c r="BI170" s="804"/>
      <c r="BJ170" s="804"/>
      <c r="BK170" s="804"/>
      <c r="BL170" s="804"/>
      <c r="BM170" s="804"/>
      <c r="BN170" s="804"/>
      <c r="BO170" s="804"/>
      <c r="BP170" s="804"/>
      <c r="BQ170" s="804"/>
    </row>
    <row r="171" spans="39:69" s="169" customFormat="1">
      <c r="AM171" s="804"/>
      <c r="AN171" s="804"/>
      <c r="AO171" s="804"/>
      <c r="AP171" s="804"/>
      <c r="AQ171" s="804"/>
      <c r="AR171" s="804"/>
      <c r="AS171" s="804"/>
      <c r="AT171" s="804"/>
      <c r="AU171" s="804"/>
      <c r="AV171" s="804"/>
      <c r="AW171" s="804"/>
      <c r="AX171" s="804"/>
      <c r="AY171" s="804"/>
      <c r="AZ171" s="804"/>
      <c r="BA171" s="804"/>
      <c r="BB171" s="804"/>
      <c r="BC171" s="804"/>
      <c r="BD171" s="804"/>
      <c r="BE171" s="804"/>
      <c r="BF171" s="804"/>
      <c r="BG171" s="804"/>
      <c r="BH171" s="804"/>
      <c r="BI171" s="804"/>
      <c r="BJ171" s="804"/>
      <c r="BK171" s="804"/>
      <c r="BL171" s="804"/>
      <c r="BM171" s="804"/>
      <c r="BN171" s="804"/>
      <c r="BO171" s="804"/>
      <c r="BP171" s="804"/>
      <c r="BQ171" s="804"/>
    </row>
    <row r="172" spans="39:69" s="169" customFormat="1">
      <c r="AM172" s="804"/>
      <c r="AN172" s="804"/>
      <c r="AO172" s="804"/>
      <c r="AP172" s="804"/>
      <c r="AQ172" s="804"/>
      <c r="AR172" s="804"/>
      <c r="AS172" s="804"/>
      <c r="AT172" s="804"/>
      <c r="AU172" s="804"/>
      <c r="AV172" s="804"/>
      <c r="AW172" s="804"/>
      <c r="AX172" s="804"/>
      <c r="AY172" s="804"/>
      <c r="AZ172" s="804"/>
      <c r="BA172" s="804"/>
      <c r="BB172" s="804"/>
      <c r="BC172" s="804"/>
      <c r="BD172" s="804"/>
      <c r="BE172" s="804"/>
      <c r="BF172" s="804"/>
      <c r="BG172" s="804"/>
      <c r="BH172" s="804"/>
      <c r="BI172" s="804"/>
      <c r="BJ172" s="804"/>
      <c r="BK172" s="804"/>
      <c r="BL172" s="804"/>
      <c r="BM172" s="804"/>
      <c r="BN172" s="804"/>
      <c r="BO172" s="804"/>
      <c r="BP172" s="804"/>
      <c r="BQ172" s="804"/>
    </row>
    <row r="173" spans="39:69" s="169" customFormat="1">
      <c r="AM173" s="804"/>
      <c r="AN173" s="804"/>
      <c r="AO173" s="804"/>
      <c r="AP173" s="804"/>
      <c r="AQ173" s="804"/>
      <c r="AR173" s="804"/>
      <c r="AS173" s="804"/>
      <c r="AT173" s="804"/>
      <c r="AU173" s="804"/>
      <c r="AV173" s="804"/>
      <c r="AW173" s="804"/>
      <c r="AX173" s="804"/>
      <c r="AY173" s="804"/>
      <c r="AZ173" s="804"/>
      <c r="BA173" s="804"/>
      <c r="BB173" s="804"/>
      <c r="BC173" s="804"/>
      <c r="BD173" s="804"/>
      <c r="BE173" s="804"/>
      <c r="BF173" s="804"/>
      <c r="BG173" s="804"/>
      <c r="BH173" s="804"/>
      <c r="BI173" s="804"/>
      <c r="BJ173" s="804"/>
      <c r="BK173" s="804"/>
      <c r="BL173" s="804"/>
      <c r="BM173" s="804"/>
      <c r="BN173" s="804"/>
      <c r="BO173" s="804"/>
      <c r="BP173" s="804"/>
      <c r="BQ173" s="804"/>
    </row>
    <row r="174" spans="39:69" s="169" customFormat="1">
      <c r="AM174" s="804"/>
      <c r="AN174" s="804"/>
      <c r="AO174" s="804"/>
      <c r="AP174" s="804"/>
      <c r="AQ174" s="804"/>
      <c r="AR174" s="804"/>
      <c r="AS174" s="804"/>
      <c r="AT174" s="804"/>
      <c r="AU174" s="804"/>
      <c r="AV174" s="804"/>
      <c r="AW174" s="804"/>
      <c r="AX174" s="804"/>
      <c r="AY174" s="804"/>
      <c r="AZ174" s="804"/>
      <c r="BA174" s="804"/>
      <c r="BB174" s="804"/>
      <c r="BC174" s="804"/>
      <c r="BD174" s="804"/>
      <c r="BE174" s="804"/>
      <c r="BF174" s="804"/>
      <c r="BG174" s="804"/>
      <c r="BH174" s="804"/>
      <c r="BI174" s="804"/>
      <c r="BJ174" s="804"/>
      <c r="BK174" s="804"/>
      <c r="BL174" s="804"/>
      <c r="BM174" s="804"/>
      <c r="BN174" s="804"/>
      <c r="BO174" s="804"/>
      <c r="BP174" s="804"/>
      <c r="BQ174" s="804"/>
    </row>
    <row r="175" spans="39:69" s="169" customFormat="1">
      <c r="AM175" s="804"/>
      <c r="AN175" s="804"/>
      <c r="AO175" s="804"/>
      <c r="AP175" s="804"/>
      <c r="AQ175" s="804"/>
      <c r="AR175" s="804"/>
      <c r="AS175" s="804"/>
      <c r="AT175" s="804"/>
      <c r="AU175" s="804"/>
      <c r="AV175" s="804"/>
      <c r="AW175" s="804"/>
      <c r="AX175" s="804"/>
      <c r="AY175" s="804"/>
      <c r="AZ175" s="804"/>
      <c r="BA175" s="804"/>
      <c r="BB175" s="804"/>
      <c r="BC175" s="804"/>
      <c r="BD175" s="804"/>
      <c r="BE175" s="804"/>
      <c r="BF175" s="804"/>
      <c r="BG175" s="804"/>
      <c r="BH175" s="804"/>
      <c r="BI175" s="804"/>
      <c r="BJ175" s="804"/>
      <c r="BK175" s="804"/>
      <c r="BL175" s="804"/>
      <c r="BM175" s="804"/>
      <c r="BN175" s="804"/>
      <c r="BO175" s="804"/>
      <c r="BP175" s="804"/>
      <c r="BQ175" s="804"/>
    </row>
    <row r="176" spans="39:69" s="169" customFormat="1">
      <c r="AM176" s="804"/>
      <c r="AN176" s="804"/>
      <c r="AO176" s="804"/>
      <c r="AP176" s="804"/>
      <c r="AQ176" s="804"/>
      <c r="AR176" s="804"/>
      <c r="AS176" s="804"/>
      <c r="AT176" s="804"/>
      <c r="AU176" s="804"/>
      <c r="AV176" s="804"/>
      <c r="AW176" s="804"/>
      <c r="AX176" s="804"/>
      <c r="AY176" s="804"/>
      <c r="AZ176" s="804"/>
      <c r="BA176" s="804"/>
      <c r="BB176" s="804"/>
      <c r="BC176" s="804"/>
      <c r="BD176" s="804"/>
      <c r="BE176" s="804"/>
      <c r="BF176" s="804"/>
      <c r="BG176" s="804"/>
      <c r="BH176" s="804"/>
      <c r="BI176" s="804"/>
      <c r="BJ176" s="804"/>
      <c r="BK176" s="804"/>
      <c r="BL176" s="804"/>
      <c r="BM176" s="804"/>
      <c r="BN176" s="804"/>
      <c r="BO176" s="804"/>
      <c r="BP176" s="804"/>
      <c r="BQ176" s="804"/>
    </row>
    <row r="177" spans="39:69" s="169" customFormat="1">
      <c r="AM177" s="804"/>
      <c r="AN177" s="804"/>
      <c r="AO177" s="804"/>
      <c r="AP177" s="804"/>
      <c r="AQ177" s="804"/>
      <c r="AR177" s="804"/>
      <c r="AS177" s="804"/>
      <c r="AT177" s="804"/>
      <c r="AU177" s="804"/>
      <c r="AV177" s="804"/>
      <c r="AW177" s="804"/>
      <c r="AX177" s="804"/>
      <c r="AY177" s="804"/>
      <c r="AZ177" s="804"/>
      <c r="BA177" s="804"/>
      <c r="BB177" s="804"/>
      <c r="BC177" s="804"/>
      <c r="BD177" s="804"/>
      <c r="BE177" s="804"/>
      <c r="BF177" s="804"/>
      <c r="BG177" s="804"/>
      <c r="BH177" s="804"/>
      <c r="BI177" s="804"/>
      <c r="BJ177" s="804"/>
      <c r="BK177" s="804"/>
      <c r="BL177" s="804"/>
      <c r="BM177" s="804"/>
      <c r="BN177" s="804"/>
      <c r="BO177" s="804"/>
      <c r="BP177" s="804"/>
      <c r="BQ177" s="804"/>
    </row>
    <row r="178" spans="39:69" s="169" customFormat="1">
      <c r="AM178" s="804"/>
      <c r="AN178" s="804"/>
      <c r="AO178" s="804"/>
      <c r="AP178" s="804"/>
      <c r="AQ178" s="804"/>
      <c r="AR178" s="804"/>
      <c r="AS178" s="804"/>
      <c r="AT178" s="804"/>
      <c r="AU178" s="804"/>
      <c r="AV178" s="804"/>
      <c r="AW178" s="804"/>
      <c r="AX178" s="804"/>
      <c r="AY178" s="804"/>
      <c r="AZ178" s="804"/>
      <c r="BA178" s="804"/>
      <c r="BB178" s="804"/>
      <c r="BC178" s="804"/>
      <c r="BD178" s="804"/>
      <c r="BE178" s="804"/>
      <c r="BF178" s="804"/>
      <c r="BG178" s="804"/>
      <c r="BH178" s="804"/>
      <c r="BI178" s="804"/>
      <c r="BJ178" s="804"/>
      <c r="BK178" s="804"/>
      <c r="BL178" s="804"/>
      <c r="BM178" s="804"/>
      <c r="BN178" s="804"/>
      <c r="BO178" s="804"/>
      <c r="BP178" s="804"/>
      <c r="BQ178" s="804"/>
    </row>
    <row r="179" spans="39:69" s="169" customFormat="1">
      <c r="AM179" s="804"/>
      <c r="AN179" s="804"/>
      <c r="AO179" s="804"/>
      <c r="AP179" s="804"/>
      <c r="AQ179" s="804"/>
      <c r="AR179" s="804"/>
      <c r="AS179" s="804"/>
      <c r="AT179" s="804"/>
      <c r="AU179" s="804"/>
      <c r="AV179" s="804"/>
      <c r="AW179" s="804"/>
      <c r="AX179" s="804"/>
      <c r="AY179" s="804"/>
      <c r="AZ179" s="804"/>
      <c r="BA179" s="804"/>
      <c r="BB179" s="804"/>
      <c r="BC179" s="804"/>
      <c r="BD179" s="804"/>
      <c r="BE179" s="804"/>
      <c r="BF179" s="804"/>
      <c r="BG179" s="804"/>
      <c r="BH179" s="804"/>
      <c r="BI179" s="804"/>
      <c r="BJ179" s="804"/>
      <c r="BK179" s="804"/>
      <c r="BL179" s="804"/>
      <c r="BM179" s="804"/>
      <c r="BN179" s="804"/>
      <c r="BO179" s="804"/>
      <c r="BP179" s="804"/>
      <c r="BQ179" s="804"/>
    </row>
    <row r="180" spans="39:69" s="169" customFormat="1">
      <c r="AM180" s="804"/>
      <c r="AN180" s="804"/>
      <c r="AO180" s="804"/>
      <c r="AP180" s="804"/>
      <c r="AQ180" s="804"/>
      <c r="AR180" s="804"/>
      <c r="AS180" s="804"/>
      <c r="AT180" s="804"/>
      <c r="AU180" s="804"/>
      <c r="AV180" s="804"/>
      <c r="AW180" s="804"/>
      <c r="AX180" s="804"/>
      <c r="AY180" s="804"/>
      <c r="AZ180" s="804"/>
      <c r="BA180" s="804"/>
      <c r="BB180" s="804"/>
      <c r="BC180" s="804"/>
      <c r="BD180" s="804"/>
      <c r="BE180" s="804"/>
      <c r="BF180" s="804"/>
      <c r="BG180" s="804"/>
      <c r="BH180" s="804"/>
      <c r="BI180" s="804"/>
      <c r="BJ180" s="804"/>
      <c r="BK180" s="804"/>
      <c r="BL180" s="804"/>
      <c r="BM180" s="804"/>
      <c r="BN180" s="804"/>
      <c r="BO180" s="804"/>
      <c r="BP180" s="804"/>
      <c r="BQ180" s="804"/>
    </row>
    <row r="181" spans="39:69" s="169" customFormat="1">
      <c r="AM181" s="804"/>
      <c r="AN181" s="804"/>
      <c r="AO181" s="804"/>
      <c r="AP181" s="804"/>
      <c r="AQ181" s="804"/>
      <c r="AR181" s="804"/>
      <c r="AS181" s="804"/>
      <c r="AT181" s="804"/>
      <c r="AU181" s="804"/>
      <c r="AV181" s="804"/>
      <c r="AW181" s="804"/>
      <c r="AX181" s="804"/>
      <c r="AY181" s="804"/>
      <c r="AZ181" s="804"/>
      <c r="BA181" s="804"/>
      <c r="BB181" s="804"/>
      <c r="BC181" s="804"/>
      <c r="BD181" s="804"/>
      <c r="BE181" s="804"/>
      <c r="BF181" s="804"/>
      <c r="BG181" s="804"/>
      <c r="BH181" s="804"/>
      <c r="BI181" s="804"/>
      <c r="BJ181" s="804"/>
      <c r="BK181" s="804"/>
      <c r="BL181" s="804"/>
      <c r="BM181" s="804"/>
      <c r="BN181" s="804"/>
      <c r="BO181" s="804"/>
      <c r="BP181" s="804"/>
      <c r="BQ181" s="804"/>
    </row>
    <row r="182" spans="39:69" s="169" customFormat="1">
      <c r="AM182" s="804"/>
      <c r="AN182" s="804"/>
      <c r="AO182" s="804"/>
      <c r="AP182" s="804"/>
      <c r="AQ182" s="804"/>
      <c r="AR182" s="804"/>
      <c r="AS182" s="804"/>
      <c r="AT182" s="804"/>
      <c r="AU182" s="804"/>
      <c r="AV182" s="804"/>
      <c r="AW182" s="804"/>
      <c r="AX182" s="804"/>
      <c r="AY182" s="804"/>
      <c r="AZ182" s="804"/>
      <c r="BA182" s="804"/>
      <c r="BB182" s="804"/>
      <c r="BC182" s="804"/>
      <c r="BD182" s="804"/>
      <c r="BE182" s="804"/>
      <c r="BF182" s="804"/>
      <c r="BG182" s="804"/>
      <c r="BH182" s="804"/>
      <c r="BI182" s="804"/>
      <c r="BJ182" s="804"/>
      <c r="BK182" s="804"/>
      <c r="BL182" s="804"/>
      <c r="BM182" s="804"/>
      <c r="BN182" s="804"/>
      <c r="BO182" s="804"/>
      <c r="BP182" s="804"/>
      <c r="BQ182" s="804"/>
    </row>
    <row r="183" spans="39:69" s="169" customFormat="1">
      <c r="AM183" s="804"/>
      <c r="AN183" s="804"/>
      <c r="AO183" s="804"/>
      <c r="AP183" s="804"/>
      <c r="AQ183" s="804"/>
      <c r="AR183" s="804"/>
      <c r="AS183" s="804"/>
      <c r="AT183" s="804"/>
      <c r="AU183" s="804"/>
      <c r="AV183" s="804"/>
      <c r="AW183" s="804"/>
      <c r="AX183" s="804"/>
      <c r="AY183" s="804"/>
      <c r="AZ183" s="804"/>
      <c r="BA183" s="804"/>
      <c r="BB183" s="804"/>
      <c r="BC183" s="804"/>
      <c r="BD183" s="804"/>
      <c r="BE183" s="804"/>
      <c r="BF183" s="804"/>
      <c r="BG183" s="804"/>
      <c r="BH183" s="804"/>
      <c r="BI183" s="804"/>
      <c r="BJ183" s="804"/>
      <c r="BK183" s="804"/>
      <c r="BL183" s="804"/>
      <c r="BM183" s="804"/>
      <c r="BN183" s="804"/>
      <c r="BO183" s="804"/>
      <c r="BP183" s="804"/>
      <c r="BQ183" s="804"/>
    </row>
    <row r="184" spans="39:69" s="169" customFormat="1">
      <c r="AM184" s="804"/>
      <c r="AN184" s="804"/>
      <c r="AO184" s="804"/>
      <c r="AP184" s="804"/>
      <c r="AQ184" s="804"/>
      <c r="AR184" s="804"/>
      <c r="AS184" s="804"/>
      <c r="AT184" s="804"/>
      <c r="AU184" s="804"/>
      <c r="AV184" s="804"/>
      <c r="AW184" s="804"/>
      <c r="AX184" s="804"/>
      <c r="AY184" s="804"/>
      <c r="AZ184" s="804"/>
      <c r="BA184" s="804"/>
      <c r="BB184" s="804"/>
      <c r="BC184" s="804"/>
      <c r="BD184" s="804"/>
      <c r="BE184" s="804"/>
      <c r="BF184" s="804"/>
      <c r="BG184" s="804"/>
      <c r="BH184" s="804"/>
      <c r="BI184" s="804"/>
      <c r="BJ184" s="804"/>
      <c r="BK184" s="804"/>
      <c r="BL184" s="804"/>
      <c r="BM184" s="804"/>
      <c r="BN184" s="804"/>
      <c r="BO184" s="804"/>
      <c r="BP184" s="804"/>
      <c r="BQ184" s="804"/>
    </row>
    <row r="185" spans="39:69" s="169" customFormat="1">
      <c r="AM185" s="804"/>
      <c r="AN185" s="804"/>
      <c r="AO185" s="804"/>
      <c r="AP185" s="804"/>
      <c r="AQ185" s="804"/>
      <c r="AR185" s="804"/>
      <c r="AS185" s="804"/>
      <c r="AT185" s="804"/>
      <c r="AU185" s="804"/>
      <c r="AV185" s="804"/>
      <c r="AW185" s="804"/>
      <c r="AX185" s="804"/>
      <c r="AY185" s="804"/>
      <c r="AZ185" s="804"/>
      <c r="BA185" s="804"/>
      <c r="BB185" s="804"/>
      <c r="BC185" s="804"/>
      <c r="BD185" s="804"/>
      <c r="BE185" s="804"/>
      <c r="BF185" s="804"/>
      <c r="BG185" s="804"/>
      <c r="BH185" s="804"/>
      <c r="BI185" s="804"/>
      <c r="BJ185" s="804"/>
      <c r="BK185" s="804"/>
      <c r="BL185" s="804"/>
      <c r="BM185" s="804"/>
      <c r="BN185" s="804"/>
      <c r="BO185" s="804"/>
      <c r="BP185" s="804"/>
      <c r="BQ185" s="804"/>
    </row>
    <row r="186" spans="39:69" s="169" customFormat="1">
      <c r="AM186" s="804"/>
      <c r="AN186" s="804"/>
      <c r="AO186" s="804"/>
      <c r="AP186" s="804"/>
      <c r="AQ186" s="804"/>
      <c r="AR186" s="804"/>
      <c r="AS186" s="804"/>
      <c r="AT186" s="804"/>
      <c r="AU186" s="804"/>
      <c r="AV186" s="804"/>
      <c r="AW186" s="804"/>
      <c r="AX186" s="804"/>
      <c r="AY186" s="804"/>
      <c r="AZ186" s="804"/>
      <c r="BA186" s="804"/>
      <c r="BB186" s="804"/>
      <c r="BC186" s="804"/>
      <c r="BD186" s="804"/>
      <c r="BE186" s="804"/>
      <c r="BF186" s="804"/>
      <c r="BG186" s="804"/>
      <c r="BH186" s="804"/>
      <c r="BI186" s="804"/>
      <c r="BJ186" s="804"/>
      <c r="BK186" s="804"/>
      <c r="BL186" s="804"/>
      <c r="BM186" s="804"/>
      <c r="BN186" s="804"/>
      <c r="BO186" s="804"/>
      <c r="BP186" s="804"/>
      <c r="BQ186" s="804"/>
    </row>
    <row r="187" spans="39:69" s="169" customFormat="1">
      <c r="AM187" s="804"/>
      <c r="AN187" s="804"/>
      <c r="AO187" s="804"/>
      <c r="AP187" s="804"/>
      <c r="AQ187" s="804"/>
      <c r="AR187" s="804"/>
      <c r="AS187" s="804"/>
      <c r="AT187" s="804"/>
      <c r="AU187" s="804"/>
      <c r="AV187" s="804"/>
      <c r="AW187" s="804"/>
      <c r="AX187" s="804"/>
      <c r="AY187" s="804"/>
      <c r="AZ187" s="804"/>
      <c r="BA187" s="804"/>
      <c r="BB187" s="804"/>
      <c r="BC187" s="804"/>
      <c r="BD187" s="804"/>
      <c r="BE187" s="804"/>
      <c r="BF187" s="804"/>
      <c r="BG187" s="804"/>
      <c r="BH187" s="804"/>
      <c r="BI187" s="804"/>
      <c r="BJ187" s="804"/>
      <c r="BK187" s="804"/>
      <c r="BL187" s="804"/>
      <c r="BM187" s="804"/>
      <c r="BN187" s="804"/>
      <c r="BO187" s="804"/>
      <c r="BP187" s="804"/>
      <c r="BQ187" s="804"/>
    </row>
    <row r="188" spans="39:69" s="169" customFormat="1">
      <c r="AM188" s="804"/>
      <c r="AN188" s="804"/>
      <c r="AO188" s="804"/>
      <c r="AP188" s="804"/>
      <c r="AQ188" s="804"/>
      <c r="AR188" s="804"/>
      <c r="AS188" s="804"/>
      <c r="AT188" s="804"/>
      <c r="AU188" s="804"/>
      <c r="AV188" s="804"/>
      <c r="AW188" s="804"/>
      <c r="AX188" s="804"/>
      <c r="AY188" s="804"/>
      <c r="AZ188" s="804"/>
      <c r="BA188" s="804"/>
      <c r="BB188" s="804"/>
      <c r="BC188" s="804"/>
      <c r="BD188" s="804"/>
      <c r="BE188" s="804"/>
      <c r="BF188" s="804"/>
      <c r="BG188" s="804"/>
      <c r="BH188" s="804"/>
      <c r="BI188" s="804"/>
      <c r="BJ188" s="804"/>
      <c r="BK188" s="804"/>
      <c r="BL188" s="804"/>
      <c r="BM188" s="804"/>
      <c r="BN188" s="804"/>
      <c r="BO188" s="804"/>
      <c r="BP188" s="804"/>
      <c r="BQ188" s="804"/>
    </row>
    <row r="189" spans="39:69" s="169" customFormat="1">
      <c r="AM189" s="804"/>
      <c r="AN189" s="804"/>
      <c r="AO189" s="804"/>
      <c r="AP189" s="804"/>
      <c r="AQ189" s="804"/>
      <c r="AR189" s="804"/>
      <c r="AS189" s="804"/>
      <c r="AT189" s="804"/>
      <c r="AU189" s="804"/>
      <c r="AV189" s="804"/>
      <c r="AW189" s="804"/>
      <c r="AX189" s="804"/>
      <c r="AY189" s="804"/>
      <c r="AZ189" s="804"/>
      <c r="BA189" s="804"/>
      <c r="BB189" s="804"/>
      <c r="BC189" s="804"/>
      <c r="BD189" s="804"/>
      <c r="BE189" s="804"/>
      <c r="BF189" s="804"/>
      <c r="BG189" s="804"/>
      <c r="BH189" s="804"/>
      <c r="BI189" s="804"/>
      <c r="BJ189" s="804"/>
      <c r="BK189" s="804"/>
      <c r="BL189" s="804"/>
      <c r="BM189" s="804"/>
      <c r="BN189" s="804"/>
      <c r="BO189" s="804"/>
      <c r="BP189" s="804"/>
      <c r="BQ189" s="804"/>
    </row>
    <row r="190" spans="39:69" s="169" customFormat="1">
      <c r="AM190" s="804"/>
      <c r="AN190" s="804"/>
      <c r="AO190" s="804"/>
      <c r="AP190" s="804"/>
      <c r="AQ190" s="804"/>
      <c r="AR190" s="804"/>
      <c r="AS190" s="804"/>
      <c r="AT190" s="804"/>
      <c r="AU190" s="804"/>
      <c r="AV190" s="804"/>
      <c r="AW190" s="804"/>
      <c r="AX190" s="804"/>
      <c r="AY190" s="804"/>
      <c r="AZ190" s="804"/>
      <c r="BA190" s="804"/>
      <c r="BB190" s="804"/>
      <c r="BC190" s="804"/>
      <c r="BD190" s="804"/>
      <c r="BE190" s="804"/>
      <c r="BF190" s="804"/>
      <c r="BG190" s="804"/>
      <c r="BH190" s="804"/>
      <c r="BI190" s="804"/>
      <c r="BJ190" s="804"/>
      <c r="BK190" s="804"/>
      <c r="BL190" s="804"/>
      <c r="BM190" s="804"/>
      <c r="BN190" s="804"/>
      <c r="BO190" s="804"/>
      <c r="BP190" s="804"/>
      <c r="BQ190" s="804"/>
    </row>
    <row r="191" spans="39:69" s="169" customFormat="1">
      <c r="AM191" s="804"/>
      <c r="AN191" s="804"/>
      <c r="AO191" s="804"/>
      <c r="AP191" s="804"/>
      <c r="AQ191" s="804"/>
      <c r="AR191" s="804"/>
      <c r="AS191" s="804"/>
      <c r="AT191" s="804"/>
      <c r="AU191" s="804"/>
      <c r="AV191" s="804"/>
      <c r="AW191" s="804"/>
      <c r="AX191" s="804"/>
      <c r="AY191" s="804"/>
      <c r="AZ191" s="804"/>
      <c r="BA191" s="804"/>
      <c r="BB191" s="804"/>
      <c r="BC191" s="804"/>
      <c r="BD191" s="804"/>
      <c r="BE191" s="804"/>
      <c r="BF191" s="804"/>
      <c r="BG191" s="804"/>
      <c r="BH191" s="804"/>
      <c r="BI191" s="804"/>
      <c r="BJ191" s="804"/>
      <c r="BK191" s="804"/>
      <c r="BL191" s="804"/>
      <c r="BM191" s="804"/>
      <c r="BN191" s="804"/>
      <c r="BO191" s="804"/>
      <c r="BP191" s="804"/>
      <c r="BQ191" s="804"/>
    </row>
    <row r="192" spans="39:69" s="169" customFormat="1">
      <c r="AM192" s="804"/>
      <c r="AN192" s="804"/>
      <c r="AO192" s="804"/>
      <c r="AP192" s="804"/>
      <c r="AQ192" s="804"/>
      <c r="AR192" s="804"/>
      <c r="AS192" s="804"/>
      <c r="AT192" s="804"/>
      <c r="AU192" s="804"/>
      <c r="AV192" s="804"/>
      <c r="AW192" s="804"/>
      <c r="AX192" s="804"/>
      <c r="AY192" s="804"/>
      <c r="AZ192" s="804"/>
      <c r="BA192" s="804"/>
      <c r="BB192" s="804"/>
      <c r="BC192" s="804"/>
      <c r="BD192" s="804"/>
      <c r="BE192" s="804"/>
      <c r="BF192" s="804"/>
      <c r="BG192" s="804"/>
      <c r="BH192" s="804"/>
      <c r="BI192" s="804"/>
      <c r="BJ192" s="804"/>
      <c r="BK192" s="804"/>
      <c r="BL192" s="804"/>
      <c r="BM192" s="804"/>
      <c r="BN192" s="804"/>
      <c r="BO192" s="804"/>
      <c r="BP192" s="804"/>
      <c r="BQ192" s="804"/>
    </row>
    <row r="193" spans="39:69" s="169" customFormat="1">
      <c r="AM193" s="804"/>
      <c r="AN193" s="804"/>
      <c r="AO193" s="804"/>
      <c r="AP193" s="804"/>
      <c r="AQ193" s="804"/>
      <c r="AR193" s="804"/>
      <c r="AS193" s="804"/>
      <c r="AT193" s="804"/>
      <c r="AU193" s="804"/>
      <c r="AV193" s="804"/>
      <c r="AW193" s="804"/>
      <c r="AX193" s="804"/>
      <c r="AY193" s="804"/>
      <c r="AZ193" s="804"/>
      <c r="BA193" s="804"/>
      <c r="BB193" s="804"/>
      <c r="BC193" s="804"/>
      <c r="BD193" s="804"/>
      <c r="BE193" s="804"/>
      <c r="BF193" s="804"/>
      <c r="BG193" s="804"/>
      <c r="BH193" s="804"/>
      <c r="BI193" s="804"/>
      <c r="BJ193" s="804"/>
      <c r="BK193" s="804"/>
      <c r="BL193" s="804"/>
      <c r="BM193" s="804"/>
      <c r="BN193" s="804"/>
      <c r="BO193" s="804"/>
      <c r="BP193" s="804"/>
      <c r="BQ193" s="804"/>
    </row>
    <row r="194" spans="39:69" s="169" customFormat="1">
      <c r="AM194" s="804"/>
      <c r="AN194" s="804"/>
      <c r="AO194" s="804"/>
      <c r="AP194" s="804"/>
      <c r="AQ194" s="804"/>
      <c r="AR194" s="804"/>
      <c r="AS194" s="804"/>
      <c r="AT194" s="804"/>
      <c r="AU194" s="804"/>
      <c r="AV194" s="804"/>
      <c r="AW194" s="804"/>
      <c r="AX194" s="804"/>
      <c r="AY194" s="804"/>
      <c r="AZ194" s="804"/>
      <c r="BA194" s="804"/>
      <c r="BB194" s="804"/>
      <c r="BC194" s="804"/>
      <c r="BD194" s="804"/>
      <c r="BE194" s="804"/>
      <c r="BF194" s="804"/>
      <c r="BG194" s="804"/>
      <c r="BH194" s="804"/>
      <c r="BI194" s="804"/>
      <c r="BJ194" s="804"/>
      <c r="BK194" s="804"/>
      <c r="BL194" s="804"/>
      <c r="BM194" s="804"/>
      <c r="BN194" s="804"/>
      <c r="BO194" s="804"/>
      <c r="BP194" s="804"/>
      <c r="BQ194" s="804"/>
    </row>
    <row r="195" spans="39:69" s="169" customFormat="1">
      <c r="AM195" s="804"/>
      <c r="AN195" s="804"/>
      <c r="AO195" s="804"/>
      <c r="AP195" s="804"/>
      <c r="AQ195" s="804"/>
      <c r="AR195" s="804"/>
      <c r="AS195" s="804"/>
      <c r="AT195" s="804"/>
      <c r="AU195" s="804"/>
      <c r="AV195" s="804"/>
      <c r="AW195" s="804"/>
      <c r="AX195" s="804"/>
      <c r="AY195" s="804"/>
      <c r="AZ195" s="804"/>
      <c r="BA195" s="804"/>
      <c r="BB195" s="804"/>
      <c r="BC195" s="804"/>
      <c r="BD195" s="804"/>
      <c r="BE195" s="804"/>
      <c r="BF195" s="804"/>
      <c r="BG195" s="804"/>
      <c r="BH195" s="804"/>
      <c r="BI195" s="804"/>
      <c r="BJ195" s="804"/>
      <c r="BK195" s="804"/>
      <c r="BL195" s="804"/>
      <c r="BM195" s="804"/>
      <c r="BN195" s="804"/>
      <c r="BO195" s="804"/>
      <c r="BP195" s="804"/>
      <c r="BQ195" s="804"/>
    </row>
    <row r="196" spans="39:69" s="169" customFormat="1">
      <c r="AM196" s="804"/>
      <c r="AN196" s="804"/>
      <c r="AO196" s="804"/>
      <c r="AP196" s="804"/>
      <c r="AQ196" s="804"/>
      <c r="AR196" s="804"/>
      <c r="AS196" s="804"/>
      <c r="AT196" s="804"/>
      <c r="AU196" s="804"/>
      <c r="AV196" s="804"/>
      <c r="AW196" s="804"/>
      <c r="AX196" s="804"/>
      <c r="AY196" s="804"/>
      <c r="AZ196" s="804"/>
      <c r="BA196" s="804"/>
      <c r="BB196" s="804"/>
      <c r="BC196" s="804"/>
      <c r="BD196" s="804"/>
      <c r="BE196" s="804"/>
      <c r="BF196" s="804"/>
      <c r="BG196" s="804"/>
      <c r="BH196" s="804"/>
      <c r="BI196" s="804"/>
      <c r="BJ196" s="804"/>
      <c r="BK196" s="804"/>
      <c r="BL196" s="804"/>
      <c r="BM196" s="804"/>
      <c r="BN196" s="804"/>
      <c r="BO196" s="804"/>
      <c r="BP196" s="804"/>
      <c r="BQ196" s="804"/>
    </row>
    <row r="197" spans="39:69" s="169" customFormat="1">
      <c r="AM197" s="804"/>
      <c r="AN197" s="804"/>
      <c r="AO197" s="804"/>
      <c r="AP197" s="804"/>
      <c r="AQ197" s="804"/>
      <c r="AR197" s="804"/>
      <c r="AS197" s="804"/>
      <c r="AT197" s="804"/>
      <c r="AU197" s="804"/>
      <c r="AV197" s="804"/>
      <c r="AW197" s="804"/>
      <c r="AX197" s="804"/>
      <c r="AY197" s="804"/>
      <c r="AZ197" s="804"/>
      <c r="BA197" s="804"/>
      <c r="BB197" s="804"/>
      <c r="BC197" s="804"/>
      <c r="BD197" s="804"/>
      <c r="BE197" s="804"/>
      <c r="BF197" s="804"/>
      <c r="BG197" s="804"/>
      <c r="BH197" s="804"/>
      <c r="BI197" s="804"/>
      <c r="BJ197" s="804"/>
      <c r="BK197" s="804"/>
      <c r="BL197" s="804"/>
      <c r="BM197" s="804"/>
      <c r="BN197" s="804"/>
      <c r="BO197" s="804"/>
      <c r="BP197" s="804"/>
      <c r="BQ197" s="804"/>
    </row>
    <row r="198" spans="39:69" s="169" customFormat="1">
      <c r="AM198" s="804"/>
      <c r="AN198" s="804"/>
      <c r="AO198" s="804"/>
      <c r="AP198" s="804"/>
      <c r="AQ198" s="804"/>
      <c r="AR198" s="804"/>
      <c r="AS198" s="804"/>
      <c r="AT198" s="804"/>
      <c r="AU198" s="804"/>
      <c r="AV198" s="804"/>
      <c r="AW198" s="804"/>
      <c r="AX198" s="804"/>
      <c r="AY198" s="804"/>
      <c r="AZ198" s="804"/>
      <c r="BA198" s="804"/>
      <c r="BB198" s="804"/>
      <c r="BC198" s="804"/>
      <c r="BD198" s="804"/>
      <c r="BE198" s="804"/>
      <c r="BF198" s="804"/>
      <c r="BG198" s="804"/>
      <c r="BH198" s="804"/>
      <c r="BI198" s="804"/>
      <c r="BJ198" s="804"/>
      <c r="BK198" s="804"/>
      <c r="BL198" s="804"/>
      <c r="BM198" s="804"/>
      <c r="BN198" s="804"/>
      <c r="BO198" s="804"/>
      <c r="BP198" s="804"/>
      <c r="BQ198" s="804"/>
    </row>
    <row r="199" spans="39:69" s="169" customFormat="1">
      <c r="AM199" s="804"/>
      <c r="AN199" s="804"/>
      <c r="AO199" s="804"/>
      <c r="AP199" s="804"/>
      <c r="AQ199" s="804"/>
      <c r="AR199" s="804"/>
      <c r="AS199" s="804"/>
      <c r="AT199" s="804"/>
      <c r="AU199" s="804"/>
      <c r="AV199" s="804"/>
      <c r="AW199" s="804"/>
      <c r="AX199" s="804"/>
      <c r="AY199" s="804"/>
      <c r="AZ199" s="804"/>
      <c r="BA199" s="804"/>
      <c r="BB199" s="804"/>
      <c r="BC199" s="804"/>
      <c r="BD199" s="804"/>
      <c r="BE199" s="804"/>
      <c r="BF199" s="804"/>
      <c r="BG199" s="804"/>
      <c r="BH199" s="804"/>
      <c r="BI199" s="804"/>
      <c r="BJ199" s="804"/>
      <c r="BK199" s="804"/>
      <c r="BL199" s="804"/>
      <c r="BM199" s="804"/>
      <c r="BN199" s="804"/>
      <c r="BO199" s="804"/>
      <c r="BP199" s="804"/>
      <c r="BQ199" s="804"/>
    </row>
    <row r="200" spans="39:69" s="169" customFormat="1">
      <c r="AM200" s="804"/>
      <c r="AN200" s="804"/>
      <c r="AO200" s="804"/>
      <c r="AP200" s="804"/>
      <c r="AQ200" s="804"/>
      <c r="AR200" s="804"/>
      <c r="AS200" s="804"/>
      <c r="AT200" s="804"/>
      <c r="AU200" s="804"/>
      <c r="AV200" s="804"/>
      <c r="AW200" s="804"/>
      <c r="AX200" s="804"/>
      <c r="AY200" s="804"/>
      <c r="AZ200" s="804"/>
      <c r="BA200" s="804"/>
      <c r="BB200" s="804"/>
      <c r="BC200" s="804"/>
      <c r="BD200" s="804"/>
      <c r="BE200" s="804"/>
      <c r="BF200" s="804"/>
      <c r="BG200" s="804"/>
      <c r="BH200" s="804"/>
      <c r="BI200" s="804"/>
      <c r="BJ200" s="804"/>
      <c r="BK200" s="804"/>
      <c r="BL200" s="804"/>
      <c r="BM200" s="804"/>
      <c r="BN200" s="804"/>
      <c r="BO200" s="804"/>
      <c r="BP200" s="804"/>
      <c r="BQ200" s="804"/>
    </row>
    <row r="201" spans="39:69" s="169" customFormat="1">
      <c r="AM201" s="804"/>
      <c r="AN201" s="804"/>
      <c r="AO201" s="804"/>
      <c r="AP201" s="804"/>
      <c r="AQ201" s="804"/>
      <c r="AR201" s="804"/>
      <c r="AS201" s="804"/>
      <c r="AT201" s="804"/>
      <c r="AU201" s="804"/>
      <c r="AV201" s="804"/>
      <c r="AW201" s="804"/>
      <c r="AX201" s="804"/>
      <c r="AY201" s="804"/>
      <c r="AZ201" s="804"/>
      <c r="BA201" s="804"/>
      <c r="BB201" s="804"/>
      <c r="BC201" s="804"/>
      <c r="BD201" s="804"/>
      <c r="BE201" s="804"/>
      <c r="BF201" s="804"/>
      <c r="BG201" s="804"/>
      <c r="BH201" s="804"/>
      <c r="BI201" s="804"/>
      <c r="BJ201" s="804"/>
      <c r="BK201" s="804"/>
      <c r="BL201" s="804"/>
      <c r="BM201" s="804"/>
      <c r="BN201" s="804"/>
      <c r="BO201" s="804"/>
      <c r="BP201" s="804"/>
      <c r="BQ201" s="804"/>
    </row>
    <row r="202" spans="39:69" s="169" customFormat="1">
      <c r="AM202" s="804"/>
      <c r="AN202" s="804"/>
      <c r="AO202" s="804"/>
      <c r="AP202" s="804"/>
      <c r="AQ202" s="804"/>
      <c r="AR202" s="804"/>
      <c r="AS202" s="804"/>
      <c r="AT202" s="804"/>
      <c r="AU202" s="804"/>
      <c r="AV202" s="804"/>
      <c r="AW202" s="804"/>
      <c r="AX202" s="804"/>
      <c r="AY202" s="804"/>
      <c r="AZ202" s="804"/>
      <c r="BA202" s="804"/>
      <c r="BB202" s="804"/>
      <c r="BC202" s="804"/>
      <c r="BD202" s="804"/>
      <c r="BE202" s="804"/>
      <c r="BF202" s="804"/>
      <c r="BG202" s="804"/>
      <c r="BH202" s="804"/>
      <c r="BI202" s="804"/>
      <c r="BJ202" s="804"/>
      <c r="BK202" s="804"/>
      <c r="BL202" s="804"/>
      <c r="BM202" s="804"/>
      <c r="BN202" s="804"/>
      <c r="BO202" s="804"/>
      <c r="BP202" s="804"/>
      <c r="BQ202" s="804"/>
    </row>
    <row r="203" spans="39:69" s="169" customFormat="1">
      <c r="AM203" s="804"/>
      <c r="AN203" s="804"/>
      <c r="AO203" s="804"/>
      <c r="AP203" s="804"/>
      <c r="AQ203" s="804"/>
      <c r="AR203" s="804"/>
      <c r="AS203" s="804"/>
      <c r="AT203" s="804"/>
      <c r="AU203" s="804"/>
      <c r="AV203" s="804"/>
      <c r="AW203" s="804"/>
      <c r="AX203" s="804"/>
      <c r="AY203" s="804"/>
      <c r="AZ203" s="804"/>
      <c r="BA203" s="804"/>
      <c r="BB203" s="804"/>
      <c r="BC203" s="804"/>
      <c r="BD203" s="804"/>
      <c r="BE203" s="804"/>
      <c r="BF203" s="804"/>
      <c r="BG203" s="804"/>
      <c r="BH203" s="804"/>
      <c r="BI203" s="804"/>
      <c r="BJ203" s="804"/>
      <c r="BK203" s="804"/>
      <c r="BL203" s="804"/>
      <c r="BM203" s="804"/>
      <c r="BN203" s="804"/>
      <c r="BO203" s="804"/>
      <c r="BP203" s="804"/>
      <c r="BQ203" s="804"/>
    </row>
    <row r="204" spans="39:69" s="169" customFormat="1">
      <c r="AM204" s="804"/>
      <c r="AN204" s="804"/>
      <c r="AO204" s="804"/>
      <c r="AP204" s="804"/>
      <c r="AQ204" s="804"/>
      <c r="AR204" s="804"/>
      <c r="AS204" s="804"/>
      <c r="AT204" s="804"/>
      <c r="AU204" s="804"/>
      <c r="AV204" s="804"/>
      <c r="AW204" s="804"/>
      <c r="AX204" s="804"/>
      <c r="AY204" s="804"/>
      <c r="AZ204" s="804"/>
      <c r="BA204" s="804"/>
      <c r="BB204" s="804"/>
      <c r="BC204" s="804"/>
      <c r="BD204" s="804"/>
      <c r="BE204" s="804"/>
      <c r="BF204" s="804"/>
      <c r="BG204" s="804"/>
      <c r="BH204" s="804"/>
      <c r="BI204" s="804"/>
      <c r="BJ204" s="804"/>
      <c r="BK204" s="804"/>
      <c r="BL204" s="804"/>
      <c r="BM204" s="804"/>
      <c r="BN204" s="804"/>
      <c r="BO204" s="804"/>
      <c r="BP204" s="804"/>
      <c r="BQ204" s="804"/>
    </row>
    <row r="205" spans="39:69" s="169" customFormat="1">
      <c r="AM205" s="804"/>
      <c r="AN205" s="804"/>
      <c r="AO205" s="804"/>
      <c r="AP205" s="804"/>
      <c r="AQ205" s="804"/>
      <c r="AR205" s="804"/>
      <c r="AS205" s="804"/>
      <c r="AT205" s="804"/>
      <c r="AU205" s="804"/>
      <c r="AV205" s="804"/>
      <c r="AW205" s="804"/>
      <c r="AX205" s="804"/>
      <c r="AY205" s="804"/>
      <c r="AZ205" s="804"/>
      <c r="BA205" s="804"/>
      <c r="BB205" s="804"/>
      <c r="BC205" s="804"/>
      <c r="BD205" s="804"/>
      <c r="BE205" s="804"/>
      <c r="BF205" s="804"/>
      <c r="BG205" s="804"/>
      <c r="BH205" s="804"/>
      <c r="BI205" s="804"/>
      <c r="BJ205" s="804"/>
      <c r="BK205" s="804"/>
      <c r="BL205" s="804"/>
      <c r="BM205" s="804"/>
      <c r="BN205" s="804"/>
      <c r="BO205" s="804"/>
      <c r="BP205" s="804"/>
      <c r="BQ205" s="804"/>
    </row>
    <row r="206" spans="39:69" s="169" customFormat="1">
      <c r="AM206" s="804"/>
      <c r="AN206" s="804"/>
      <c r="AO206" s="804"/>
      <c r="AP206" s="804"/>
      <c r="AQ206" s="804"/>
      <c r="AR206" s="804"/>
      <c r="AS206" s="804"/>
      <c r="AT206" s="804"/>
      <c r="AU206" s="804"/>
      <c r="AV206" s="804"/>
      <c r="AW206" s="804"/>
      <c r="AX206" s="804"/>
      <c r="AY206" s="804"/>
      <c r="AZ206" s="804"/>
      <c r="BA206" s="804"/>
      <c r="BB206" s="804"/>
      <c r="BC206" s="804"/>
      <c r="BD206" s="804"/>
      <c r="BE206" s="804"/>
      <c r="BF206" s="804"/>
      <c r="BG206" s="804"/>
      <c r="BH206" s="804"/>
      <c r="BI206" s="804"/>
      <c r="BJ206" s="804"/>
      <c r="BK206" s="804"/>
      <c r="BL206" s="804"/>
      <c r="BM206" s="804"/>
      <c r="BN206" s="804"/>
      <c r="BO206" s="804"/>
      <c r="BP206" s="804"/>
      <c r="BQ206" s="804"/>
    </row>
    <row r="207" spans="39:69" s="169" customFormat="1">
      <c r="AM207" s="804"/>
      <c r="AN207" s="804"/>
      <c r="AO207" s="804"/>
      <c r="AP207" s="804"/>
      <c r="AQ207" s="804"/>
      <c r="AR207" s="804"/>
      <c r="AS207" s="804"/>
      <c r="AT207" s="804"/>
      <c r="AU207" s="804"/>
      <c r="AV207" s="804"/>
      <c r="AW207" s="804"/>
      <c r="AX207" s="804"/>
      <c r="AY207" s="804"/>
      <c r="AZ207" s="804"/>
      <c r="BA207" s="804"/>
      <c r="BB207" s="804"/>
      <c r="BC207" s="804"/>
      <c r="BD207" s="804"/>
      <c r="BE207" s="804"/>
      <c r="BF207" s="804"/>
      <c r="BG207" s="804"/>
      <c r="BH207" s="804"/>
      <c r="BI207" s="804"/>
      <c r="BJ207" s="804"/>
      <c r="BK207" s="804"/>
      <c r="BL207" s="804"/>
      <c r="BM207" s="804"/>
      <c r="BN207" s="804"/>
      <c r="BO207" s="804"/>
      <c r="BP207" s="804"/>
      <c r="BQ207" s="804"/>
    </row>
    <row r="208" spans="39:69" s="169" customFormat="1">
      <c r="AM208" s="804"/>
      <c r="AN208" s="804"/>
      <c r="AO208" s="804"/>
      <c r="AP208" s="804"/>
      <c r="AQ208" s="804"/>
      <c r="AR208" s="804"/>
      <c r="AS208" s="804"/>
      <c r="AT208" s="804"/>
      <c r="AU208" s="804"/>
      <c r="AV208" s="804"/>
      <c r="AW208" s="804"/>
      <c r="AX208" s="804"/>
      <c r="AY208" s="804"/>
      <c r="AZ208" s="804"/>
      <c r="BA208" s="804"/>
      <c r="BB208" s="804"/>
      <c r="BC208" s="804"/>
      <c r="BD208" s="804"/>
      <c r="BE208" s="804"/>
      <c r="BF208" s="804"/>
      <c r="BG208" s="804"/>
      <c r="BH208" s="804"/>
      <c r="BI208" s="804"/>
      <c r="BJ208" s="804"/>
      <c r="BK208" s="804"/>
      <c r="BL208" s="804"/>
      <c r="BM208" s="804"/>
      <c r="BN208" s="804"/>
      <c r="BO208" s="804"/>
      <c r="BP208" s="804"/>
      <c r="BQ208" s="804"/>
    </row>
    <row r="209" spans="39:69" s="169" customFormat="1">
      <c r="AM209" s="804"/>
      <c r="AN209" s="804"/>
      <c r="AO209" s="804"/>
      <c r="AP209" s="804"/>
      <c r="AQ209" s="804"/>
      <c r="AR209" s="804"/>
      <c r="AS209" s="804"/>
      <c r="AT209" s="804"/>
      <c r="AU209" s="804"/>
      <c r="AV209" s="804"/>
      <c r="AW209" s="804"/>
      <c r="AX209" s="804"/>
      <c r="AY209" s="804"/>
      <c r="AZ209" s="804"/>
      <c r="BA209" s="804"/>
      <c r="BB209" s="804"/>
      <c r="BC209" s="804"/>
      <c r="BD209" s="804"/>
      <c r="BE209" s="804"/>
      <c r="BF209" s="804"/>
      <c r="BG209" s="804"/>
      <c r="BH209" s="804"/>
      <c r="BI209" s="804"/>
      <c r="BJ209" s="804"/>
      <c r="BK209" s="804"/>
      <c r="BL209" s="804"/>
      <c r="BM209" s="804"/>
      <c r="BN209" s="804"/>
      <c r="BO209" s="804"/>
      <c r="BP209" s="804"/>
      <c r="BQ209" s="804"/>
    </row>
    <row r="210" spans="39:69" s="169" customFormat="1">
      <c r="AM210" s="804"/>
      <c r="AN210" s="804"/>
      <c r="AO210" s="804"/>
      <c r="AP210" s="804"/>
      <c r="AQ210" s="804"/>
      <c r="AR210" s="804"/>
      <c r="AS210" s="804"/>
      <c r="AT210" s="804"/>
      <c r="AU210" s="804"/>
      <c r="AV210" s="804"/>
      <c r="AW210" s="804"/>
      <c r="AX210" s="804"/>
      <c r="AY210" s="804"/>
      <c r="AZ210" s="804"/>
      <c r="BA210" s="804"/>
      <c r="BB210" s="804"/>
      <c r="BC210" s="804"/>
      <c r="BD210" s="804"/>
      <c r="BE210" s="804"/>
      <c r="BF210" s="804"/>
      <c r="BG210" s="804"/>
      <c r="BH210" s="804"/>
      <c r="BI210" s="804"/>
      <c r="BJ210" s="804"/>
      <c r="BK210" s="804"/>
      <c r="BL210" s="804"/>
      <c r="BM210" s="804"/>
      <c r="BN210" s="804"/>
      <c r="BO210" s="804"/>
      <c r="BP210" s="804"/>
      <c r="BQ210" s="804"/>
    </row>
    <row r="211" spans="39:69" s="169" customFormat="1">
      <c r="AM211" s="804"/>
      <c r="AN211" s="804"/>
      <c r="AO211" s="804"/>
      <c r="AP211" s="804"/>
      <c r="AQ211" s="804"/>
      <c r="AR211" s="804"/>
      <c r="AS211" s="804"/>
      <c r="AT211" s="804"/>
      <c r="AU211" s="804"/>
      <c r="AV211" s="804"/>
      <c r="AW211" s="804"/>
      <c r="AX211" s="804"/>
      <c r="AY211" s="804"/>
      <c r="AZ211" s="804"/>
      <c r="BA211" s="804"/>
      <c r="BB211" s="804"/>
      <c r="BC211" s="804"/>
      <c r="BD211" s="804"/>
      <c r="BE211" s="804"/>
      <c r="BF211" s="804"/>
      <c r="BG211" s="804"/>
      <c r="BH211" s="804"/>
      <c r="BI211" s="804"/>
      <c r="BJ211" s="804"/>
      <c r="BK211" s="804"/>
      <c r="BL211" s="804"/>
      <c r="BM211" s="804"/>
      <c r="BN211" s="804"/>
      <c r="BO211" s="804"/>
      <c r="BP211" s="804"/>
      <c r="BQ211" s="804"/>
    </row>
    <row r="212" spans="39:69" s="169" customFormat="1">
      <c r="AM212" s="804"/>
      <c r="AN212" s="804"/>
      <c r="AO212" s="804"/>
      <c r="AP212" s="804"/>
      <c r="AQ212" s="804"/>
      <c r="AR212" s="804"/>
      <c r="AS212" s="804"/>
      <c r="AT212" s="804"/>
      <c r="AU212" s="804"/>
      <c r="AV212" s="804"/>
      <c r="AW212" s="804"/>
      <c r="AX212" s="804"/>
      <c r="AY212" s="804"/>
      <c r="AZ212" s="804"/>
      <c r="BA212" s="804"/>
      <c r="BB212" s="804"/>
      <c r="BC212" s="804"/>
      <c r="BD212" s="804"/>
      <c r="BE212" s="804"/>
      <c r="BF212" s="804"/>
      <c r="BG212" s="804"/>
      <c r="BH212" s="804"/>
      <c r="BI212" s="804"/>
      <c r="BJ212" s="804"/>
      <c r="BK212" s="804"/>
      <c r="BL212" s="804"/>
      <c r="BM212" s="804"/>
      <c r="BN212" s="804"/>
      <c r="BO212" s="804"/>
      <c r="BP212" s="804"/>
      <c r="BQ212" s="804"/>
    </row>
    <row r="213" spans="39:69" s="169" customFormat="1">
      <c r="AM213" s="804"/>
      <c r="AN213" s="804"/>
      <c r="AO213" s="804"/>
      <c r="AP213" s="804"/>
      <c r="AQ213" s="804"/>
      <c r="AR213" s="804"/>
      <c r="AS213" s="804"/>
      <c r="AT213" s="804"/>
      <c r="AU213" s="804"/>
      <c r="AV213" s="804"/>
      <c r="AW213" s="804"/>
      <c r="AX213" s="804"/>
      <c r="AY213" s="804"/>
      <c r="AZ213" s="804"/>
      <c r="BA213" s="804"/>
      <c r="BB213" s="804"/>
      <c r="BC213" s="804"/>
      <c r="BD213" s="804"/>
      <c r="BE213" s="804"/>
      <c r="BF213" s="804"/>
      <c r="BG213" s="804"/>
      <c r="BH213" s="804"/>
      <c r="BI213" s="804"/>
      <c r="BJ213" s="804"/>
      <c r="BK213" s="804"/>
      <c r="BL213" s="804"/>
      <c r="BM213" s="804"/>
      <c r="BN213" s="804"/>
      <c r="BO213" s="804"/>
      <c r="BP213" s="804"/>
      <c r="BQ213" s="804"/>
    </row>
    <row r="214" spans="39:69" s="169" customFormat="1">
      <c r="AM214" s="804"/>
      <c r="AN214" s="804"/>
      <c r="AO214" s="804"/>
      <c r="AP214" s="804"/>
      <c r="AQ214" s="804"/>
      <c r="AR214" s="804"/>
      <c r="AS214" s="804"/>
      <c r="AT214" s="804"/>
      <c r="AU214" s="804"/>
      <c r="AV214" s="804"/>
      <c r="AW214" s="804"/>
      <c r="AX214" s="804"/>
      <c r="AY214" s="804"/>
      <c r="AZ214" s="804"/>
      <c r="BA214" s="804"/>
      <c r="BB214" s="804"/>
      <c r="BC214" s="804"/>
      <c r="BD214" s="804"/>
      <c r="BE214" s="804"/>
      <c r="BF214" s="804"/>
      <c r="BG214" s="804"/>
      <c r="BH214" s="804"/>
      <c r="BI214" s="804"/>
      <c r="BJ214" s="804"/>
      <c r="BK214" s="804"/>
      <c r="BL214" s="804"/>
      <c r="BM214" s="804"/>
      <c r="BN214" s="804"/>
      <c r="BO214" s="804"/>
      <c r="BP214" s="804"/>
      <c r="BQ214" s="804"/>
    </row>
    <row r="215" spans="39:69" s="169" customFormat="1">
      <c r="AM215" s="804"/>
      <c r="AN215" s="804"/>
      <c r="AO215" s="804"/>
      <c r="AP215" s="804"/>
      <c r="AQ215" s="804"/>
      <c r="AR215" s="804"/>
      <c r="AS215" s="804"/>
      <c r="AT215" s="804"/>
      <c r="AU215" s="804"/>
      <c r="AV215" s="804"/>
      <c r="AW215" s="804"/>
      <c r="AX215" s="804"/>
      <c r="AY215" s="804"/>
      <c r="AZ215" s="804"/>
      <c r="BA215" s="804"/>
      <c r="BB215" s="804"/>
      <c r="BC215" s="804"/>
      <c r="BD215" s="804"/>
      <c r="BE215" s="804"/>
      <c r="BF215" s="804"/>
      <c r="BG215" s="804"/>
      <c r="BH215" s="804"/>
      <c r="BI215" s="804"/>
      <c r="BJ215" s="804"/>
      <c r="BK215" s="804"/>
      <c r="BL215" s="804"/>
      <c r="BM215" s="804"/>
      <c r="BN215" s="804"/>
      <c r="BO215" s="804"/>
      <c r="BP215" s="804"/>
      <c r="BQ215" s="804"/>
    </row>
    <row r="216" spans="39:69" s="169" customFormat="1">
      <c r="AM216" s="804"/>
      <c r="AN216" s="804"/>
      <c r="AO216" s="804"/>
      <c r="AP216" s="804"/>
      <c r="AQ216" s="804"/>
      <c r="AR216" s="804"/>
      <c r="AS216" s="804"/>
      <c r="AT216" s="804"/>
      <c r="AU216" s="804"/>
      <c r="AV216" s="804"/>
      <c r="AW216" s="804"/>
      <c r="AX216" s="804"/>
      <c r="AY216" s="804"/>
      <c r="AZ216" s="804"/>
      <c r="BA216" s="804"/>
      <c r="BB216" s="804"/>
      <c r="BC216" s="804"/>
      <c r="BD216" s="804"/>
      <c r="BE216" s="804"/>
      <c r="BF216" s="804"/>
      <c r="BG216" s="804"/>
      <c r="BH216" s="804"/>
      <c r="BI216" s="804"/>
      <c r="BJ216" s="804"/>
      <c r="BK216" s="804"/>
      <c r="BL216" s="804"/>
      <c r="BM216" s="804"/>
      <c r="BN216" s="804"/>
      <c r="BO216" s="804"/>
      <c r="BP216" s="804"/>
      <c r="BQ216" s="804"/>
    </row>
    <row r="217" spans="39:69" s="169" customFormat="1">
      <c r="AM217" s="804"/>
      <c r="AN217" s="804"/>
      <c r="AO217" s="804"/>
      <c r="AP217" s="804"/>
      <c r="AQ217" s="804"/>
      <c r="AR217" s="804"/>
      <c r="AS217" s="804"/>
      <c r="AT217" s="804"/>
      <c r="AU217" s="804"/>
      <c r="AV217" s="804"/>
      <c r="AW217" s="804"/>
      <c r="AX217" s="804"/>
      <c r="AY217" s="804"/>
      <c r="AZ217" s="804"/>
      <c r="BA217" s="804"/>
      <c r="BB217" s="804"/>
      <c r="BC217" s="804"/>
      <c r="BD217" s="804"/>
      <c r="BE217" s="804"/>
      <c r="BF217" s="804"/>
      <c r="BG217" s="804"/>
      <c r="BH217" s="804"/>
      <c r="BI217" s="804"/>
      <c r="BJ217" s="804"/>
      <c r="BK217" s="804"/>
      <c r="BL217" s="804"/>
      <c r="BM217" s="804"/>
      <c r="BN217" s="804"/>
      <c r="BO217" s="804"/>
      <c r="BP217" s="804"/>
      <c r="BQ217" s="804"/>
    </row>
    <row r="218" spans="39:69" s="169" customFormat="1">
      <c r="AM218" s="804"/>
      <c r="AN218" s="804"/>
      <c r="AO218" s="804"/>
      <c r="AP218" s="804"/>
      <c r="AQ218" s="804"/>
      <c r="AR218" s="804"/>
      <c r="AS218" s="804"/>
      <c r="AT218" s="804"/>
      <c r="AU218" s="804"/>
      <c r="AV218" s="804"/>
      <c r="AW218" s="804"/>
      <c r="AX218" s="804"/>
      <c r="AY218" s="804"/>
      <c r="AZ218" s="804"/>
      <c r="BA218" s="804"/>
      <c r="BB218" s="804"/>
      <c r="BC218" s="804"/>
      <c r="BD218" s="804"/>
      <c r="BE218" s="804"/>
      <c r="BF218" s="804"/>
      <c r="BG218" s="804"/>
      <c r="BH218" s="804"/>
      <c r="BI218" s="804"/>
      <c r="BJ218" s="804"/>
      <c r="BK218" s="804"/>
      <c r="BL218" s="804"/>
      <c r="BM218" s="804"/>
      <c r="BN218" s="804"/>
      <c r="BO218" s="804"/>
      <c r="BP218" s="804"/>
      <c r="BQ218" s="804"/>
    </row>
    <row r="219" spans="39:69" s="169" customFormat="1">
      <c r="AM219" s="804"/>
      <c r="AN219" s="804"/>
      <c r="AO219" s="804"/>
      <c r="AP219" s="804"/>
      <c r="AQ219" s="804"/>
      <c r="AR219" s="804"/>
      <c r="AS219" s="804"/>
      <c r="AT219" s="804"/>
      <c r="AU219" s="804"/>
      <c r="AV219" s="804"/>
      <c r="AW219" s="804"/>
      <c r="AX219" s="804"/>
      <c r="AY219" s="804"/>
      <c r="AZ219" s="804"/>
      <c r="BA219" s="804"/>
      <c r="BB219" s="804"/>
      <c r="BC219" s="804"/>
      <c r="BD219" s="804"/>
      <c r="BE219" s="804"/>
      <c r="BF219" s="804"/>
      <c r="BG219" s="804"/>
      <c r="BH219" s="804"/>
      <c r="BI219" s="804"/>
      <c r="BJ219" s="804"/>
      <c r="BK219" s="804"/>
      <c r="BL219" s="804"/>
      <c r="BM219" s="804"/>
      <c r="BN219" s="804"/>
      <c r="BO219" s="804"/>
      <c r="BP219" s="804"/>
      <c r="BQ219" s="804"/>
    </row>
    <row r="220" spans="39:69" s="169" customFormat="1">
      <c r="AM220" s="804"/>
      <c r="AN220" s="804"/>
      <c r="AO220" s="804"/>
      <c r="AP220" s="804"/>
      <c r="AQ220" s="804"/>
      <c r="AR220" s="804"/>
      <c r="AS220" s="804"/>
      <c r="AT220" s="804"/>
      <c r="AU220" s="804"/>
      <c r="AV220" s="804"/>
      <c r="AW220" s="804"/>
      <c r="AX220" s="804"/>
      <c r="AY220" s="804"/>
      <c r="AZ220" s="804"/>
      <c r="BA220" s="804"/>
      <c r="BB220" s="804"/>
      <c r="BC220" s="804"/>
      <c r="BD220" s="804"/>
      <c r="BE220" s="804"/>
      <c r="BF220" s="804"/>
      <c r="BG220" s="804"/>
      <c r="BH220" s="804"/>
      <c r="BI220" s="804"/>
      <c r="BJ220" s="804"/>
      <c r="BK220" s="804"/>
      <c r="BL220" s="804"/>
      <c r="BM220" s="804"/>
      <c r="BN220" s="804"/>
      <c r="BO220" s="804"/>
      <c r="BP220" s="804"/>
      <c r="BQ220" s="804"/>
    </row>
    <row r="221" spans="39:69" s="169" customFormat="1">
      <c r="AM221" s="804"/>
      <c r="AN221" s="804"/>
      <c r="AO221" s="804"/>
      <c r="AP221" s="804"/>
      <c r="AQ221" s="804"/>
      <c r="AR221" s="804"/>
      <c r="AS221" s="804"/>
      <c r="AT221" s="804"/>
      <c r="AU221" s="804"/>
      <c r="AV221" s="804"/>
      <c r="AW221" s="804"/>
      <c r="AX221" s="804"/>
      <c r="AY221" s="804"/>
      <c r="AZ221" s="804"/>
      <c r="BA221" s="804"/>
      <c r="BB221" s="804"/>
      <c r="BC221" s="804"/>
      <c r="BD221" s="804"/>
      <c r="BE221" s="804"/>
      <c r="BF221" s="804"/>
      <c r="BG221" s="804"/>
      <c r="BH221" s="804"/>
      <c r="BI221" s="804"/>
      <c r="BJ221" s="804"/>
      <c r="BK221" s="804"/>
      <c r="BL221" s="804"/>
      <c r="BM221" s="804"/>
      <c r="BN221" s="804"/>
      <c r="BO221" s="804"/>
      <c r="BP221" s="804"/>
      <c r="BQ221" s="804"/>
    </row>
    <row r="222" spans="39:69" s="169" customFormat="1">
      <c r="AM222" s="804"/>
      <c r="AN222" s="804"/>
      <c r="AO222" s="804"/>
      <c r="AP222" s="804"/>
      <c r="AQ222" s="804"/>
      <c r="AR222" s="804"/>
      <c r="AS222" s="804"/>
      <c r="AT222" s="804"/>
      <c r="AU222" s="804"/>
      <c r="AV222" s="804"/>
      <c r="AW222" s="804"/>
      <c r="AX222" s="804"/>
      <c r="AY222" s="804"/>
      <c r="AZ222" s="804"/>
      <c r="BA222" s="804"/>
      <c r="BB222" s="804"/>
      <c r="BC222" s="804"/>
      <c r="BD222" s="804"/>
      <c r="BE222" s="804"/>
      <c r="BF222" s="804"/>
      <c r="BG222" s="804"/>
      <c r="BH222" s="804"/>
      <c r="BI222" s="804"/>
      <c r="BJ222" s="804"/>
      <c r="BK222" s="804"/>
      <c r="BL222" s="804"/>
      <c r="BM222" s="804"/>
      <c r="BN222" s="804"/>
      <c r="BO222" s="804"/>
      <c r="BP222" s="804"/>
      <c r="BQ222" s="804"/>
    </row>
    <row r="223" spans="39:69" s="169" customFormat="1">
      <c r="AM223" s="804"/>
      <c r="AN223" s="804"/>
      <c r="AO223" s="804"/>
      <c r="AP223" s="804"/>
      <c r="AQ223" s="804"/>
      <c r="AR223" s="804"/>
      <c r="AS223" s="804"/>
      <c r="AT223" s="804"/>
      <c r="AU223" s="804"/>
      <c r="AV223" s="804"/>
      <c r="AW223" s="804"/>
      <c r="AX223" s="804"/>
      <c r="AY223" s="804"/>
      <c r="AZ223" s="804"/>
      <c r="BA223" s="804"/>
      <c r="BB223" s="804"/>
      <c r="BC223" s="804"/>
      <c r="BD223" s="804"/>
      <c r="BE223" s="804"/>
      <c r="BF223" s="804"/>
      <c r="BG223" s="804"/>
      <c r="BH223" s="804"/>
      <c r="BI223" s="804"/>
      <c r="BJ223" s="804"/>
      <c r="BK223" s="804"/>
      <c r="BL223" s="804"/>
      <c r="BM223" s="804"/>
      <c r="BN223" s="804"/>
      <c r="BO223" s="804"/>
      <c r="BP223" s="804"/>
      <c r="BQ223" s="804"/>
    </row>
    <row r="224" spans="39:69" s="169" customFormat="1">
      <c r="AM224" s="814"/>
      <c r="AN224" s="814"/>
      <c r="AO224" s="814"/>
      <c r="AP224" s="814"/>
      <c r="AQ224" s="814"/>
      <c r="AR224" s="814"/>
      <c r="AS224" s="814"/>
      <c r="AT224" s="814"/>
      <c r="AU224" s="814"/>
      <c r="AV224" s="814"/>
      <c r="AW224" s="814"/>
      <c r="AX224" s="814"/>
      <c r="AY224" s="814"/>
      <c r="AZ224" s="814"/>
      <c r="BA224" s="814"/>
      <c r="BB224" s="814"/>
      <c r="BC224" s="814"/>
      <c r="BD224" s="814"/>
      <c r="BE224" s="814"/>
      <c r="BF224" s="814"/>
      <c r="BG224" s="814"/>
      <c r="BH224" s="814"/>
      <c r="BI224" s="814"/>
      <c r="BJ224" s="814"/>
      <c r="BK224" s="814"/>
      <c r="BL224" s="814"/>
      <c r="BM224" s="814"/>
      <c r="BN224" s="814"/>
      <c r="BO224" s="814"/>
      <c r="BP224" s="814"/>
      <c r="BQ224" s="814"/>
    </row>
    <row r="225" spans="39:69" s="169" customFormat="1">
      <c r="AM225" s="814"/>
      <c r="AN225" s="814"/>
      <c r="AO225" s="814"/>
      <c r="AP225" s="814"/>
      <c r="AQ225" s="814"/>
      <c r="AR225" s="814"/>
      <c r="AS225" s="814"/>
      <c r="AT225" s="814"/>
      <c r="AU225" s="814"/>
      <c r="AV225" s="814"/>
      <c r="AW225" s="814"/>
      <c r="AX225" s="814"/>
      <c r="AY225" s="814"/>
      <c r="AZ225" s="814"/>
      <c r="BA225" s="814"/>
      <c r="BB225" s="814"/>
      <c r="BC225" s="814"/>
      <c r="BD225" s="814"/>
      <c r="BE225" s="814"/>
      <c r="BF225" s="814"/>
      <c r="BG225" s="814"/>
      <c r="BH225" s="814"/>
      <c r="BI225" s="814"/>
      <c r="BJ225" s="814"/>
      <c r="BK225" s="814"/>
      <c r="BL225" s="814"/>
      <c r="BM225" s="814"/>
      <c r="BN225" s="814"/>
      <c r="BO225" s="814"/>
      <c r="BP225" s="814"/>
      <c r="BQ225" s="814"/>
    </row>
    <row r="226" spans="39:69" s="169" customFormat="1">
      <c r="AM226" s="814"/>
      <c r="AN226" s="814"/>
      <c r="AO226" s="814"/>
      <c r="AP226" s="814"/>
      <c r="AQ226" s="814"/>
      <c r="AR226" s="814"/>
      <c r="AS226" s="814"/>
      <c r="AT226" s="814"/>
      <c r="AU226" s="814"/>
      <c r="AV226" s="814"/>
      <c r="AW226" s="814"/>
      <c r="AX226" s="814"/>
      <c r="AY226" s="814"/>
      <c r="AZ226" s="814"/>
      <c r="BA226" s="814"/>
      <c r="BB226" s="814"/>
      <c r="BC226" s="814"/>
      <c r="BD226" s="814"/>
      <c r="BE226" s="814"/>
      <c r="BF226" s="814"/>
      <c r="BG226" s="814"/>
      <c r="BH226" s="814"/>
      <c r="BI226" s="814"/>
      <c r="BJ226" s="814"/>
      <c r="BK226" s="814"/>
      <c r="BL226" s="814"/>
      <c r="BM226" s="814"/>
      <c r="BN226" s="814"/>
      <c r="BO226" s="814"/>
      <c r="BP226" s="814"/>
      <c r="BQ226" s="814"/>
    </row>
    <row r="227" spans="39:69" s="169" customFormat="1">
      <c r="AM227" s="814"/>
      <c r="AN227" s="814"/>
      <c r="AO227" s="814"/>
      <c r="AP227" s="814"/>
      <c r="AQ227" s="814"/>
      <c r="AR227" s="814"/>
      <c r="AS227" s="814"/>
      <c r="AT227" s="814"/>
      <c r="AU227" s="814"/>
      <c r="AV227" s="814"/>
      <c r="AW227" s="814"/>
      <c r="AX227" s="814"/>
      <c r="AY227" s="814"/>
      <c r="AZ227" s="814"/>
      <c r="BA227" s="814"/>
      <c r="BB227" s="814"/>
      <c r="BC227" s="814"/>
      <c r="BD227" s="814"/>
      <c r="BE227" s="814"/>
      <c r="BF227" s="814"/>
      <c r="BG227" s="814"/>
      <c r="BH227" s="814"/>
      <c r="BI227" s="814"/>
      <c r="BJ227" s="814"/>
      <c r="BK227" s="814"/>
      <c r="BL227" s="814"/>
      <c r="BM227" s="814"/>
      <c r="BN227" s="814"/>
      <c r="BO227" s="814"/>
      <c r="BP227" s="814"/>
      <c r="BQ227" s="814"/>
    </row>
    <row r="228" spans="39:69" s="169" customFormat="1">
      <c r="AM228" s="814"/>
      <c r="AN228" s="814"/>
      <c r="AO228" s="814"/>
      <c r="AP228" s="814"/>
      <c r="AQ228" s="814"/>
      <c r="AR228" s="814"/>
      <c r="AS228" s="814"/>
      <c r="AT228" s="814"/>
      <c r="AU228" s="814"/>
      <c r="AV228" s="814"/>
      <c r="AW228" s="814"/>
      <c r="AX228" s="814"/>
      <c r="AY228" s="814"/>
      <c r="AZ228" s="814"/>
      <c r="BA228" s="814"/>
      <c r="BB228" s="814"/>
      <c r="BC228" s="814"/>
      <c r="BD228" s="814"/>
      <c r="BE228" s="814"/>
      <c r="BF228" s="814"/>
      <c r="BG228" s="814"/>
      <c r="BH228" s="814"/>
      <c r="BI228" s="814"/>
      <c r="BJ228" s="814"/>
      <c r="BK228" s="814"/>
      <c r="BL228" s="814"/>
      <c r="BM228" s="814"/>
      <c r="BN228" s="814"/>
      <c r="BO228" s="814"/>
      <c r="BP228" s="814"/>
      <c r="BQ228" s="814"/>
    </row>
    <row r="229" spans="39:69" s="169" customFormat="1">
      <c r="AM229" s="814"/>
      <c r="AN229" s="814"/>
      <c r="AO229" s="814"/>
      <c r="AP229" s="814"/>
      <c r="AQ229" s="814"/>
      <c r="AR229" s="814"/>
      <c r="AS229" s="814"/>
      <c r="AT229" s="814"/>
      <c r="AU229" s="814"/>
      <c r="AV229" s="814"/>
      <c r="AW229" s="814"/>
      <c r="AX229" s="814"/>
      <c r="AY229" s="814"/>
      <c r="AZ229" s="814"/>
      <c r="BA229" s="814"/>
      <c r="BB229" s="814"/>
      <c r="BC229" s="814"/>
      <c r="BD229" s="814"/>
      <c r="BE229" s="814"/>
      <c r="BF229" s="814"/>
      <c r="BG229" s="814"/>
      <c r="BH229" s="814"/>
      <c r="BI229" s="814"/>
      <c r="BJ229" s="814"/>
      <c r="BK229" s="814"/>
      <c r="BL229" s="814"/>
      <c r="BM229" s="814"/>
      <c r="BN229" s="814"/>
      <c r="BO229" s="814"/>
      <c r="BP229" s="814"/>
      <c r="BQ229" s="814"/>
    </row>
    <row r="230" spans="39:69" s="169" customFormat="1">
      <c r="AM230" s="814"/>
      <c r="AN230" s="814"/>
      <c r="AO230" s="814"/>
      <c r="AP230" s="814"/>
      <c r="AQ230" s="814"/>
      <c r="AR230" s="814"/>
      <c r="AS230" s="814"/>
      <c r="AT230" s="814"/>
      <c r="AU230" s="814"/>
      <c r="AV230" s="814"/>
      <c r="AW230" s="814"/>
      <c r="AX230" s="814"/>
      <c r="AY230" s="814"/>
      <c r="AZ230" s="814"/>
      <c r="BA230" s="814"/>
      <c r="BB230" s="814"/>
      <c r="BC230" s="814"/>
      <c r="BD230" s="814"/>
      <c r="BE230" s="814"/>
      <c r="BF230" s="814"/>
      <c r="BG230" s="814"/>
      <c r="BH230" s="814"/>
      <c r="BI230" s="814"/>
      <c r="BJ230" s="814"/>
      <c r="BK230" s="814"/>
      <c r="BL230" s="814"/>
      <c r="BM230" s="814"/>
      <c r="BN230" s="814"/>
      <c r="BO230" s="814"/>
      <c r="BP230" s="814"/>
      <c r="BQ230" s="814"/>
    </row>
    <row r="231" spans="39:69" s="169" customFormat="1">
      <c r="AM231" s="814"/>
      <c r="AN231" s="814"/>
      <c r="AO231" s="814"/>
      <c r="AP231" s="814"/>
      <c r="AQ231" s="814"/>
      <c r="AR231" s="814"/>
      <c r="AS231" s="814"/>
      <c r="AT231" s="814"/>
      <c r="AU231" s="814"/>
      <c r="AV231" s="814"/>
      <c r="AW231" s="814"/>
      <c r="AX231" s="814"/>
      <c r="AY231" s="814"/>
      <c r="AZ231" s="814"/>
      <c r="BA231" s="814"/>
      <c r="BB231" s="814"/>
      <c r="BC231" s="814"/>
      <c r="BD231" s="814"/>
      <c r="BE231" s="814"/>
      <c r="BF231" s="814"/>
      <c r="BG231" s="814"/>
      <c r="BH231" s="814"/>
      <c r="BI231" s="814"/>
      <c r="BJ231" s="814"/>
      <c r="BK231" s="814"/>
      <c r="BL231" s="814"/>
      <c r="BM231" s="814"/>
      <c r="BN231" s="814"/>
      <c r="BO231" s="814"/>
      <c r="BP231" s="814"/>
      <c r="BQ231" s="814"/>
    </row>
    <row r="232" spans="39:69" s="169" customFormat="1">
      <c r="AM232" s="814"/>
      <c r="AN232" s="814"/>
      <c r="AO232" s="814"/>
      <c r="AP232" s="814"/>
      <c r="AQ232" s="814"/>
      <c r="AR232" s="814"/>
      <c r="AS232" s="814"/>
      <c r="AT232" s="814"/>
      <c r="AU232" s="814"/>
      <c r="AV232" s="814"/>
      <c r="AW232" s="814"/>
      <c r="AX232" s="814"/>
      <c r="AY232" s="814"/>
      <c r="AZ232" s="814"/>
      <c r="BA232" s="814"/>
      <c r="BB232" s="814"/>
      <c r="BC232" s="814"/>
      <c r="BD232" s="814"/>
      <c r="BE232" s="814"/>
      <c r="BF232" s="814"/>
      <c r="BG232" s="814"/>
      <c r="BH232" s="814"/>
      <c r="BI232" s="814"/>
      <c r="BJ232" s="814"/>
      <c r="BK232" s="814"/>
      <c r="BL232" s="814"/>
      <c r="BM232" s="814"/>
      <c r="BN232" s="814"/>
      <c r="BO232" s="814"/>
      <c r="BP232" s="814"/>
      <c r="BQ232" s="814"/>
    </row>
    <row r="233" spans="39:69" s="169" customFormat="1">
      <c r="AM233" s="814"/>
      <c r="AN233" s="814"/>
      <c r="AO233" s="814"/>
      <c r="AP233" s="814"/>
      <c r="AQ233" s="814"/>
      <c r="AR233" s="814"/>
      <c r="AS233" s="814"/>
      <c r="AT233" s="814"/>
      <c r="AU233" s="814"/>
      <c r="AV233" s="814"/>
      <c r="AW233" s="814"/>
      <c r="AX233" s="814"/>
      <c r="AY233" s="814"/>
      <c r="AZ233" s="814"/>
      <c r="BA233" s="814"/>
      <c r="BB233" s="814"/>
      <c r="BC233" s="814"/>
      <c r="BD233" s="814"/>
      <c r="BE233" s="814"/>
      <c r="BF233" s="814"/>
      <c r="BG233" s="814"/>
      <c r="BH233" s="814"/>
      <c r="BI233" s="814"/>
      <c r="BJ233" s="814"/>
      <c r="BK233" s="814"/>
      <c r="BL233" s="814"/>
      <c r="BM233" s="814"/>
      <c r="BN233" s="814"/>
      <c r="BO233" s="814"/>
      <c r="BP233" s="814"/>
      <c r="BQ233" s="814"/>
    </row>
    <row r="234" spans="39:69" s="169" customFormat="1">
      <c r="AM234" s="814"/>
      <c r="AN234" s="814"/>
      <c r="AO234" s="814"/>
      <c r="AP234" s="814"/>
      <c r="AQ234" s="814"/>
      <c r="AR234" s="814"/>
      <c r="AS234" s="814"/>
      <c r="AT234" s="814"/>
      <c r="AU234" s="814"/>
      <c r="AV234" s="814"/>
      <c r="AW234" s="814"/>
      <c r="AX234" s="814"/>
      <c r="AY234" s="814"/>
      <c r="AZ234" s="814"/>
      <c r="BA234" s="814"/>
      <c r="BB234" s="814"/>
      <c r="BC234" s="814"/>
      <c r="BD234" s="814"/>
      <c r="BE234" s="814"/>
      <c r="BF234" s="814"/>
      <c r="BG234" s="814"/>
      <c r="BH234" s="814"/>
      <c r="BI234" s="814"/>
      <c r="BJ234" s="814"/>
      <c r="BK234" s="814"/>
      <c r="BL234" s="814"/>
      <c r="BM234" s="814"/>
      <c r="BN234" s="814"/>
      <c r="BO234" s="814"/>
      <c r="BP234" s="814"/>
      <c r="BQ234" s="814"/>
    </row>
    <row r="235" spans="39:69" s="169" customFormat="1">
      <c r="AM235" s="814"/>
      <c r="AN235" s="814"/>
      <c r="AO235" s="814"/>
      <c r="AP235" s="814"/>
      <c r="AQ235" s="814"/>
      <c r="AR235" s="814"/>
      <c r="AS235" s="814"/>
      <c r="AT235" s="814"/>
      <c r="AU235" s="814"/>
      <c r="AV235" s="814"/>
      <c r="AW235" s="814"/>
      <c r="AX235" s="814"/>
      <c r="AY235" s="814"/>
      <c r="AZ235" s="814"/>
      <c r="BA235" s="814"/>
      <c r="BB235" s="814"/>
      <c r="BC235" s="814"/>
      <c r="BD235" s="814"/>
      <c r="BE235" s="814"/>
      <c r="BF235" s="814"/>
      <c r="BG235" s="814"/>
      <c r="BH235" s="814"/>
      <c r="BI235" s="814"/>
      <c r="BJ235" s="814"/>
      <c r="BK235" s="814"/>
      <c r="BL235" s="814"/>
      <c r="BM235" s="814"/>
      <c r="BN235" s="814"/>
      <c r="BO235" s="814"/>
      <c r="BP235" s="814"/>
      <c r="BQ235" s="814"/>
    </row>
    <row r="236" spans="39:69" s="169" customFormat="1">
      <c r="AM236" s="814"/>
      <c r="AN236" s="814"/>
      <c r="AO236" s="814"/>
      <c r="AP236" s="814"/>
      <c r="AQ236" s="814"/>
      <c r="AR236" s="814"/>
      <c r="AS236" s="814"/>
      <c r="AT236" s="814"/>
      <c r="AU236" s="814"/>
      <c r="AV236" s="814"/>
      <c r="AW236" s="814"/>
      <c r="AX236" s="814"/>
      <c r="AY236" s="814"/>
      <c r="AZ236" s="814"/>
      <c r="BA236" s="814"/>
      <c r="BB236" s="814"/>
      <c r="BC236" s="814"/>
      <c r="BD236" s="814"/>
      <c r="BE236" s="814"/>
      <c r="BF236" s="814"/>
      <c r="BG236" s="814"/>
      <c r="BH236" s="814"/>
      <c r="BI236" s="814"/>
      <c r="BJ236" s="814"/>
      <c r="BK236" s="814"/>
      <c r="BL236" s="814"/>
      <c r="BM236" s="814"/>
      <c r="BN236" s="814"/>
      <c r="BO236" s="814"/>
      <c r="BP236" s="814"/>
      <c r="BQ236" s="814"/>
    </row>
    <row r="237" spans="39:69" s="169" customFormat="1">
      <c r="AM237" s="814"/>
      <c r="AN237" s="814"/>
      <c r="AO237" s="814"/>
      <c r="AP237" s="814"/>
      <c r="AQ237" s="814"/>
      <c r="AR237" s="814"/>
      <c r="AS237" s="814"/>
      <c r="AT237" s="814"/>
      <c r="AU237" s="814"/>
      <c r="AV237" s="814"/>
      <c r="AW237" s="814"/>
      <c r="AX237" s="814"/>
      <c r="AY237" s="814"/>
      <c r="AZ237" s="814"/>
      <c r="BA237" s="814"/>
      <c r="BB237" s="814"/>
      <c r="BC237" s="814"/>
      <c r="BD237" s="814"/>
      <c r="BE237" s="814"/>
      <c r="BF237" s="814"/>
      <c r="BG237" s="814"/>
      <c r="BH237" s="814"/>
      <c r="BI237" s="814"/>
      <c r="BJ237" s="814"/>
      <c r="BK237" s="814"/>
      <c r="BL237" s="814"/>
      <c r="BM237" s="814"/>
      <c r="BN237" s="814"/>
      <c r="BO237" s="814"/>
      <c r="BP237" s="814"/>
      <c r="BQ237" s="814"/>
    </row>
    <row r="238" spans="39:69" s="169" customFormat="1">
      <c r="AM238" s="814"/>
      <c r="AN238" s="814"/>
      <c r="AO238" s="814"/>
      <c r="AP238" s="814"/>
      <c r="AQ238" s="814"/>
      <c r="AR238" s="814"/>
      <c r="AS238" s="814"/>
      <c r="AT238" s="814"/>
      <c r="AU238" s="814"/>
      <c r="AV238" s="814"/>
      <c r="AW238" s="814"/>
      <c r="AX238" s="814"/>
      <c r="AY238" s="814"/>
      <c r="AZ238" s="814"/>
      <c r="BA238" s="814"/>
      <c r="BB238" s="814"/>
      <c r="BC238" s="814"/>
      <c r="BD238" s="814"/>
      <c r="BE238" s="814"/>
      <c r="BF238" s="814"/>
      <c r="BG238" s="814"/>
      <c r="BH238" s="814"/>
      <c r="BI238" s="814"/>
      <c r="BJ238" s="814"/>
      <c r="BK238" s="814"/>
      <c r="BL238" s="814"/>
      <c r="BM238" s="814"/>
      <c r="BN238" s="814"/>
      <c r="BO238" s="814"/>
      <c r="BP238" s="814"/>
      <c r="BQ238" s="814"/>
    </row>
    <row r="239" spans="39:69" s="169" customFormat="1">
      <c r="AM239" s="814"/>
      <c r="AN239" s="814"/>
      <c r="AO239" s="814"/>
      <c r="AP239" s="814"/>
      <c r="AQ239" s="814"/>
      <c r="AR239" s="814"/>
      <c r="AS239" s="814"/>
      <c r="AT239" s="814"/>
      <c r="AU239" s="814"/>
      <c r="AV239" s="814"/>
      <c r="AW239" s="814"/>
      <c r="AX239" s="814"/>
      <c r="AY239" s="814"/>
      <c r="AZ239" s="814"/>
      <c r="BA239" s="814"/>
      <c r="BB239" s="814"/>
      <c r="BC239" s="814"/>
      <c r="BD239" s="814"/>
      <c r="BE239" s="814"/>
      <c r="BF239" s="814"/>
      <c r="BG239" s="814"/>
      <c r="BH239" s="814"/>
      <c r="BI239" s="814"/>
      <c r="BJ239" s="814"/>
      <c r="BK239" s="814"/>
      <c r="BL239" s="814"/>
      <c r="BM239" s="814"/>
      <c r="BN239" s="814"/>
      <c r="BO239" s="814"/>
      <c r="BP239" s="814"/>
      <c r="BQ239" s="814"/>
    </row>
    <row r="240" spans="39:69" s="169" customFormat="1">
      <c r="AM240" s="814"/>
      <c r="AN240" s="814"/>
      <c r="AO240" s="814"/>
      <c r="AP240" s="814"/>
      <c r="AQ240" s="814"/>
      <c r="AR240" s="814"/>
      <c r="AS240" s="814"/>
      <c r="AT240" s="814"/>
      <c r="AU240" s="814"/>
      <c r="AV240" s="814"/>
      <c r="AW240" s="814"/>
      <c r="AX240" s="814"/>
      <c r="AY240" s="814"/>
      <c r="AZ240" s="814"/>
      <c r="BA240" s="814"/>
      <c r="BB240" s="814"/>
      <c r="BC240" s="814"/>
      <c r="BD240" s="814"/>
      <c r="BE240" s="814"/>
      <c r="BF240" s="814"/>
      <c r="BG240" s="814"/>
      <c r="BH240" s="814"/>
      <c r="BI240" s="814"/>
      <c r="BJ240" s="814"/>
      <c r="BK240" s="814"/>
      <c r="BL240" s="814"/>
      <c r="BM240" s="814"/>
      <c r="BN240" s="814"/>
      <c r="BO240" s="814"/>
      <c r="BP240" s="814"/>
      <c r="BQ240" s="814"/>
    </row>
    <row r="241" spans="39:69" s="169" customFormat="1">
      <c r="AM241" s="814"/>
      <c r="AN241" s="814"/>
      <c r="AO241" s="814"/>
      <c r="AP241" s="814"/>
      <c r="AQ241" s="814"/>
      <c r="AR241" s="814"/>
      <c r="AS241" s="814"/>
      <c r="AT241" s="814"/>
      <c r="AU241" s="814"/>
      <c r="AV241" s="814"/>
      <c r="AW241" s="814"/>
      <c r="AX241" s="814"/>
      <c r="AY241" s="814"/>
      <c r="AZ241" s="814"/>
      <c r="BA241" s="814"/>
      <c r="BB241" s="814"/>
      <c r="BC241" s="814"/>
      <c r="BD241" s="814"/>
      <c r="BE241" s="814"/>
      <c r="BF241" s="814"/>
      <c r="BG241" s="814"/>
      <c r="BH241" s="814"/>
      <c r="BI241" s="814"/>
      <c r="BJ241" s="814"/>
      <c r="BK241" s="814"/>
      <c r="BL241" s="814"/>
      <c r="BM241" s="814"/>
      <c r="BN241" s="814"/>
      <c r="BO241" s="814"/>
      <c r="BP241" s="814"/>
      <c r="BQ241" s="814"/>
    </row>
    <row r="242" spans="39:69" s="169" customFormat="1">
      <c r="AM242" s="814"/>
      <c r="AN242" s="814"/>
      <c r="AO242" s="814"/>
      <c r="AP242" s="814"/>
      <c r="AQ242" s="814"/>
      <c r="AR242" s="814"/>
      <c r="AS242" s="814"/>
      <c r="AT242" s="814"/>
      <c r="AU242" s="814"/>
      <c r="AV242" s="814"/>
      <c r="AW242" s="814"/>
      <c r="AX242" s="814"/>
      <c r="AY242" s="814"/>
      <c r="AZ242" s="814"/>
      <c r="BA242" s="814"/>
      <c r="BB242" s="814"/>
      <c r="BC242" s="814"/>
      <c r="BD242" s="814"/>
      <c r="BE242" s="814"/>
      <c r="BF242" s="814"/>
      <c r="BG242" s="814"/>
      <c r="BH242" s="814"/>
      <c r="BI242" s="814"/>
      <c r="BJ242" s="814"/>
      <c r="BK242" s="814"/>
      <c r="BL242" s="814"/>
      <c r="BM242" s="814"/>
      <c r="BN242" s="814"/>
      <c r="BO242" s="814"/>
      <c r="BP242" s="814"/>
      <c r="BQ242" s="814"/>
    </row>
    <row r="243" spans="39:69" s="169" customFormat="1">
      <c r="AM243" s="814"/>
      <c r="AN243" s="814"/>
      <c r="AO243" s="814"/>
      <c r="AP243" s="814"/>
      <c r="AQ243" s="814"/>
      <c r="AR243" s="814"/>
      <c r="AS243" s="814"/>
      <c r="AT243" s="814"/>
      <c r="AU243" s="814"/>
      <c r="AV243" s="814"/>
      <c r="AW243" s="814"/>
      <c r="AX243" s="814"/>
      <c r="AY243" s="814"/>
      <c r="AZ243" s="814"/>
      <c r="BA243" s="814"/>
      <c r="BB243" s="814"/>
      <c r="BC243" s="814"/>
      <c r="BD243" s="814"/>
      <c r="BE243" s="814"/>
      <c r="BF243" s="814"/>
      <c r="BG243" s="814"/>
      <c r="BH243" s="814"/>
      <c r="BI243" s="814"/>
      <c r="BJ243" s="814"/>
      <c r="BK243" s="814"/>
      <c r="BL243" s="814"/>
      <c r="BM243" s="814"/>
      <c r="BN243" s="814"/>
      <c r="BO243" s="814"/>
      <c r="BP243" s="814"/>
      <c r="BQ243" s="814"/>
    </row>
    <row r="244" spans="39:69" s="169" customFormat="1">
      <c r="AM244" s="814"/>
      <c r="AN244" s="814"/>
      <c r="AO244" s="814"/>
      <c r="AP244" s="814"/>
      <c r="AQ244" s="814"/>
      <c r="AR244" s="814"/>
      <c r="AS244" s="814"/>
      <c r="AT244" s="814"/>
      <c r="AU244" s="814"/>
      <c r="AV244" s="814"/>
      <c r="AW244" s="814"/>
      <c r="AX244" s="814"/>
      <c r="AY244" s="814"/>
      <c r="AZ244" s="814"/>
      <c r="BA244" s="814"/>
      <c r="BB244" s="814"/>
      <c r="BC244" s="814"/>
      <c r="BD244" s="814"/>
      <c r="BE244" s="814"/>
      <c r="BF244" s="814"/>
      <c r="BG244" s="814"/>
      <c r="BH244" s="814"/>
      <c r="BI244" s="814"/>
      <c r="BJ244" s="814"/>
      <c r="BK244" s="814"/>
      <c r="BL244" s="814"/>
      <c r="BM244" s="814"/>
      <c r="BN244" s="814"/>
      <c r="BO244" s="814"/>
      <c r="BP244" s="814"/>
      <c r="BQ244" s="814"/>
    </row>
    <row r="245" spans="39:69" s="169" customFormat="1">
      <c r="AM245" s="814"/>
      <c r="AN245" s="814"/>
      <c r="AO245" s="814"/>
      <c r="AP245" s="814"/>
      <c r="AQ245" s="814"/>
      <c r="AR245" s="814"/>
      <c r="AS245" s="814"/>
      <c r="AT245" s="814"/>
      <c r="AU245" s="814"/>
      <c r="AV245" s="814"/>
      <c r="AW245" s="814"/>
      <c r="AX245" s="814"/>
      <c r="AY245" s="814"/>
      <c r="AZ245" s="814"/>
      <c r="BA245" s="814"/>
      <c r="BB245" s="814"/>
      <c r="BC245" s="814"/>
      <c r="BD245" s="814"/>
      <c r="BE245" s="814"/>
      <c r="BF245" s="814"/>
      <c r="BG245" s="814"/>
      <c r="BH245" s="814"/>
      <c r="BI245" s="814"/>
      <c r="BJ245" s="814"/>
      <c r="BK245" s="814"/>
      <c r="BL245" s="814"/>
      <c r="BM245" s="814"/>
      <c r="BN245" s="814"/>
      <c r="BO245" s="814"/>
      <c r="BP245" s="814"/>
      <c r="BQ245" s="814"/>
    </row>
    <row r="246" spans="39:69" s="169" customFormat="1">
      <c r="AM246" s="814"/>
      <c r="AN246" s="814"/>
      <c r="AO246" s="814"/>
      <c r="AP246" s="814"/>
      <c r="AQ246" s="814"/>
      <c r="AR246" s="814"/>
      <c r="AS246" s="814"/>
      <c r="AT246" s="814"/>
      <c r="AU246" s="814"/>
      <c r="AV246" s="814"/>
      <c r="AW246" s="814"/>
      <c r="AX246" s="814"/>
      <c r="AY246" s="814"/>
      <c r="AZ246" s="814"/>
      <c r="BA246" s="814"/>
      <c r="BB246" s="814"/>
      <c r="BC246" s="814"/>
      <c r="BD246" s="814"/>
      <c r="BE246" s="814"/>
      <c r="BF246" s="814"/>
      <c r="BG246" s="814"/>
      <c r="BH246" s="814"/>
      <c r="BI246" s="814"/>
      <c r="BJ246" s="814"/>
      <c r="BK246" s="814"/>
      <c r="BL246" s="814"/>
      <c r="BM246" s="814"/>
      <c r="BN246" s="814"/>
      <c r="BO246" s="814"/>
      <c r="BP246" s="814"/>
      <c r="BQ246" s="814"/>
    </row>
    <row r="247" spans="39:69" s="169" customFormat="1">
      <c r="AM247" s="814"/>
      <c r="AN247" s="814"/>
      <c r="AO247" s="814"/>
      <c r="AP247" s="814"/>
      <c r="AQ247" s="814"/>
      <c r="AR247" s="814"/>
      <c r="AS247" s="814"/>
      <c r="AT247" s="814"/>
      <c r="AU247" s="814"/>
      <c r="AV247" s="814"/>
      <c r="AW247" s="814"/>
      <c r="AX247" s="814"/>
      <c r="AY247" s="814"/>
      <c r="AZ247" s="814"/>
      <c r="BA247" s="814"/>
      <c r="BB247" s="814"/>
      <c r="BC247" s="814"/>
      <c r="BD247" s="814"/>
      <c r="BE247" s="814"/>
      <c r="BF247" s="814"/>
      <c r="BG247" s="814"/>
      <c r="BH247" s="814"/>
      <c r="BI247" s="814"/>
      <c r="BJ247" s="814"/>
      <c r="BK247" s="814"/>
      <c r="BL247" s="814"/>
      <c r="BM247" s="814"/>
      <c r="BN247" s="814"/>
      <c r="BO247" s="814"/>
      <c r="BP247" s="814"/>
      <c r="BQ247" s="814"/>
    </row>
    <row r="248" spans="39:69" s="169" customFormat="1">
      <c r="AM248" s="814"/>
      <c r="AN248" s="814"/>
      <c r="AO248" s="814"/>
      <c r="AP248" s="814"/>
      <c r="AQ248" s="814"/>
      <c r="AR248" s="814"/>
      <c r="AS248" s="814"/>
      <c r="AT248" s="814"/>
      <c r="AU248" s="814"/>
      <c r="AV248" s="814"/>
      <c r="AW248" s="814"/>
      <c r="AX248" s="814"/>
      <c r="AY248" s="814"/>
      <c r="AZ248" s="814"/>
      <c r="BA248" s="814"/>
      <c r="BB248" s="814"/>
      <c r="BC248" s="814"/>
      <c r="BD248" s="814"/>
      <c r="BE248" s="814"/>
      <c r="BF248" s="814"/>
      <c r="BG248" s="814"/>
      <c r="BH248" s="814"/>
      <c r="BI248" s="814"/>
      <c r="BJ248" s="814"/>
      <c r="BK248" s="814"/>
      <c r="BL248" s="814"/>
      <c r="BM248" s="814"/>
      <c r="BN248" s="814"/>
      <c r="BO248" s="814"/>
      <c r="BP248" s="814"/>
      <c r="BQ248" s="814"/>
    </row>
    <row r="249" spans="39:69" s="169" customFormat="1">
      <c r="AM249" s="814"/>
      <c r="AN249" s="814"/>
      <c r="AO249" s="814"/>
      <c r="AP249" s="814"/>
      <c r="AQ249" s="814"/>
      <c r="AR249" s="814"/>
      <c r="AS249" s="814"/>
      <c r="AT249" s="814"/>
      <c r="AU249" s="814"/>
      <c r="AV249" s="814"/>
      <c r="AW249" s="814"/>
      <c r="AX249" s="814"/>
      <c r="AY249" s="814"/>
      <c r="AZ249" s="814"/>
      <c r="BA249" s="814"/>
      <c r="BB249" s="814"/>
      <c r="BC249" s="814"/>
      <c r="BD249" s="814"/>
      <c r="BE249" s="814"/>
      <c r="BF249" s="814"/>
      <c r="BG249" s="814"/>
      <c r="BH249" s="814"/>
      <c r="BI249" s="814"/>
      <c r="BJ249" s="814"/>
      <c r="BK249" s="814"/>
      <c r="BL249" s="814"/>
      <c r="BM249" s="814"/>
      <c r="BN249" s="814"/>
      <c r="BO249" s="814"/>
      <c r="BP249" s="814"/>
      <c r="BQ249" s="814"/>
    </row>
    <row r="250" spans="39:69" s="169" customFormat="1">
      <c r="AM250" s="814"/>
      <c r="AN250" s="814"/>
      <c r="AO250" s="814"/>
      <c r="AP250" s="814"/>
      <c r="AQ250" s="814"/>
      <c r="AR250" s="814"/>
      <c r="AS250" s="814"/>
      <c r="AT250" s="814"/>
      <c r="AU250" s="814"/>
      <c r="AV250" s="814"/>
      <c r="AW250" s="814"/>
      <c r="AX250" s="814"/>
      <c r="AY250" s="814"/>
      <c r="AZ250" s="814"/>
      <c r="BA250" s="814"/>
      <c r="BB250" s="814"/>
      <c r="BC250" s="814"/>
      <c r="BD250" s="814"/>
      <c r="BE250" s="814"/>
      <c r="BF250" s="814"/>
      <c r="BG250" s="814"/>
      <c r="BH250" s="814"/>
      <c r="BI250" s="814"/>
      <c r="BJ250" s="814"/>
      <c r="BK250" s="814"/>
      <c r="BL250" s="814"/>
      <c r="BM250" s="814"/>
      <c r="BN250" s="814"/>
      <c r="BO250" s="814"/>
      <c r="BP250" s="814"/>
      <c r="BQ250" s="814"/>
    </row>
    <row r="251" spans="39:69" s="169" customFormat="1">
      <c r="AM251" s="814"/>
      <c r="AN251" s="814"/>
      <c r="AO251" s="814"/>
      <c r="AP251" s="814"/>
      <c r="AQ251" s="814"/>
      <c r="AR251" s="814"/>
      <c r="AS251" s="814"/>
      <c r="AT251" s="814"/>
      <c r="AU251" s="814"/>
      <c r="AV251" s="814"/>
      <c r="AW251" s="814"/>
      <c r="AX251" s="814"/>
      <c r="AY251" s="814"/>
      <c r="AZ251" s="814"/>
      <c r="BA251" s="814"/>
      <c r="BB251" s="814"/>
      <c r="BC251" s="814"/>
      <c r="BD251" s="814"/>
      <c r="BE251" s="814"/>
      <c r="BF251" s="814"/>
      <c r="BG251" s="814"/>
      <c r="BH251" s="814"/>
      <c r="BI251" s="814"/>
      <c r="BJ251" s="814"/>
      <c r="BK251" s="814"/>
      <c r="BL251" s="814"/>
      <c r="BM251" s="814"/>
      <c r="BN251" s="814"/>
      <c r="BO251" s="814"/>
      <c r="BP251" s="814"/>
      <c r="BQ251" s="814"/>
    </row>
    <row r="252" spans="39:69" s="169" customFormat="1">
      <c r="AM252" s="814"/>
      <c r="AN252" s="814"/>
      <c r="AO252" s="814"/>
      <c r="AP252" s="814"/>
      <c r="AQ252" s="814"/>
      <c r="AR252" s="814"/>
      <c r="AS252" s="814"/>
      <c r="AT252" s="814"/>
      <c r="AU252" s="814"/>
      <c r="AV252" s="814"/>
      <c r="AW252" s="814"/>
      <c r="AX252" s="814"/>
      <c r="AY252" s="814"/>
      <c r="AZ252" s="814"/>
      <c r="BA252" s="814"/>
      <c r="BB252" s="814"/>
      <c r="BC252" s="814"/>
      <c r="BD252" s="814"/>
      <c r="BE252" s="814"/>
      <c r="BF252" s="814"/>
      <c r="BG252" s="814"/>
      <c r="BH252" s="814"/>
      <c r="BI252" s="814"/>
      <c r="BJ252" s="814"/>
      <c r="BK252" s="814"/>
      <c r="BL252" s="814"/>
      <c r="BM252" s="814"/>
      <c r="BN252" s="814"/>
      <c r="BO252" s="814"/>
      <c r="BP252" s="814"/>
      <c r="BQ252" s="814"/>
    </row>
    <row r="253" spans="39:69" s="169" customFormat="1">
      <c r="AM253" s="814"/>
      <c r="AN253" s="814"/>
      <c r="AO253" s="814"/>
      <c r="AP253" s="814"/>
      <c r="AQ253" s="814"/>
      <c r="AR253" s="814"/>
      <c r="AS253" s="814"/>
      <c r="AT253" s="814"/>
      <c r="AU253" s="814"/>
      <c r="AV253" s="814"/>
      <c r="AW253" s="814"/>
      <c r="AX253" s="814"/>
      <c r="AY253" s="814"/>
      <c r="AZ253" s="814"/>
      <c r="BA253" s="814"/>
      <c r="BB253" s="814"/>
      <c r="BC253" s="814"/>
      <c r="BD253" s="814"/>
      <c r="BE253" s="814"/>
      <c r="BF253" s="814"/>
      <c r="BG253" s="814"/>
      <c r="BH253" s="814"/>
      <c r="BI253" s="814"/>
      <c r="BJ253" s="814"/>
      <c r="BK253" s="814"/>
      <c r="BL253" s="814"/>
      <c r="BM253" s="814"/>
      <c r="BN253" s="814"/>
      <c r="BO253" s="814"/>
      <c r="BP253" s="814"/>
      <c r="BQ253" s="814"/>
    </row>
    <row r="254" spans="39:69" s="169" customFormat="1">
      <c r="AM254" s="814"/>
      <c r="AN254" s="814"/>
      <c r="AO254" s="814"/>
      <c r="AP254" s="814"/>
      <c r="AQ254" s="814"/>
      <c r="AR254" s="814"/>
      <c r="AS254" s="814"/>
      <c r="AT254" s="814"/>
      <c r="AU254" s="814"/>
      <c r="AV254" s="814"/>
      <c r="AW254" s="814"/>
      <c r="AX254" s="814"/>
      <c r="AY254" s="814"/>
      <c r="AZ254" s="814"/>
      <c r="BA254" s="814"/>
      <c r="BB254" s="814"/>
      <c r="BC254" s="814"/>
      <c r="BD254" s="814"/>
      <c r="BE254" s="814"/>
      <c r="BF254" s="814"/>
      <c r="BG254" s="814"/>
      <c r="BH254" s="814"/>
      <c r="BI254" s="814"/>
      <c r="BJ254" s="814"/>
      <c r="BK254" s="814"/>
      <c r="BL254" s="814"/>
      <c r="BM254" s="814"/>
      <c r="BN254" s="814"/>
      <c r="BO254" s="814"/>
      <c r="BP254" s="814"/>
      <c r="BQ254" s="814"/>
    </row>
    <row r="255" spans="39:69" s="169" customFormat="1">
      <c r="AM255" s="814"/>
      <c r="AN255" s="814"/>
      <c r="AO255" s="814"/>
      <c r="AP255" s="814"/>
      <c r="AQ255" s="814"/>
      <c r="AR255" s="814"/>
      <c r="AS255" s="814"/>
      <c r="AT255" s="814"/>
      <c r="AU255" s="814"/>
      <c r="AV255" s="814"/>
      <c r="AW255" s="814"/>
      <c r="AX255" s="814"/>
      <c r="AY255" s="814"/>
      <c r="AZ255" s="814"/>
      <c r="BA255" s="814"/>
      <c r="BB255" s="814"/>
      <c r="BC255" s="814"/>
      <c r="BD255" s="814"/>
      <c r="BE255" s="814"/>
      <c r="BF255" s="814"/>
      <c r="BG255" s="814"/>
      <c r="BH255" s="814"/>
      <c r="BI255" s="814"/>
      <c r="BJ255" s="814"/>
      <c r="BK255" s="814"/>
      <c r="BL255" s="814"/>
      <c r="BM255" s="814"/>
      <c r="BN255" s="814"/>
      <c r="BO255" s="814"/>
      <c r="BP255" s="814"/>
      <c r="BQ255" s="814"/>
    </row>
    <row r="256" spans="39:69" s="169" customFormat="1">
      <c r="AM256" s="814"/>
      <c r="AN256" s="814"/>
      <c r="AO256" s="814"/>
      <c r="AP256" s="814"/>
      <c r="AQ256" s="814"/>
      <c r="AR256" s="814"/>
      <c r="AS256" s="814"/>
      <c r="AT256" s="814"/>
      <c r="AU256" s="814"/>
      <c r="AV256" s="814"/>
      <c r="AW256" s="814"/>
      <c r="AX256" s="814"/>
      <c r="AY256" s="814"/>
      <c r="AZ256" s="814"/>
      <c r="BA256" s="814"/>
      <c r="BB256" s="814"/>
      <c r="BC256" s="814"/>
      <c r="BD256" s="814"/>
      <c r="BE256" s="814"/>
      <c r="BF256" s="814"/>
      <c r="BG256" s="814"/>
      <c r="BH256" s="814"/>
      <c r="BI256" s="814"/>
      <c r="BJ256" s="814"/>
      <c r="BK256" s="814"/>
      <c r="BL256" s="814"/>
      <c r="BM256" s="814"/>
      <c r="BN256" s="814"/>
      <c r="BO256" s="814"/>
      <c r="BP256" s="814"/>
      <c r="BQ256" s="814"/>
    </row>
    <row r="257" s="169" customFormat="1"/>
    <row r="258" s="169" customFormat="1"/>
    <row r="259" s="169" customFormat="1"/>
    <row r="260" s="169" customFormat="1"/>
    <row r="261" s="169" customFormat="1"/>
    <row r="262" s="169" customFormat="1"/>
    <row r="263" s="169" customFormat="1"/>
    <row r="264" s="169" customFormat="1"/>
    <row r="265" s="169" customFormat="1"/>
    <row r="266" s="169" customFormat="1"/>
    <row r="267" s="169" customFormat="1"/>
    <row r="268" s="169" customFormat="1"/>
    <row r="269" s="169" customFormat="1"/>
    <row r="270" s="169" customFormat="1"/>
    <row r="271" s="169" customFormat="1"/>
    <row r="272" s="169" customFormat="1"/>
    <row r="273" s="169" customFormat="1"/>
    <row r="274" s="169" customFormat="1"/>
    <row r="275" s="169" customFormat="1"/>
    <row r="276" s="169" customFormat="1"/>
    <row r="277" s="169" customFormat="1"/>
    <row r="278" s="169" customFormat="1"/>
    <row r="279" s="169" customFormat="1"/>
    <row r="280" s="169" customFormat="1"/>
    <row r="281" s="169" customFormat="1"/>
    <row r="282" s="169" customFormat="1"/>
    <row r="283" s="169" customFormat="1"/>
    <row r="284" s="169" customFormat="1"/>
    <row r="285" s="169" customFormat="1"/>
    <row r="286" s="169" customFormat="1"/>
    <row r="287" s="169" customFormat="1"/>
    <row r="288" s="169" customFormat="1"/>
    <row r="289" s="169" customFormat="1"/>
    <row r="290" s="169" customFormat="1"/>
    <row r="291" s="169" customFormat="1"/>
    <row r="292" s="169" customFormat="1"/>
    <row r="293" s="169" customFormat="1"/>
    <row r="294" s="169" customFormat="1"/>
    <row r="295" s="169" customFormat="1"/>
    <row r="296" s="169" customFormat="1"/>
    <row r="297" s="169" customFormat="1"/>
    <row r="298" s="169" customFormat="1"/>
    <row r="299" s="169" customFormat="1"/>
    <row r="300" s="169" customFormat="1"/>
    <row r="301" s="169" customFormat="1"/>
    <row r="302" s="169" customFormat="1"/>
    <row r="303" s="169" customFormat="1"/>
    <row r="304" s="169" customFormat="1"/>
    <row r="305" s="169" customFormat="1"/>
    <row r="306" s="169" customFormat="1"/>
    <row r="307" s="169" customFormat="1"/>
    <row r="308" s="169" customFormat="1"/>
    <row r="309" s="169" customFormat="1"/>
    <row r="310" s="169" customFormat="1"/>
    <row r="311" s="169" customFormat="1"/>
    <row r="312" s="169" customFormat="1"/>
    <row r="313" s="169" customFormat="1"/>
    <row r="314" s="169" customFormat="1"/>
    <row r="315" s="169" customFormat="1"/>
    <row r="316" s="169" customFormat="1"/>
    <row r="317" s="169" customFormat="1"/>
    <row r="318" s="169" customFormat="1"/>
    <row r="319" s="169" customFormat="1"/>
    <row r="320" s="169" customFormat="1"/>
    <row r="321" s="169" customFormat="1"/>
    <row r="322" s="169" customFormat="1"/>
    <row r="323" s="169" customFormat="1"/>
    <row r="324" s="169" customFormat="1"/>
    <row r="325" s="169" customFormat="1"/>
    <row r="326" s="169" customFormat="1"/>
    <row r="327" s="169" customFormat="1"/>
    <row r="328" s="169" customFormat="1"/>
    <row r="329" s="169" customFormat="1"/>
    <row r="330" s="169" customFormat="1"/>
    <row r="331" s="169" customFormat="1"/>
    <row r="332" s="169" customFormat="1"/>
    <row r="333" s="169" customFormat="1"/>
    <row r="334" s="169" customFormat="1"/>
    <row r="335" s="169" customFormat="1"/>
    <row r="336" s="169" customFormat="1"/>
    <row r="337" s="169" customFormat="1"/>
    <row r="338" s="169" customFormat="1"/>
    <row r="339" s="169" customFormat="1"/>
    <row r="340" s="169" customFormat="1"/>
    <row r="341" s="169" customFormat="1"/>
    <row r="342" s="169" customFormat="1"/>
    <row r="343" s="169" customFormat="1"/>
    <row r="344" s="169" customFormat="1"/>
    <row r="345" s="169" customFormat="1"/>
    <row r="346" s="169" customFormat="1"/>
    <row r="347" s="169" customFormat="1"/>
    <row r="348" s="169" customFormat="1"/>
    <row r="349" s="169" customFormat="1"/>
    <row r="350" s="169" customFormat="1"/>
    <row r="351" s="169" customFormat="1"/>
    <row r="352" s="169" customFormat="1"/>
    <row r="353" s="169" customFormat="1"/>
    <row r="354" s="169" customFormat="1"/>
    <row r="355" s="169" customFormat="1"/>
    <row r="356" s="169" customFormat="1"/>
    <row r="357" s="169" customFormat="1"/>
    <row r="358" s="169" customFormat="1"/>
    <row r="359" s="169" customFormat="1"/>
    <row r="360" s="169" customFormat="1"/>
    <row r="361" s="169" customFormat="1"/>
    <row r="362" s="169" customFormat="1"/>
    <row r="363" s="169" customFormat="1"/>
    <row r="364" s="169" customFormat="1"/>
    <row r="365" s="169" customFormat="1"/>
    <row r="366" s="169" customFormat="1"/>
    <row r="367" s="169" customFormat="1"/>
    <row r="368" s="169" customFormat="1"/>
    <row r="369" s="169" customFormat="1"/>
    <row r="370" s="169" customFormat="1"/>
    <row r="371" s="169" customFormat="1"/>
    <row r="372" s="169" customFormat="1"/>
    <row r="373" s="169" customFormat="1"/>
    <row r="374" s="169" customFormat="1"/>
    <row r="375" s="169" customFormat="1"/>
    <row r="376" s="169" customFormat="1"/>
    <row r="377" s="169" customFormat="1"/>
    <row r="378" s="169" customFormat="1"/>
    <row r="379" s="169" customFormat="1"/>
    <row r="380" s="169" customFormat="1"/>
    <row r="381" s="169" customFormat="1"/>
    <row r="382" s="169" customFormat="1"/>
    <row r="383" s="169" customFormat="1"/>
    <row r="384" s="169" customFormat="1"/>
    <row r="385" s="169" customFormat="1"/>
    <row r="386" s="169" customFormat="1"/>
    <row r="387" s="169" customFormat="1"/>
    <row r="388" s="169" customFormat="1"/>
    <row r="389" s="169" customFormat="1"/>
    <row r="390" s="169" customFormat="1"/>
    <row r="391" s="169" customFormat="1"/>
    <row r="392" s="169" customFormat="1"/>
    <row r="393" s="169" customFormat="1"/>
    <row r="394" s="169" customFormat="1"/>
    <row r="395" s="169" customFormat="1"/>
    <row r="396" s="169" customFormat="1"/>
    <row r="397" s="169" customFormat="1"/>
    <row r="398" s="169" customFormat="1"/>
    <row r="399" s="169" customFormat="1"/>
    <row r="400" s="169" customFormat="1"/>
    <row r="401" s="169" customFormat="1"/>
    <row r="402" s="169" customFormat="1"/>
    <row r="403" s="169" customFormat="1"/>
    <row r="404" s="169" customFormat="1"/>
    <row r="405" s="169" customFormat="1"/>
    <row r="406" s="169" customFormat="1"/>
    <row r="407" s="169" customFormat="1"/>
    <row r="408" s="169" customFormat="1"/>
    <row r="409" s="169" customFormat="1"/>
    <row r="410" s="169" customFormat="1"/>
    <row r="411" s="169" customFormat="1"/>
    <row r="412" s="169" customFormat="1"/>
    <row r="413" s="169" customFormat="1"/>
    <row r="414" s="169" customFormat="1"/>
    <row r="415" s="169" customFormat="1"/>
    <row r="416" s="169" customFormat="1"/>
    <row r="417" s="169" customFormat="1"/>
    <row r="418" s="169" customFormat="1"/>
    <row r="419" s="169" customFormat="1"/>
    <row r="420" s="169" customFormat="1"/>
    <row r="421" s="169" customFormat="1"/>
    <row r="422" s="169" customFormat="1"/>
    <row r="423" s="169" customFormat="1"/>
    <row r="424" s="169" customFormat="1"/>
    <row r="425" s="169" customFormat="1"/>
    <row r="426" s="169" customFormat="1"/>
    <row r="427" s="169" customFormat="1"/>
    <row r="428" s="169" customFormat="1"/>
    <row r="429" s="169" customFormat="1"/>
    <row r="430" s="169" customFormat="1"/>
    <row r="431" s="169" customFormat="1"/>
    <row r="432" s="169" customFormat="1"/>
    <row r="433" s="169" customFormat="1"/>
    <row r="434" s="169" customFormat="1"/>
    <row r="435" s="169" customFormat="1"/>
    <row r="436" s="169" customFormat="1"/>
    <row r="437" s="169" customFormat="1"/>
    <row r="438" s="169" customFormat="1"/>
    <row r="439" s="169" customFormat="1"/>
    <row r="440" s="169" customFormat="1"/>
    <row r="441" s="169" customFormat="1"/>
    <row r="442" s="169" customFormat="1"/>
    <row r="443" s="169" customFormat="1"/>
    <row r="444" s="169" customFormat="1"/>
    <row r="445" s="169" customFormat="1"/>
    <row r="446" s="169" customFormat="1"/>
    <row r="447" s="169" customFormat="1"/>
    <row r="448" s="169" customFormat="1"/>
    <row r="449" s="169" customFormat="1"/>
    <row r="450" s="169" customFormat="1"/>
    <row r="451" s="169" customFormat="1"/>
    <row r="452" s="169" customFormat="1"/>
    <row r="453" s="169" customFormat="1"/>
    <row r="454" s="169" customFormat="1"/>
    <row r="455" s="169" customFormat="1"/>
    <row r="456" s="169" customFormat="1"/>
    <row r="457" s="169" customFormat="1"/>
    <row r="458" s="169" customFormat="1"/>
    <row r="459" s="169" customFormat="1"/>
    <row r="460" s="169" customFormat="1"/>
    <row r="461" s="169" customFormat="1"/>
    <row r="462" s="169" customFormat="1"/>
    <row r="463" s="169" customFormat="1"/>
    <row r="464" s="169" customFormat="1"/>
    <row r="465" s="169" customFormat="1"/>
    <row r="466" s="169" customFormat="1"/>
    <row r="467" s="169" customFormat="1"/>
    <row r="468" s="169" customFormat="1"/>
    <row r="469" s="169" customFormat="1"/>
    <row r="470" s="169" customFormat="1"/>
    <row r="471" s="169" customFormat="1"/>
    <row r="472" s="169" customFormat="1"/>
    <row r="473" s="169" customFormat="1"/>
    <row r="474" s="169" customFormat="1"/>
    <row r="475" s="169" customFormat="1"/>
    <row r="476" s="169" customFormat="1"/>
    <row r="477" s="169" customFormat="1"/>
    <row r="478" s="169" customFormat="1"/>
    <row r="479" s="169" customFormat="1"/>
    <row r="480" s="169" customFormat="1"/>
    <row r="481" s="169" customFormat="1"/>
    <row r="482" s="169" customFormat="1"/>
    <row r="483" s="169" customFormat="1"/>
    <row r="484" s="169" customFormat="1"/>
    <row r="485" s="169" customFormat="1"/>
    <row r="486" s="169" customFormat="1"/>
    <row r="487" s="169" customFormat="1"/>
    <row r="488" s="169" customFormat="1"/>
    <row r="489" s="169" customFormat="1"/>
    <row r="490" s="169" customFormat="1"/>
    <row r="491" s="169" customFormat="1"/>
    <row r="492" s="169" customFormat="1"/>
    <row r="493" s="169" customFormat="1"/>
    <row r="494" s="169" customFormat="1"/>
    <row r="495" s="169" customFormat="1"/>
    <row r="496" s="169" customFormat="1"/>
    <row r="497" s="169" customFormat="1"/>
    <row r="498" s="169" customFormat="1"/>
    <row r="499" s="169" customFormat="1"/>
    <row r="500" s="169" customFormat="1"/>
    <row r="501" s="169" customFormat="1"/>
    <row r="502" s="169" customFormat="1"/>
    <row r="503" s="169" customFormat="1"/>
    <row r="504" s="169" customFormat="1"/>
    <row r="505" s="169" customFormat="1"/>
    <row r="506" s="169" customFormat="1"/>
    <row r="507" s="169" customFormat="1"/>
    <row r="508" s="169" customFormat="1"/>
    <row r="509" s="169" customFormat="1"/>
    <row r="510" s="169" customFormat="1"/>
    <row r="511" s="169" customFormat="1"/>
    <row r="512" s="169" customFormat="1"/>
    <row r="513" s="169" customFormat="1"/>
    <row r="514" s="169" customFormat="1"/>
    <row r="515" s="169" customFormat="1"/>
    <row r="516" s="169" customFormat="1"/>
    <row r="517" s="169" customFormat="1"/>
    <row r="518" s="169" customFormat="1"/>
    <row r="519" s="169" customFormat="1"/>
    <row r="520" s="169" customFormat="1"/>
    <row r="521" s="169" customFormat="1"/>
    <row r="522" s="169" customFormat="1"/>
    <row r="523" s="169" customFormat="1"/>
    <row r="524" s="169" customFormat="1"/>
    <row r="525" s="169" customFormat="1"/>
    <row r="526" s="169" customFormat="1"/>
    <row r="527" s="169" customFormat="1"/>
    <row r="528" s="169" customFormat="1"/>
    <row r="529" s="169" customFormat="1"/>
    <row r="530" s="169" customFormat="1"/>
    <row r="531" s="169" customFormat="1"/>
    <row r="532" s="169" customFormat="1"/>
    <row r="533" s="169" customFormat="1"/>
    <row r="534" s="169" customFormat="1"/>
    <row r="535" s="169" customFormat="1"/>
    <row r="536" s="169" customFormat="1"/>
    <row r="537" s="169" customFormat="1"/>
    <row r="538" s="169" customFormat="1"/>
    <row r="539" s="169" customFormat="1"/>
    <row r="540" s="169" customFormat="1"/>
    <row r="541" s="169" customFormat="1"/>
    <row r="542" s="169" customFormat="1"/>
    <row r="543" s="169" customFormat="1"/>
    <row r="544" s="169" customFormat="1"/>
    <row r="545" s="169" customFormat="1"/>
    <row r="546" s="169" customFormat="1"/>
    <row r="547" s="169" customFormat="1"/>
    <row r="548" s="169" customFormat="1"/>
    <row r="549" s="169" customFormat="1"/>
    <row r="550" s="169" customFormat="1"/>
    <row r="551" s="169" customFormat="1"/>
    <row r="552" s="169" customFormat="1"/>
    <row r="553" s="169" customFormat="1"/>
    <row r="554" s="169" customFormat="1"/>
    <row r="555" s="169" customFormat="1"/>
    <row r="556" s="169" customFormat="1"/>
    <row r="557" s="169" customFormat="1"/>
    <row r="558" s="169" customFormat="1"/>
    <row r="559" s="169" customFormat="1"/>
    <row r="560" s="169" customFormat="1"/>
    <row r="561" s="169" customFormat="1"/>
    <row r="562" s="169" customFormat="1"/>
    <row r="563" s="169" customFormat="1"/>
    <row r="564" s="169" customFormat="1"/>
    <row r="565" s="169" customFormat="1"/>
    <row r="566" s="169" customFormat="1"/>
    <row r="567" s="169" customFormat="1"/>
    <row r="568" s="169" customFormat="1"/>
    <row r="569" s="169" customFormat="1"/>
    <row r="570" s="169" customFormat="1"/>
    <row r="571" s="169" customFormat="1"/>
    <row r="572" s="169" customFormat="1"/>
    <row r="573" s="169" customFormat="1"/>
    <row r="574" s="169" customFormat="1"/>
    <row r="575" s="169" customFormat="1"/>
    <row r="576" s="169" customFormat="1"/>
    <row r="577" s="169" customFormat="1"/>
    <row r="578" s="169" customFormat="1"/>
    <row r="579" s="169" customFormat="1"/>
    <row r="580" s="169" customFormat="1"/>
    <row r="581" s="169" customFormat="1"/>
    <row r="582" s="169" customFormat="1"/>
    <row r="583" s="169" customFormat="1"/>
    <row r="584" s="169" customFormat="1"/>
    <row r="585" s="169" customFormat="1"/>
    <row r="586" s="169" customFormat="1"/>
    <row r="587" s="169" customFormat="1"/>
    <row r="588" s="169" customFormat="1"/>
    <row r="589" s="169" customFormat="1"/>
    <row r="590" s="169" customFormat="1"/>
    <row r="591" s="169" customFormat="1"/>
    <row r="592" s="169" customFormat="1"/>
    <row r="593" s="169" customFormat="1"/>
    <row r="594" s="169" customFormat="1"/>
    <row r="595" s="169" customFormat="1"/>
    <row r="596" s="169" customFormat="1"/>
    <row r="597" s="169" customFormat="1"/>
    <row r="598" s="169" customFormat="1"/>
    <row r="599" s="169" customFormat="1"/>
    <row r="600" s="169" customFormat="1"/>
    <row r="601" s="169" customFormat="1"/>
    <row r="602" s="169" customFormat="1"/>
    <row r="603" s="169" customFormat="1"/>
    <row r="604" s="169" customFormat="1"/>
    <row r="605" s="169" customFormat="1"/>
    <row r="606" s="169" customFormat="1"/>
    <row r="607" s="169" customFormat="1"/>
    <row r="608" s="169" customFormat="1"/>
    <row r="609" s="169" customFormat="1"/>
    <row r="610" s="169" customFormat="1"/>
    <row r="611" s="169" customFormat="1"/>
    <row r="612" s="169" customFormat="1"/>
    <row r="613" s="169" customFormat="1"/>
    <row r="614" s="169" customFormat="1"/>
    <row r="615" s="169" customFormat="1"/>
    <row r="616" s="169" customFormat="1"/>
    <row r="617" s="169" customFormat="1"/>
    <row r="618" s="169" customFormat="1"/>
    <row r="619" s="169" customFormat="1"/>
    <row r="620" s="169" customFormat="1"/>
    <row r="621" s="169" customFormat="1"/>
    <row r="622" s="169" customFormat="1"/>
    <row r="623" s="169" customFormat="1"/>
    <row r="624" s="169" customFormat="1"/>
    <row r="625" s="169" customFormat="1"/>
    <row r="626" s="169" customFormat="1"/>
    <row r="627" s="169" customFormat="1"/>
    <row r="628" s="169" customFormat="1"/>
    <row r="629" s="169" customFormat="1"/>
    <row r="630" s="169" customFormat="1"/>
    <row r="631" s="169" customFormat="1"/>
    <row r="632" s="169" customFormat="1"/>
    <row r="633" s="169" customFormat="1"/>
    <row r="634" s="169" customFormat="1"/>
    <row r="635" s="169" customFormat="1"/>
    <row r="636" s="169" customFormat="1"/>
    <row r="637" s="169" customFormat="1"/>
    <row r="638" s="169" customFormat="1"/>
    <row r="639" s="169" customFormat="1"/>
    <row r="640" s="169" customFormat="1"/>
    <row r="641" s="169" customFormat="1"/>
    <row r="642" s="169" customFormat="1"/>
    <row r="643" s="169" customFormat="1"/>
    <row r="644" s="169" customFormat="1"/>
    <row r="645" s="169" customFormat="1"/>
    <row r="646" s="169" customFormat="1"/>
    <row r="647" s="169" customFormat="1"/>
    <row r="648" s="169" customFormat="1"/>
    <row r="649" s="169" customFormat="1"/>
    <row r="650" s="169" customFormat="1"/>
    <row r="651" s="169" customFormat="1"/>
    <row r="652" s="169" customFormat="1"/>
    <row r="653" s="169" customFormat="1"/>
    <row r="654" s="169" customFormat="1"/>
    <row r="655" s="169" customFormat="1"/>
    <row r="656" s="169" customFormat="1"/>
    <row r="657" s="169" customFormat="1"/>
    <row r="658" s="169" customFormat="1"/>
    <row r="659" s="169" customFormat="1"/>
    <row r="660" s="169" customFormat="1"/>
    <row r="661" s="169" customFormat="1"/>
    <row r="662" s="169" customFormat="1"/>
    <row r="663" s="169" customFormat="1"/>
    <row r="664" s="169" customFormat="1"/>
    <row r="665" s="169" customFormat="1"/>
    <row r="666" s="169" customFormat="1"/>
    <row r="667" s="169" customFormat="1"/>
    <row r="668" s="169" customFormat="1"/>
    <row r="669" s="169" customFormat="1"/>
    <row r="670" s="169" customFormat="1"/>
    <row r="671" s="169" customFormat="1"/>
    <row r="672" s="169" customFormat="1"/>
    <row r="673" s="169" customFormat="1"/>
    <row r="674" s="169" customFormat="1"/>
    <row r="675" s="169" customFormat="1"/>
    <row r="676" s="169" customFormat="1"/>
    <row r="677" s="169" customFormat="1"/>
    <row r="678" s="169" customFormat="1"/>
    <row r="679" s="169" customFormat="1"/>
    <row r="680" s="169" customFormat="1"/>
    <row r="681" s="169" customFormat="1"/>
    <row r="682" s="169" customFormat="1"/>
    <row r="683" s="169" customFormat="1"/>
    <row r="684" s="169" customFormat="1"/>
    <row r="685" s="169" customFormat="1"/>
    <row r="686" s="169" customFormat="1"/>
    <row r="687" s="169" customFormat="1"/>
    <row r="688" s="169" customFormat="1"/>
    <row r="689" s="169" customFormat="1"/>
    <row r="690" s="169" customFormat="1"/>
    <row r="691" s="169" customFormat="1"/>
    <row r="692" s="169" customFormat="1"/>
    <row r="693" s="169" customFormat="1"/>
    <row r="694" s="169" customFormat="1"/>
    <row r="695" s="169" customFormat="1"/>
    <row r="696" s="169" customFormat="1"/>
    <row r="697" s="169" customFormat="1"/>
    <row r="698" s="169" customFormat="1"/>
    <row r="699" s="169" customFormat="1"/>
    <row r="700" s="169" customFormat="1"/>
    <row r="701" s="169" customFormat="1"/>
    <row r="702" s="169" customFormat="1"/>
    <row r="703" s="169" customFormat="1"/>
    <row r="704" s="169" customFormat="1"/>
    <row r="705" s="169" customFormat="1"/>
    <row r="706" s="169" customFormat="1"/>
    <row r="707" s="169" customFormat="1"/>
    <row r="708" s="169" customFormat="1"/>
    <row r="709" s="169" customFormat="1"/>
    <row r="710" s="169" customFormat="1"/>
    <row r="711" s="169" customFormat="1"/>
    <row r="712" s="169" customFormat="1"/>
    <row r="713" s="169" customFormat="1"/>
    <row r="714" s="169" customFormat="1"/>
    <row r="715" s="169" customFormat="1"/>
    <row r="716" s="169" customFormat="1"/>
    <row r="717" s="169" customFormat="1"/>
    <row r="718" s="169" customFormat="1"/>
    <row r="719" s="169" customFormat="1"/>
    <row r="720" s="169" customFormat="1"/>
    <row r="721" s="169" customFormat="1"/>
    <row r="722" s="169" customFormat="1"/>
    <row r="723" s="169" customFormat="1"/>
    <row r="724" s="169" customFormat="1"/>
    <row r="725" s="169" customFormat="1"/>
    <row r="726" s="169" customFormat="1"/>
    <row r="727" s="169" customFormat="1"/>
    <row r="728" s="169" customFormat="1"/>
    <row r="729" s="169" customFormat="1"/>
    <row r="730" s="169" customFormat="1"/>
    <row r="731" s="169" customFormat="1"/>
    <row r="732" s="169" customFormat="1"/>
    <row r="733" s="169" customFormat="1"/>
    <row r="734" s="169" customFormat="1"/>
    <row r="735" s="169" customFormat="1"/>
    <row r="736" s="169" customFormat="1"/>
    <row r="737" s="169" customFormat="1"/>
    <row r="738" s="169" customFormat="1"/>
    <row r="739" s="169" customFormat="1"/>
    <row r="740" s="169" customFormat="1"/>
    <row r="741" s="169" customFormat="1"/>
    <row r="742" s="169" customFormat="1"/>
    <row r="743" s="169" customFormat="1"/>
    <row r="744" s="169" customFormat="1"/>
    <row r="745" s="169" customFormat="1"/>
    <row r="746" s="169" customFormat="1"/>
    <row r="747" s="169" customFormat="1"/>
  </sheetData>
  <customSheetViews>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1"/>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2"/>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4"/>
    </customSheetView>
  </customSheetViews>
  <mergeCells count="12">
    <mergeCell ref="BL2:BP2"/>
    <mergeCell ref="BL3:BP3"/>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W86"/>
  <sheetViews>
    <sheetView showGridLines="0" zoomScaleNormal="100" zoomScaleSheetLayoutView="85" workbookViewId="0">
      <pane xSplit="1" ySplit="4" topLeftCell="AK5" activePane="bottomRight" state="frozen"/>
      <selection pane="topRight" activeCell="B1" sqref="B1"/>
      <selection pane="bottomLeft" activeCell="A5" sqref="A5"/>
      <selection pane="bottomRight" activeCell="AR78" sqref="AR78"/>
    </sheetView>
  </sheetViews>
  <sheetFormatPr defaultColWidth="9" defaultRowHeight="12.75" outlineLevelCol="1"/>
  <cols>
    <col min="1" max="1" width="53" style="4" customWidth="1"/>
    <col min="2" max="2" width="53" style="39" customWidth="1"/>
    <col min="3" max="3" width="11.5" style="5" customWidth="1" outlineLevel="1"/>
    <col min="4" max="4" width="12.375" style="5" customWidth="1" outlineLevel="1"/>
    <col min="5" max="5" width="13.625" style="5" customWidth="1" outlineLevel="1"/>
    <col min="6" max="6" width="12.125" style="5" customWidth="1" outlineLevel="1"/>
    <col min="7" max="9" width="13.625" style="5" customWidth="1" outlineLevel="1"/>
    <col min="10" max="10" width="12.125" style="5" customWidth="1" outlineLevel="1"/>
    <col min="11" max="13" width="13.625" style="5" customWidth="1" outlineLevel="1"/>
    <col min="14" max="14" width="12.125" style="5" customWidth="1" outlineLevel="1"/>
    <col min="15" max="30" width="13.625" style="5" customWidth="1" outlineLevel="1"/>
    <col min="31" max="46" width="13.625" style="5" customWidth="1"/>
    <col min="47" max="16384" width="9" style="5"/>
  </cols>
  <sheetData>
    <row r="1" spans="1:491"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row>
    <row r="2" spans="1:491" s="459" customFormat="1" ht="42.75" customHeight="1">
      <c r="A2" s="456" t="s">
        <v>143</v>
      </c>
      <c r="B2" s="457" t="s">
        <v>144</v>
      </c>
      <c r="C2" s="831">
        <v>2012</v>
      </c>
      <c r="D2" s="831"/>
      <c r="E2" s="831"/>
      <c r="F2" s="832"/>
      <c r="G2" s="831">
        <v>2013</v>
      </c>
      <c r="H2" s="831"/>
      <c r="I2" s="831"/>
      <c r="J2" s="831"/>
      <c r="K2" s="828">
        <v>2014</v>
      </c>
      <c r="L2" s="831"/>
      <c r="M2" s="831"/>
      <c r="N2" s="832"/>
      <c r="O2" s="831">
        <v>2015</v>
      </c>
      <c r="P2" s="831"/>
      <c r="Q2" s="831"/>
      <c r="R2" s="832"/>
      <c r="S2" s="828">
        <v>2016</v>
      </c>
      <c r="T2" s="831"/>
      <c r="U2" s="831"/>
      <c r="V2" s="832"/>
      <c r="W2" s="828" t="s">
        <v>145</v>
      </c>
      <c r="X2" s="831"/>
      <c r="Y2" s="831"/>
      <c r="Z2" s="832"/>
      <c r="AA2" s="828" t="s">
        <v>146</v>
      </c>
      <c r="AB2" s="831"/>
      <c r="AC2" s="831"/>
      <c r="AD2" s="832"/>
      <c r="AE2" s="828" t="s">
        <v>147</v>
      </c>
      <c r="AF2" s="829"/>
      <c r="AG2" s="829"/>
      <c r="AH2" s="830"/>
      <c r="AI2" s="828">
        <v>2020</v>
      </c>
      <c r="AJ2" s="829"/>
      <c r="AK2" s="829"/>
      <c r="AL2" s="830"/>
      <c r="AM2" s="828">
        <v>2021</v>
      </c>
      <c r="AN2" s="829"/>
      <c r="AO2" s="829"/>
      <c r="AP2" s="830"/>
      <c r="AQ2" s="828">
        <v>2022</v>
      </c>
      <c r="AR2" s="829"/>
      <c r="AS2" s="829"/>
      <c r="AT2" s="830"/>
      <c r="AU2" s="458"/>
      <c r="AV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58"/>
      <c r="EI2" s="458"/>
      <c r="EJ2" s="458"/>
      <c r="EK2" s="458"/>
      <c r="EL2" s="458"/>
      <c r="EM2" s="458"/>
      <c r="EN2" s="458"/>
      <c r="EO2" s="458"/>
      <c r="EP2" s="458"/>
      <c r="EQ2" s="458"/>
      <c r="ER2" s="458"/>
      <c r="ES2" s="458"/>
      <c r="ET2" s="458"/>
      <c r="EU2" s="458"/>
      <c r="EV2" s="458"/>
      <c r="EW2" s="458"/>
      <c r="EX2" s="458"/>
      <c r="EY2" s="458"/>
      <c r="EZ2" s="458"/>
      <c r="FA2" s="458"/>
      <c r="FB2" s="458"/>
      <c r="FC2" s="458"/>
      <c r="FD2" s="458"/>
      <c r="FE2" s="458"/>
      <c r="FF2" s="458"/>
      <c r="FG2" s="458"/>
      <c r="FH2" s="458"/>
      <c r="FI2" s="458"/>
      <c r="FJ2" s="458"/>
      <c r="FK2" s="458"/>
      <c r="FL2" s="458"/>
      <c r="FM2" s="458"/>
      <c r="FN2" s="458"/>
      <c r="FO2" s="458"/>
      <c r="FP2" s="458"/>
      <c r="FQ2" s="458"/>
      <c r="FR2" s="458"/>
      <c r="FS2" s="458"/>
      <c r="FT2" s="458"/>
      <c r="FU2" s="458"/>
      <c r="FV2" s="458"/>
      <c r="FW2" s="458"/>
      <c r="FX2" s="458"/>
      <c r="FY2" s="458"/>
      <c r="FZ2" s="458"/>
      <c r="GA2" s="458"/>
      <c r="GB2" s="458"/>
      <c r="GC2" s="458"/>
      <c r="GD2" s="458"/>
      <c r="GE2" s="458"/>
      <c r="GF2" s="458"/>
      <c r="GG2" s="458"/>
      <c r="GH2" s="458"/>
      <c r="GI2" s="458"/>
      <c r="GJ2" s="458"/>
      <c r="GK2" s="458"/>
      <c r="GL2" s="458"/>
      <c r="GM2" s="458"/>
      <c r="GN2" s="458"/>
      <c r="GO2" s="458"/>
      <c r="GP2" s="458"/>
      <c r="GQ2" s="458"/>
      <c r="GR2" s="458"/>
      <c r="GS2" s="458"/>
      <c r="GT2" s="458"/>
      <c r="GU2" s="458"/>
      <c r="GV2" s="458"/>
      <c r="GW2" s="458"/>
      <c r="GX2" s="458"/>
      <c r="GY2" s="458"/>
      <c r="GZ2" s="458"/>
      <c r="HA2" s="458"/>
      <c r="HB2" s="458"/>
      <c r="HC2" s="458"/>
      <c r="HD2" s="458"/>
      <c r="HE2" s="458"/>
      <c r="HF2" s="458"/>
      <c r="HG2" s="458"/>
      <c r="HH2" s="458"/>
      <c r="HI2" s="458"/>
      <c r="HJ2" s="458"/>
      <c r="HK2" s="458"/>
      <c r="HL2" s="458"/>
      <c r="HM2" s="458"/>
      <c r="HN2" s="458"/>
      <c r="HO2" s="458"/>
      <c r="HP2" s="458"/>
      <c r="HQ2" s="458"/>
      <c r="HR2" s="458"/>
      <c r="HS2" s="458"/>
      <c r="HT2" s="458"/>
      <c r="HU2" s="458"/>
      <c r="HV2" s="458"/>
      <c r="HW2" s="458"/>
      <c r="HX2" s="458"/>
      <c r="HY2" s="458"/>
      <c r="HZ2" s="458"/>
      <c r="IA2" s="458"/>
      <c r="IB2" s="458"/>
      <c r="IC2" s="458"/>
      <c r="ID2" s="458"/>
      <c r="IE2" s="458"/>
      <c r="IF2" s="458"/>
      <c r="IG2" s="458"/>
      <c r="IH2" s="458"/>
      <c r="II2" s="458"/>
      <c r="IJ2" s="458"/>
      <c r="IK2" s="458"/>
      <c r="IL2" s="458"/>
      <c r="IM2" s="458"/>
      <c r="IN2" s="458"/>
      <c r="IO2" s="458"/>
      <c r="IP2" s="458"/>
      <c r="IQ2" s="458"/>
      <c r="IR2" s="458"/>
      <c r="IS2" s="458"/>
      <c r="IT2" s="458"/>
      <c r="IU2" s="458"/>
      <c r="IV2" s="458"/>
      <c r="IW2" s="458"/>
      <c r="IX2" s="458"/>
      <c r="IY2" s="458"/>
      <c r="IZ2" s="458"/>
      <c r="JA2" s="458"/>
      <c r="JB2" s="458"/>
      <c r="JC2" s="458"/>
      <c r="JD2" s="458"/>
      <c r="JE2" s="458"/>
      <c r="JF2" s="458"/>
      <c r="JG2" s="458"/>
      <c r="JH2" s="458"/>
      <c r="JI2" s="458"/>
      <c r="JJ2" s="458"/>
      <c r="JK2" s="458"/>
      <c r="JL2" s="458"/>
      <c r="JM2" s="458"/>
      <c r="JN2" s="458"/>
      <c r="JO2" s="458"/>
      <c r="JP2" s="458"/>
      <c r="JQ2" s="458"/>
      <c r="JR2" s="458"/>
      <c r="JS2" s="458"/>
      <c r="JT2" s="458"/>
      <c r="JU2" s="458"/>
      <c r="JV2" s="458"/>
      <c r="JW2" s="458"/>
      <c r="JX2" s="458"/>
      <c r="JY2" s="458"/>
      <c r="JZ2" s="458"/>
      <c r="KA2" s="458"/>
      <c r="KB2" s="458"/>
      <c r="KC2" s="458"/>
      <c r="KD2" s="458"/>
      <c r="KE2" s="458"/>
      <c r="KF2" s="458"/>
      <c r="KG2" s="458"/>
      <c r="KH2" s="458"/>
      <c r="KI2" s="458"/>
      <c r="KJ2" s="458"/>
      <c r="KK2" s="458"/>
      <c r="KL2" s="458"/>
      <c r="KM2" s="458"/>
      <c r="KN2" s="458"/>
      <c r="KO2" s="458"/>
      <c r="KP2" s="458"/>
      <c r="KQ2" s="458"/>
      <c r="KR2" s="458"/>
      <c r="KS2" s="458"/>
      <c r="KT2" s="458"/>
      <c r="KU2" s="458"/>
      <c r="KV2" s="458"/>
      <c r="KW2" s="458"/>
      <c r="KX2" s="458"/>
      <c r="KY2" s="458"/>
      <c r="KZ2" s="458"/>
      <c r="LA2" s="458"/>
      <c r="LB2" s="458"/>
      <c r="LC2" s="458"/>
      <c r="LD2" s="458"/>
      <c r="LE2" s="458"/>
      <c r="LF2" s="458"/>
      <c r="LG2" s="458"/>
      <c r="LH2" s="458"/>
      <c r="LI2" s="458"/>
      <c r="LJ2" s="458"/>
      <c r="LK2" s="458"/>
      <c r="LL2" s="458"/>
      <c r="LM2" s="458"/>
      <c r="LN2" s="458"/>
      <c r="LO2" s="458"/>
      <c r="LP2" s="458"/>
      <c r="LQ2" s="458"/>
      <c r="LR2" s="458"/>
      <c r="LS2" s="458"/>
      <c r="LT2" s="458"/>
      <c r="LU2" s="458"/>
      <c r="LV2" s="458"/>
      <c r="LW2" s="458"/>
      <c r="LX2" s="458"/>
      <c r="LY2" s="458"/>
      <c r="LZ2" s="458"/>
      <c r="MA2" s="458"/>
      <c r="MB2" s="458"/>
      <c r="MC2" s="458"/>
      <c r="MD2" s="458"/>
      <c r="ME2" s="458"/>
      <c r="MF2" s="458"/>
      <c r="MG2" s="458"/>
      <c r="MH2" s="458"/>
      <c r="MI2" s="458"/>
      <c r="MJ2" s="458"/>
      <c r="MK2" s="458"/>
      <c r="ML2" s="458"/>
      <c r="MM2" s="458"/>
      <c r="MN2" s="458"/>
      <c r="MO2" s="458"/>
      <c r="MP2" s="458"/>
      <c r="MQ2" s="458"/>
      <c r="MR2" s="458"/>
      <c r="MS2" s="458"/>
      <c r="MT2" s="458"/>
      <c r="MU2" s="458"/>
      <c r="MV2" s="458"/>
      <c r="MW2" s="458"/>
      <c r="MX2" s="458"/>
      <c r="MY2" s="458"/>
      <c r="MZ2" s="458"/>
      <c r="NA2" s="458"/>
      <c r="NB2" s="458"/>
      <c r="NC2" s="458"/>
      <c r="ND2" s="458"/>
      <c r="NE2" s="458"/>
      <c r="NF2" s="458"/>
      <c r="NG2" s="458"/>
      <c r="NH2" s="458"/>
      <c r="NI2" s="458"/>
      <c r="NJ2" s="458"/>
      <c r="NK2" s="458"/>
      <c r="NL2" s="458"/>
      <c r="NM2" s="458"/>
      <c r="NN2" s="458"/>
      <c r="NO2" s="458"/>
      <c r="NP2" s="458"/>
      <c r="NQ2" s="458"/>
      <c r="NR2" s="458"/>
      <c r="NS2" s="458"/>
      <c r="NT2" s="458"/>
      <c r="NU2" s="458"/>
      <c r="NV2" s="458"/>
      <c r="NW2" s="458"/>
      <c r="NX2" s="458"/>
      <c r="NY2" s="458"/>
      <c r="NZ2" s="458"/>
      <c r="OA2" s="458"/>
      <c r="OB2" s="458"/>
      <c r="OC2" s="458"/>
      <c r="OD2" s="458"/>
      <c r="OE2" s="458"/>
      <c r="OF2" s="458"/>
      <c r="OG2" s="458"/>
      <c r="OH2" s="458"/>
      <c r="OI2" s="458"/>
      <c r="OJ2" s="458"/>
      <c r="OK2" s="458"/>
      <c r="OL2" s="458"/>
      <c r="OM2" s="458"/>
      <c r="ON2" s="458"/>
      <c r="OO2" s="458"/>
      <c r="OP2" s="458"/>
      <c r="OQ2" s="458"/>
      <c r="OR2" s="458"/>
      <c r="OS2" s="458"/>
      <c r="OT2" s="458"/>
      <c r="OU2" s="458"/>
      <c r="OV2" s="458"/>
      <c r="OW2" s="458"/>
      <c r="OX2" s="458"/>
      <c r="OY2" s="458"/>
      <c r="OZ2" s="458"/>
      <c r="PA2" s="458"/>
      <c r="PB2" s="458"/>
      <c r="PC2" s="458"/>
      <c r="PD2" s="458"/>
      <c r="PE2" s="458"/>
      <c r="PF2" s="458"/>
      <c r="PG2" s="458"/>
      <c r="PH2" s="458"/>
      <c r="PI2" s="458"/>
      <c r="PJ2" s="458"/>
      <c r="PK2" s="458"/>
      <c r="PL2" s="458"/>
      <c r="PM2" s="458"/>
      <c r="PN2" s="458"/>
      <c r="PO2" s="458"/>
      <c r="PP2" s="458"/>
      <c r="PQ2" s="458"/>
      <c r="PR2" s="458"/>
      <c r="PS2" s="458"/>
      <c r="PT2" s="458"/>
      <c r="PU2" s="458"/>
      <c r="PV2" s="458"/>
      <c r="PW2" s="458"/>
      <c r="PX2" s="458"/>
      <c r="PY2" s="458"/>
      <c r="PZ2" s="458"/>
      <c r="QA2" s="458"/>
      <c r="QB2" s="458"/>
      <c r="QC2" s="458"/>
      <c r="QD2" s="458"/>
      <c r="QE2" s="458"/>
      <c r="QF2" s="458"/>
      <c r="QG2" s="458"/>
      <c r="QH2" s="458"/>
      <c r="QI2" s="458"/>
      <c r="QJ2" s="458"/>
      <c r="QK2" s="458"/>
      <c r="QL2" s="458"/>
      <c r="QM2" s="458"/>
      <c r="QN2" s="458"/>
      <c r="QO2" s="458"/>
      <c r="QP2" s="458"/>
      <c r="QQ2" s="458"/>
      <c r="QR2" s="458"/>
      <c r="QS2" s="458"/>
      <c r="QT2" s="458"/>
      <c r="QU2" s="458"/>
      <c r="QV2" s="458"/>
      <c r="QW2" s="458"/>
      <c r="QX2" s="458"/>
      <c r="QY2" s="458"/>
      <c r="QZ2" s="458"/>
      <c r="RA2" s="458"/>
      <c r="RB2" s="458"/>
      <c r="RC2" s="458"/>
      <c r="RD2" s="458"/>
      <c r="RE2" s="458"/>
      <c r="RF2" s="458"/>
      <c r="RG2" s="458"/>
      <c r="RH2" s="458"/>
      <c r="RI2" s="458"/>
      <c r="RJ2" s="458"/>
      <c r="RK2" s="458"/>
      <c r="RL2" s="458"/>
      <c r="RM2" s="458"/>
      <c r="RN2" s="458"/>
      <c r="RO2" s="458"/>
      <c r="RP2" s="458"/>
      <c r="RQ2" s="458"/>
      <c r="RR2" s="458"/>
      <c r="RS2" s="458"/>
      <c r="RT2" s="458"/>
      <c r="RU2" s="458"/>
      <c r="RV2" s="458"/>
      <c r="RW2" s="458"/>
    </row>
    <row r="3" spans="1:491" s="466" customFormat="1" ht="15">
      <c r="A3" s="460" t="s">
        <v>17</v>
      </c>
      <c r="B3" s="460" t="s">
        <v>17</v>
      </c>
      <c r="C3" s="461" t="s">
        <v>148</v>
      </c>
      <c r="D3" s="462" t="s">
        <v>149</v>
      </c>
      <c r="E3" s="462" t="s">
        <v>150</v>
      </c>
      <c r="F3" s="463" t="s">
        <v>151</v>
      </c>
      <c r="G3" s="462" t="s">
        <v>148</v>
      </c>
      <c r="H3" s="462" t="s">
        <v>149</v>
      </c>
      <c r="I3" s="462" t="s">
        <v>150</v>
      </c>
      <c r="J3" s="463" t="s">
        <v>151</v>
      </c>
      <c r="K3" s="461" t="s">
        <v>148</v>
      </c>
      <c r="L3" s="462" t="s">
        <v>149</v>
      </c>
      <c r="M3" s="462" t="s">
        <v>150</v>
      </c>
      <c r="N3" s="464" t="s">
        <v>152</v>
      </c>
      <c r="O3" s="462" t="s">
        <v>148</v>
      </c>
      <c r="P3" s="462" t="s">
        <v>149</v>
      </c>
      <c r="Q3" s="462" t="s">
        <v>150</v>
      </c>
      <c r="R3" s="463" t="s">
        <v>151</v>
      </c>
      <c r="S3" s="462" t="s">
        <v>148</v>
      </c>
      <c r="T3" s="462" t="s">
        <v>149</v>
      </c>
      <c r="U3" s="462" t="s">
        <v>150</v>
      </c>
      <c r="V3" s="463" t="s">
        <v>151</v>
      </c>
      <c r="W3" s="462" t="s">
        <v>148</v>
      </c>
      <c r="X3" s="462" t="s">
        <v>149</v>
      </c>
      <c r="Y3" s="462" t="s">
        <v>150</v>
      </c>
      <c r="Z3" s="463" t="s">
        <v>151</v>
      </c>
      <c r="AA3" s="465" t="s">
        <v>148</v>
      </c>
      <c r="AB3" s="462" t="s">
        <v>149</v>
      </c>
      <c r="AC3" s="462" t="s">
        <v>150</v>
      </c>
      <c r="AD3" s="463" t="s">
        <v>151</v>
      </c>
      <c r="AE3" s="465" t="s">
        <v>148</v>
      </c>
      <c r="AF3" s="462" t="s">
        <v>149</v>
      </c>
      <c r="AG3" s="462" t="s">
        <v>150</v>
      </c>
      <c r="AH3" s="463" t="s">
        <v>151</v>
      </c>
      <c r="AI3" s="465" t="s">
        <v>148</v>
      </c>
      <c r="AJ3" s="462" t="s">
        <v>149</v>
      </c>
      <c r="AK3" s="462" t="s">
        <v>150</v>
      </c>
      <c r="AL3" s="463" t="s">
        <v>151</v>
      </c>
      <c r="AM3" s="465" t="s">
        <v>148</v>
      </c>
      <c r="AN3" s="462" t="s">
        <v>149</v>
      </c>
      <c r="AO3" s="462" t="s">
        <v>150</v>
      </c>
      <c r="AP3" s="463" t="s">
        <v>151</v>
      </c>
      <c r="AQ3" s="465" t="s">
        <v>148</v>
      </c>
      <c r="AR3" s="462" t="s">
        <v>149</v>
      </c>
      <c r="AS3" s="462" t="s">
        <v>150</v>
      </c>
      <c r="AT3" s="463" t="s">
        <v>151</v>
      </c>
    </row>
    <row r="4" spans="1:491" s="471" customFormat="1" ht="16.5" customHeight="1">
      <c r="A4" s="467"/>
      <c r="B4" s="468"/>
      <c r="C4" s="469" t="s">
        <v>153</v>
      </c>
      <c r="D4" s="469" t="s">
        <v>154</v>
      </c>
      <c r="E4" s="426" t="s">
        <v>155</v>
      </c>
      <c r="F4" s="470" t="s">
        <v>156</v>
      </c>
      <c r="G4" s="469" t="s">
        <v>153</v>
      </c>
      <c r="H4" s="469" t="s">
        <v>154</v>
      </c>
      <c r="I4" s="426" t="s">
        <v>155</v>
      </c>
      <c r="J4" s="470" t="s">
        <v>156</v>
      </c>
      <c r="K4" s="469" t="s">
        <v>153</v>
      </c>
      <c r="L4" s="469" t="s">
        <v>154</v>
      </c>
      <c r="M4" s="426" t="s">
        <v>155</v>
      </c>
      <c r="N4" s="470" t="s">
        <v>157</v>
      </c>
      <c r="O4" s="469" t="s">
        <v>153</v>
      </c>
      <c r="P4" s="469" t="s">
        <v>154</v>
      </c>
      <c r="Q4" s="426" t="s">
        <v>155</v>
      </c>
      <c r="R4" s="470" t="s">
        <v>156</v>
      </c>
      <c r="S4" s="469" t="s">
        <v>153</v>
      </c>
      <c r="T4" s="469" t="s">
        <v>154</v>
      </c>
      <c r="U4" s="426" t="s">
        <v>155</v>
      </c>
      <c r="V4" s="470" t="s">
        <v>156</v>
      </c>
      <c r="W4" s="469" t="s">
        <v>153</v>
      </c>
      <c r="X4" s="469" t="s">
        <v>154</v>
      </c>
      <c r="Y4" s="426" t="s">
        <v>155</v>
      </c>
      <c r="Z4" s="470" t="s">
        <v>156</v>
      </c>
      <c r="AA4" s="469" t="s">
        <v>153</v>
      </c>
      <c r="AB4" s="469" t="s">
        <v>154</v>
      </c>
      <c r="AC4" s="426" t="s">
        <v>155</v>
      </c>
      <c r="AD4" s="470" t="s">
        <v>156</v>
      </c>
      <c r="AE4" s="469" t="s">
        <v>153</v>
      </c>
      <c r="AF4" s="469" t="s">
        <v>154</v>
      </c>
      <c r="AG4" s="426" t="s">
        <v>155</v>
      </c>
      <c r="AH4" s="470" t="s">
        <v>156</v>
      </c>
      <c r="AI4" s="469" t="s">
        <v>153</v>
      </c>
      <c r="AJ4" s="469" t="s">
        <v>154</v>
      </c>
      <c r="AK4" s="426" t="s">
        <v>155</v>
      </c>
      <c r="AL4" s="470" t="s">
        <v>156</v>
      </c>
      <c r="AM4" s="469" t="s">
        <v>153</v>
      </c>
      <c r="AN4" s="469" t="s">
        <v>154</v>
      </c>
      <c r="AO4" s="426" t="s">
        <v>155</v>
      </c>
      <c r="AP4" s="470" t="s">
        <v>156</v>
      </c>
      <c r="AQ4" s="469" t="s">
        <v>153</v>
      </c>
      <c r="AR4" s="469" t="s">
        <v>154</v>
      </c>
      <c r="AS4" s="426" t="s">
        <v>155</v>
      </c>
      <c r="AT4" s="470" t="s">
        <v>156</v>
      </c>
    </row>
    <row r="5" spans="1:491" s="402" customFormat="1" ht="38.25" customHeight="1">
      <c r="A5" s="400" t="s">
        <v>158</v>
      </c>
      <c r="B5" s="401" t="s">
        <v>159</v>
      </c>
      <c r="C5" s="453"/>
      <c r="D5" s="453"/>
      <c r="E5" s="454"/>
      <c r="F5" s="455"/>
      <c r="G5" s="453"/>
      <c r="H5" s="453"/>
      <c r="I5" s="454"/>
      <c r="J5" s="455"/>
      <c r="K5" s="453"/>
      <c r="L5" s="453"/>
      <c r="M5" s="454"/>
      <c r="N5" s="455"/>
      <c r="O5" s="453"/>
      <c r="P5" s="453"/>
      <c r="Q5" s="454"/>
      <c r="R5" s="455"/>
      <c r="S5" s="453"/>
      <c r="T5" s="453"/>
      <c r="U5" s="454"/>
      <c r="V5" s="455"/>
      <c r="W5" s="453"/>
      <c r="X5" s="453"/>
      <c r="Y5" s="454"/>
      <c r="Z5" s="455"/>
      <c r="AA5" s="453"/>
      <c r="AB5" s="453"/>
      <c r="AC5" s="454"/>
      <c r="AD5" s="455"/>
      <c r="AE5" s="453"/>
      <c r="AF5" s="453"/>
      <c r="AG5" s="454"/>
      <c r="AH5" s="455"/>
      <c r="AI5" s="453"/>
      <c r="AJ5" s="453"/>
      <c r="AK5" s="454"/>
      <c r="AL5" s="455"/>
      <c r="AM5" s="453"/>
      <c r="AN5" s="453"/>
      <c r="AO5" s="454"/>
      <c r="AP5" s="455"/>
      <c r="AQ5" s="453"/>
      <c r="AR5" s="453"/>
      <c r="AS5" s="454"/>
      <c r="AT5" s="455"/>
    </row>
    <row r="6" spans="1:491" s="7" customFormat="1" ht="20.100000000000001" customHeight="1">
      <c r="A6" s="27" t="s">
        <v>160</v>
      </c>
      <c r="B6" s="128" t="s">
        <v>161</v>
      </c>
      <c r="C6" s="17">
        <f>415.308</f>
        <v>415.30799999999999</v>
      </c>
      <c r="D6" s="17">
        <f>419.479</f>
        <v>419.47899999999998</v>
      </c>
      <c r="E6" s="30">
        <f>(425068)*0.001</f>
        <v>425.06799999999998</v>
      </c>
      <c r="F6" s="213">
        <f>(420060)*0.001</f>
        <v>420.06</v>
      </c>
      <c r="G6" s="30">
        <f>(419894)*0.001</f>
        <v>419.89400000000001</v>
      </c>
      <c r="H6" s="30">
        <f>(418521)*0.001</f>
        <v>418.52100000000002</v>
      </c>
      <c r="I6" s="30">
        <f>(409736)*0.001</f>
        <v>409.73599999999999</v>
      </c>
      <c r="J6" s="213">
        <f>(407579)*0.001</f>
        <v>407.57900000000001</v>
      </c>
      <c r="K6" s="40">
        <f>(395393)*0.001</f>
        <v>395.39300000000003</v>
      </c>
      <c r="L6" s="17">
        <v>384.8</v>
      </c>
      <c r="M6" s="17">
        <v>417</v>
      </c>
      <c r="N6" s="213">
        <v>421.1</v>
      </c>
      <c r="O6" s="17">
        <v>416.6</v>
      </c>
      <c r="P6" s="17">
        <v>401.1</v>
      </c>
      <c r="Q6" s="17">
        <v>377</v>
      </c>
      <c r="R6" s="213">
        <v>371</v>
      </c>
      <c r="S6" s="88">
        <v>356.7</v>
      </c>
      <c r="T6" s="88">
        <v>353.3</v>
      </c>
      <c r="U6" s="88">
        <v>350.4</v>
      </c>
      <c r="V6" s="213">
        <v>350.9</v>
      </c>
      <c r="W6" s="88">
        <v>342.2</v>
      </c>
      <c r="X6" s="88">
        <v>332.9</v>
      </c>
      <c r="Y6" s="88">
        <v>324</v>
      </c>
      <c r="Z6" s="213">
        <v>325.3</v>
      </c>
      <c r="AA6" s="88">
        <v>312.5</v>
      </c>
      <c r="AB6" s="88">
        <v>294.10000000000002</v>
      </c>
      <c r="AC6" s="88">
        <v>275.8</v>
      </c>
      <c r="AD6" s="213">
        <v>264.5</v>
      </c>
      <c r="AE6" s="88">
        <v>258.2</v>
      </c>
      <c r="AF6" s="88">
        <v>249.4</v>
      </c>
      <c r="AG6" s="34">
        <v>248.8</v>
      </c>
      <c r="AH6" s="213">
        <v>262.7</v>
      </c>
      <c r="AI6" s="88">
        <v>267.39999999999998</v>
      </c>
      <c r="AJ6" s="88">
        <v>277</v>
      </c>
      <c r="AK6" s="34">
        <v>288</v>
      </c>
      <c r="AL6" s="213">
        <v>293.39999999999998</v>
      </c>
      <c r="AM6" s="88">
        <v>297.3</v>
      </c>
      <c r="AN6" s="88">
        <v>288.60000000000002</v>
      </c>
      <c r="AO6" s="34">
        <v>279.89999999999998</v>
      </c>
      <c r="AP6" s="213">
        <v>284</v>
      </c>
      <c r="AQ6" s="88">
        <v>292.7</v>
      </c>
      <c r="AR6" s="787">
        <v>288.8</v>
      </c>
      <c r="AS6" s="34"/>
      <c r="AT6" s="213"/>
      <c r="AU6" s="754"/>
      <c r="AV6" s="755"/>
      <c r="AW6" s="783"/>
      <c r="AX6" s="784"/>
    </row>
    <row r="7" spans="1:491" s="7" customFormat="1" ht="20.100000000000001" customHeight="1">
      <c r="A7" s="27" t="s">
        <v>162</v>
      </c>
      <c r="B7" s="128" t="s">
        <v>163</v>
      </c>
      <c r="C7" s="17">
        <f>258.7</f>
        <v>258.7</v>
      </c>
      <c r="D7" s="17">
        <f>258.506</f>
        <v>258.50599999999997</v>
      </c>
      <c r="E7" s="30">
        <f>(257043)*0.001</f>
        <v>257.04300000000001</v>
      </c>
      <c r="F7" s="213">
        <f>(276407)*0.001</f>
        <v>276.40699999999998</v>
      </c>
      <c r="G7" s="30">
        <f>(266252)*0.001</f>
        <v>266.25200000000001</v>
      </c>
      <c r="H7" s="30">
        <f>(265011)*0.001</f>
        <v>265.01100000000002</v>
      </c>
      <c r="I7" s="30">
        <f>(252063)*0.001</f>
        <v>252.06300000000002</v>
      </c>
      <c r="J7" s="213">
        <f>(251152)*0.001</f>
        <v>251.15200000000002</v>
      </c>
      <c r="K7" s="40">
        <f>(248178)*0.001</f>
        <v>248.178</v>
      </c>
      <c r="L7" s="16">
        <v>3010.6</v>
      </c>
      <c r="M7" s="16">
        <v>2933.8</v>
      </c>
      <c r="N7" s="213">
        <v>2714.9</v>
      </c>
      <c r="O7" s="17">
        <v>2855.8</v>
      </c>
      <c r="P7" s="17">
        <v>2541.1999999999998</v>
      </c>
      <c r="Q7" s="16">
        <v>2535.1999999999998</v>
      </c>
      <c r="R7" s="213">
        <v>2548.6</v>
      </c>
      <c r="S7" s="88">
        <v>3002.2</v>
      </c>
      <c r="T7" s="88">
        <v>2931</v>
      </c>
      <c r="U7" s="88">
        <v>2882.8</v>
      </c>
      <c r="V7" s="213">
        <v>2964.3</v>
      </c>
      <c r="W7" s="88">
        <v>2885.9</v>
      </c>
      <c r="X7" s="88">
        <v>2904.7</v>
      </c>
      <c r="Y7" s="88">
        <v>2866.4</v>
      </c>
      <c r="Z7" s="213">
        <v>2867.1</v>
      </c>
      <c r="AA7" s="88">
        <v>2797</v>
      </c>
      <c r="AB7" s="88">
        <v>4419.8999999999996</v>
      </c>
      <c r="AC7" s="88">
        <v>4438</v>
      </c>
      <c r="AD7" s="213">
        <v>4792.2</v>
      </c>
      <c r="AE7" s="88">
        <v>4720.3</v>
      </c>
      <c r="AF7" s="88">
        <v>4782.7</v>
      </c>
      <c r="AG7" s="34">
        <v>4797.3</v>
      </c>
      <c r="AH7" s="213">
        <v>4976.8999999999996</v>
      </c>
      <c r="AI7" s="88">
        <v>5004.3</v>
      </c>
      <c r="AJ7" s="88">
        <v>5041.8</v>
      </c>
      <c r="AK7" s="34">
        <v>5135.3999999999996</v>
      </c>
      <c r="AL7" s="213">
        <v>5391</v>
      </c>
      <c r="AM7" s="88">
        <v>2877.2</v>
      </c>
      <c r="AN7" s="88">
        <v>3072.7</v>
      </c>
      <c r="AO7" s="34">
        <v>3206.2</v>
      </c>
      <c r="AP7" s="213">
        <v>3326.9</v>
      </c>
      <c r="AQ7" s="88">
        <v>3375.4</v>
      </c>
      <c r="AR7" s="787">
        <v>3566.7</v>
      </c>
      <c r="AS7" s="34"/>
      <c r="AT7" s="213"/>
      <c r="AU7" s="754"/>
      <c r="AV7" s="755"/>
      <c r="AW7" s="783"/>
      <c r="AX7" s="784"/>
    </row>
    <row r="8" spans="1:491" s="7" customFormat="1" ht="20.100000000000001" customHeight="1">
      <c r="A8" s="27" t="s">
        <v>164</v>
      </c>
      <c r="B8" s="128" t="s">
        <v>165</v>
      </c>
      <c r="C8" s="17">
        <f>2422.989</f>
        <v>2422.989</v>
      </c>
      <c r="D8" s="17">
        <f>2575.456</f>
        <v>2575.4560000000001</v>
      </c>
      <c r="E8" s="17">
        <f>(2575456)*0.001</f>
        <v>2575.4560000000001</v>
      </c>
      <c r="F8" s="214">
        <f>(2568033)*0.001</f>
        <v>2568.0329999999999</v>
      </c>
      <c r="G8" s="17">
        <f>(2568033)*0.001</f>
        <v>2568.0329999999999</v>
      </c>
      <c r="H8" s="17">
        <f>(2568033)*0.001</f>
        <v>2568.0329999999999</v>
      </c>
      <c r="I8" s="17">
        <f>(2637594)*0.001</f>
        <v>2637.5940000000001</v>
      </c>
      <c r="J8" s="214">
        <f>(2602804)*0.001</f>
        <v>2602.8040000000001</v>
      </c>
      <c r="K8" s="17">
        <f>(2602804)*0.001</f>
        <v>2602.8040000000001</v>
      </c>
      <c r="L8" s="16">
        <v>11735.5</v>
      </c>
      <c r="M8" s="16">
        <v>11735.5</v>
      </c>
      <c r="N8" s="214">
        <v>10585.3</v>
      </c>
      <c r="O8" s="17">
        <v>10831.2</v>
      </c>
      <c r="P8" s="17">
        <v>10606.4</v>
      </c>
      <c r="Q8" s="16">
        <v>10606.4</v>
      </c>
      <c r="R8" s="214">
        <v>10606.4</v>
      </c>
      <c r="S8" s="88">
        <v>11675.3</v>
      </c>
      <c r="T8" s="88">
        <v>10975.2</v>
      </c>
      <c r="U8" s="88">
        <v>10975.3</v>
      </c>
      <c r="V8" s="214">
        <v>10975.4</v>
      </c>
      <c r="W8" s="88">
        <v>10975.4</v>
      </c>
      <c r="X8" s="88">
        <v>10975.4</v>
      </c>
      <c r="Y8" s="88">
        <v>10975.4</v>
      </c>
      <c r="Z8" s="214">
        <v>11041.7</v>
      </c>
      <c r="AA8" s="88">
        <v>11060.5</v>
      </c>
      <c r="AB8" s="88">
        <v>11530</v>
      </c>
      <c r="AC8" s="88">
        <v>11519.3</v>
      </c>
      <c r="AD8" s="214">
        <v>11309.4</v>
      </c>
      <c r="AE8" s="88">
        <v>11309.4</v>
      </c>
      <c r="AF8" s="88">
        <v>11316.4</v>
      </c>
      <c r="AG8" s="34">
        <v>11316.4</v>
      </c>
      <c r="AH8" s="214">
        <v>11336.4</v>
      </c>
      <c r="AI8" s="88">
        <v>11349.5</v>
      </c>
      <c r="AJ8" s="88">
        <v>11349.5</v>
      </c>
      <c r="AK8" s="34">
        <v>11801.8</v>
      </c>
      <c r="AL8" s="214">
        <v>11808.4</v>
      </c>
      <c r="AM8" s="88">
        <v>11808.4</v>
      </c>
      <c r="AN8" s="88">
        <v>10664.9</v>
      </c>
      <c r="AO8" s="34">
        <v>10809</v>
      </c>
      <c r="AP8" s="214">
        <v>10802</v>
      </c>
      <c r="AQ8" s="88">
        <v>10831.9</v>
      </c>
      <c r="AR8" s="787">
        <v>10788</v>
      </c>
      <c r="AS8" s="34"/>
      <c r="AT8" s="214"/>
      <c r="AU8" s="754"/>
      <c r="AV8" s="755"/>
      <c r="AW8" s="783"/>
      <c r="AX8" s="784"/>
    </row>
    <row r="9" spans="1:491" s="7" customFormat="1" ht="20.100000000000001" customHeight="1">
      <c r="A9" s="27" t="s">
        <v>166</v>
      </c>
      <c r="B9" s="129" t="s">
        <v>167</v>
      </c>
      <c r="C9" s="18">
        <f>0</f>
        <v>0</v>
      </c>
      <c r="D9" s="18">
        <v>0</v>
      </c>
      <c r="E9" s="18">
        <f>0</f>
        <v>0</v>
      </c>
      <c r="F9" s="215">
        <v>0</v>
      </c>
      <c r="G9" s="18">
        <f>0</f>
        <v>0</v>
      </c>
      <c r="H9" s="18">
        <f>0</f>
        <v>0</v>
      </c>
      <c r="I9" s="18">
        <f>0</f>
        <v>0</v>
      </c>
      <c r="J9" s="215">
        <f>0</f>
        <v>0</v>
      </c>
      <c r="K9" s="31">
        <v>0</v>
      </c>
      <c r="L9" s="16">
        <v>4482</v>
      </c>
      <c r="M9" s="16">
        <v>4331.8999999999996</v>
      </c>
      <c r="N9" s="215">
        <v>4255.8</v>
      </c>
      <c r="O9" s="20">
        <v>4002.2</v>
      </c>
      <c r="P9" s="20">
        <v>3944.6</v>
      </c>
      <c r="Q9" s="16">
        <v>3791.6</v>
      </c>
      <c r="R9" s="215">
        <v>3638.5</v>
      </c>
      <c r="S9" s="34">
        <v>3488.7</v>
      </c>
      <c r="T9" s="34">
        <v>3337.3</v>
      </c>
      <c r="U9" s="34">
        <v>3184.2</v>
      </c>
      <c r="V9" s="215">
        <v>3031.2</v>
      </c>
      <c r="W9" s="34">
        <v>2883.1</v>
      </c>
      <c r="X9" s="34">
        <v>2762.8</v>
      </c>
      <c r="Y9" s="34">
        <v>2660.5</v>
      </c>
      <c r="Z9" s="215">
        <v>2557.3000000000002</v>
      </c>
      <c r="AA9" s="88">
        <v>2458.6</v>
      </c>
      <c r="AB9" s="87">
        <v>2358.6999999999998</v>
      </c>
      <c r="AC9" s="88">
        <v>2257.6999999999998</v>
      </c>
      <c r="AD9" s="215">
        <v>2212.1999999999998</v>
      </c>
      <c r="AE9" s="88">
        <v>2111.6</v>
      </c>
      <c r="AF9" s="34">
        <v>2009.9</v>
      </c>
      <c r="AG9" s="34">
        <v>1907</v>
      </c>
      <c r="AH9" s="215">
        <v>1821.4</v>
      </c>
      <c r="AI9" s="88">
        <v>1723.5</v>
      </c>
      <c r="AJ9" s="34">
        <v>1620.6</v>
      </c>
      <c r="AK9" s="34">
        <v>1516.7</v>
      </c>
      <c r="AL9" s="214">
        <v>1412.7</v>
      </c>
      <c r="AM9" s="88">
        <v>1310.9</v>
      </c>
      <c r="AN9" s="88">
        <v>1208</v>
      </c>
      <c r="AO9" s="34">
        <v>1110</v>
      </c>
      <c r="AP9" s="214">
        <v>1005.7</v>
      </c>
      <c r="AQ9" s="88">
        <v>903.6</v>
      </c>
      <c r="AR9" s="787">
        <v>858.2</v>
      </c>
      <c r="AS9" s="34"/>
      <c r="AT9" s="214"/>
      <c r="AU9" s="754"/>
      <c r="AV9" s="755"/>
      <c r="AW9" s="783"/>
      <c r="AX9" s="784"/>
    </row>
    <row r="10" spans="1:491" s="7" customFormat="1" ht="20.100000000000001" customHeight="1">
      <c r="A10" s="27" t="s">
        <v>168</v>
      </c>
      <c r="B10" s="128" t="s">
        <v>169</v>
      </c>
      <c r="C10" s="17">
        <f>840</f>
        <v>840</v>
      </c>
      <c r="D10" s="30">
        <f>(840000)*0.001</f>
        <v>840</v>
      </c>
      <c r="E10" s="30">
        <f>(840000)*0.001</f>
        <v>840</v>
      </c>
      <c r="F10" s="213">
        <f>(847800)*0.001</f>
        <v>847.80000000000007</v>
      </c>
      <c r="G10" s="30">
        <f>(847800)*0.001</f>
        <v>847.80000000000007</v>
      </c>
      <c r="H10" s="30">
        <f>(847800)*0.001</f>
        <v>847.80000000000007</v>
      </c>
      <c r="I10" s="30">
        <f>(847800)*0.001</f>
        <v>847.80000000000007</v>
      </c>
      <c r="J10" s="213">
        <f>(890800)*0.001</f>
        <v>890.80000000000007</v>
      </c>
      <c r="K10" s="40">
        <f>(890800)*0.001</f>
        <v>890.80000000000007</v>
      </c>
      <c r="L10" s="21">
        <v>890.8</v>
      </c>
      <c r="M10" s="21">
        <v>890.8</v>
      </c>
      <c r="N10" s="213">
        <v>2085.9</v>
      </c>
      <c r="O10" s="17">
        <v>1783.7</v>
      </c>
      <c r="P10" s="17">
        <v>2092.6999999999998</v>
      </c>
      <c r="Q10" s="21">
        <v>2086.6</v>
      </c>
      <c r="R10" s="213">
        <v>2080.6</v>
      </c>
      <c r="S10" s="88">
        <v>2074.6</v>
      </c>
      <c r="T10" s="88">
        <v>2068.6</v>
      </c>
      <c r="U10" s="88">
        <v>2062.5</v>
      </c>
      <c r="V10" s="213">
        <v>2056.5</v>
      </c>
      <c r="W10" s="88">
        <v>2050.5</v>
      </c>
      <c r="X10" s="88">
        <v>2044.4</v>
      </c>
      <c r="Y10" s="88">
        <v>2038.4</v>
      </c>
      <c r="Z10" s="213">
        <v>2037.1</v>
      </c>
      <c r="AA10" s="88">
        <v>2031</v>
      </c>
      <c r="AB10" s="88">
        <v>2024.8</v>
      </c>
      <c r="AC10" s="88">
        <v>2019</v>
      </c>
      <c r="AD10" s="213">
        <v>2096.1</v>
      </c>
      <c r="AE10" s="88">
        <v>2087.9</v>
      </c>
      <c r="AF10" s="88">
        <v>2079.6999999999998</v>
      </c>
      <c r="AG10" s="34">
        <v>2071.4</v>
      </c>
      <c r="AH10" s="213">
        <v>2063.1999999999998</v>
      </c>
      <c r="AI10" s="88">
        <v>2054.9</v>
      </c>
      <c r="AJ10" s="88">
        <v>2048.1999999999998</v>
      </c>
      <c r="AK10" s="34">
        <v>2040</v>
      </c>
      <c r="AL10" s="213">
        <v>2031.7</v>
      </c>
      <c r="AM10" s="88">
        <v>2023.5</v>
      </c>
      <c r="AN10" s="88">
        <v>2095.1999999999998</v>
      </c>
      <c r="AO10" s="34">
        <v>2078.5</v>
      </c>
      <c r="AP10" s="213">
        <v>2069.6</v>
      </c>
      <c r="AQ10" s="88">
        <v>2060.6</v>
      </c>
      <c r="AR10" s="787">
        <v>2079.1999999999998</v>
      </c>
      <c r="AS10" s="34"/>
      <c r="AT10" s="213"/>
      <c r="AU10" s="754"/>
      <c r="AV10" s="755"/>
      <c r="AW10" s="783"/>
      <c r="AX10" s="784"/>
    </row>
    <row r="11" spans="1:491" s="7" customFormat="1" ht="20.100000000000001" customHeight="1">
      <c r="A11" s="27" t="s">
        <v>170</v>
      </c>
      <c r="B11" s="128" t="s">
        <v>171</v>
      </c>
      <c r="C11" s="17">
        <f>69.466</f>
        <v>69.465999999999994</v>
      </c>
      <c r="D11" s="30">
        <f>(69627)*0.001</f>
        <v>69.626999999999995</v>
      </c>
      <c r="E11" s="30">
        <f>(68459)*0.001</f>
        <v>68.459000000000003</v>
      </c>
      <c r="F11" s="213">
        <f>(81380)*0.001</f>
        <v>81.38</v>
      </c>
      <c r="G11" s="30">
        <f>(82841)*0.001</f>
        <v>82.841000000000008</v>
      </c>
      <c r="H11" s="30">
        <f>(83804)*0.001</f>
        <v>83.804000000000002</v>
      </c>
      <c r="I11" s="30">
        <f>(115337)*0.001</f>
        <v>115.337</v>
      </c>
      <c r="J11" s="213">
        <f>(137401)*0.001</f>
        <v>137.40100000000001</v>
      </c>
      <c r="K11" s="40">
        <f>(136697)*0.001</f>
        <v>136.697</v>
      </c>
      <c r="L11" s="16">
        <v>2360.6</v>
      </c>
      <c r="M11" s="16">
        <v>2624.2</v>
      </c>
      <c r="N11" s="213">
        <v>2591.4</v>
      </c>
      <c r="O11" s="17">
        <v>2527.5</v>
      </c>
      <c r="P11" s="17">
        <v>2525.8000000000002</v>
      </c>
      <c r="Q11" s="16">
        <v>2464.1999999999998</v>
      </c>
      <c r="R11" s="213">
        <v>2422.1999999999998</v>
      </c>
      <c r="S11" s="88">
        <v>2988.7</v>
      </c>
      <c r="T11" s="88">
        <v>3903</v>
      </c>
      <c r="U11" s="88">
        <v>3769.5</v>
      </c>
      <c r="V11" s="213">
        <v>3656.2</v>
      </c>
      <c r="W11" s="88">
        <v>3540.5</v>
      </c>
      <c r="X11" s="88">
        <v>3471.1</v>
      </c>
      <c r="Y11" s="88">
        <v>3343.6</v>
      </c>
      <c r="Z11" s="213">
        <v>3261.5</v>
      </c>
      <c r="AA11" s="88">
        <v>3146.4</v>
      </c>
      <c r="AB11" s="88">
        <v>3097.5</v>
      </c>
      <c r="AC11" s="88">
        <v>3015.6</v>
      </c>
      <c r="AD11" s="213">
        <v>3005.5</v>
      </c>
      <c r="AE11" s="88">
        <v>2967.8</v>
      </c>
      <c r="AF11" s="88">
        <v>2943.7</v>
      </c>
      <c r="AG11" s="34">
        <v>2911.7</v>
      </c>
      <c r="AH11" s="213">
        <v>2857.8</v>
      </c>
      <c r="AI11" s="88">
        <v>2749.9</v>
      </c>
      <c r="AJ11" s="88">
        <v>2648.1</v>
      </c>
      <c r="AK11" s="34">
        <v>2602.3000000000002</v>
      </c>
      <c r="AL11" s="213">
        <v>2616.4</v>
      </c>
      <c r="AM11" s="88">
        <v>2503.3000000000002</v>
      </c>
      <c r="AN11" s="88">
        <v>2462.9</v>
      </c>
      <c r="AO11" s="34">
        <v>2400.1</v>
      </c>
      <c r="AP11" s="213">
        <v>2374.1</v>
      </c>
      <c r="AQ11" s="88">
        <v>2299.9</v>
      </c>
      <c r="AR11" s="787">
        <v>2228.9</v>
      </c>
      <c r="AS11" s="34"/>
      <c r="AT11" s="213"/>
      <c r="AU11" s="754"/>
      <c r="AV11" s="755"/>
      <c r="AW11" s="783"/>
      <c r="AX11" s="784"/>
    </row>
    <row r="12" spans="1:491" s="7" customFormat="1" ht="20.100000000000001" customHeight="1">
      <c r="A12" s="27" t="s">
        <v>172</v>
      </c>
      <c r="B12" s="130" t="s">
        <v>173</v>
      </c>
      <c r="C12" s="17"/>
      <c r="D12" s="30"/>
      <c r="E12" s="30"/>
      <c r="F12" s="213"/>
      <c r="G12" s="30"/>
      <c r="H12" s="30"/>
      <c r="I12" s="30"/>
      <c r="J12" s="213"/>
      <c r="K12" s="40"/>
      <c r="L12" s="16"/>
      <c r="M12" s="16"/>
      <c r="N12" s="213"/>
      <c r="O12" s="17"/>
      <c r="P12" s="17"/>
      <c r="Q12" s="16"/>
      <c r="R12" s="213"/>
      <c r="S12" s="88"/>
      <c r="T12" s="88"/>
      <c r="U12" s="88"/>
      <c r="V12" s="213"/>
      <c r="W12" s="88"/>
      <c r="X12" s="88"/>
      <c r="Y12" s="88"/>
      <c r="Z12" s="213"/>
      <c r="AA12" s="88"/>
      <c r="AB12" s="88"/>
      <c r="AC12" s="88"/>
      <c r="AD12" s="213"/>
      <c r="AE12" s="88">
        <v>1482</v>
      </c>
      <c r="AF12" s="88">
        <v>1408.2</v>
      </c>
      <c r="AG12" s="34">
        <v>1340.8</v>
      </c>
      <c r="AH12" s="213">
        <v>1420.3</v>
      </c>
      <c r="AI12" s="88">
        <v>1383.8</v>
      </c>
      <c r="AJ12" s="88">
        <v>1410.2</v>
      </c>
      <c r="AK12" s="34">
        <v>1398.7</v>
      </c>
      <c r="AL12" s="213">
        <v>1519.4</v>
      </c>
      <c r="AM12" s="88">
        <v>727</v>
      </c>
      <c r="AN12" s="88">
        <v>712.6</v>
      </c>
      <c r="AO12" s="34">
        <v>685.2</v>
      </c>
      <c r="AP12" s="213">
        <v>696.5</v>
      </c>
      <c r="AQ12" s="88">
        <v>671.8</v>
      </c>
      <c r="AR12" s="787">
        <v>545.79999999999995</v>
      </c>
      <c r="AS12" s="34"/>
      <c r="AT12" s="213"/>
      <c r="AU12" s="754"/>
      <c r="AV12" s="755"/>
      <c r="AW12" s="783"/>
      <c r="AX12" s="784"/>
    </row>
    <row r="13" spans="1:491" s="7" customFormat="1" ht="20.100000000000001" customHeight="1">
      <c r="A13" s="27" t="s">
        <v>174</v>
      </c>
      <c r="B13" s="128" t="s">
        <v>175</v>
      </c>
      <c r="C13" s="17">
        <f>91.415</f>
        <v>91.415000000000006</v>
      </c>
      <c r="D13" s="30">
        <f>(95405)*0.001</f>
        <v>95.405000000000001</v>
      </c>
      <c r="E13" s="30">
        <f>(95323)*0.001</f>
        <v>95.323000000000008</v>
      </c>
      <c r="F13" s="213">
        <f>(97988)*0.001</f>
        <v>97.988</v>
      </c>
      <c r="G13" s="30">
        <f>(104074)*0.001</f>
        <v>104.074</v>
      </c>
      <c r="H13" s="30">
        <f>(115904)*0.001</f>
        <v>115.904</v>
      </c>
      <c r="I13" s="30">
        <f>(82162)*0.001</f>
        <v>82.162000000000006</v>
      </c>
      <c r="J13" s="213">
        <f>(71571)*0.001</f>
        <v>71.570999999999998</v>
      </c>
      <c r="K13" s="40">
        <f>(107548)*0.001</f>
        <v>107.548</v>
      </c>
      <c r="L13" s="21">
        <v>128.1</v>
      </c>
      <c r="M13" s="21">
        <v>148.80000000000001</v>
      </c>
      <c r="N13" s="213">
        <v>135.80000000000001</v>
      </c>
      <c r="O13" s="17">
        <v>158.69999999999999</v>
      </c>
      <c r="P13" s="17">
        <v>174.6</v>
      </c>
      <c r="Q13" s="21">
        <v>109</v>
      </c>
      <c r="R13" s="213">
        <v>145</v>
      </c>
      <c r="S13" s="88">
        <v>129.80000000000001</v>
      </c>
      <c r="T13" s="88">
        <v>156.19999999999999</v>
      </c>
      <c r="U13" s="88">
        <v>125.6</v>
      </c>
      <c r="V13" s="213">
        <v>151.80000000000001</v>
      </c>
      <c r="W13" s="88">
        <v>150</v>
      </c>
      <c r="X13" s="88">
        <v>167.3</v>
      </c>
      <c r="Y13" s="88">
        <v>180.5</v>
      </c>
      <c r="Z13" s="213">
        <v>170.1</v>
      </c>
      <c r="AA13" s="88">
        <v>170.1</v>
      </c>
      <c r="AB13" s="88">
        <v>211.1</v>
      </c>
      <c r="AC13" s="88">
        <v>584.29999999999995</v>
      </c>
      <c r="AD13" s="213">
        <v>503.8</v>
      </c>
      <c r="AE13" s="88">
        <v>474</v>
      </c>
      <c r="AF13" s="88">
        <v>517.5</v>
      </c>
      <c r="AG13" s="34">
        <v>445.4</v>
      </c>
      <c r="AH13" s="213">
        <v>402.6</v>
      </c>
      <c r="AI13" s="88">
        <v>330.4</v>
      </c>
      <c r="AJ13" s="88">
        <v>270.8</v>
      </c>
      <c r="AK13" s="34">
        <v>261.60000000000002</v>
      </c>
      <c r="AL13" s="213">
        <v>282.5</v>
      </c>
      <c r="AM13" s="88">
        <v>290.5</v>
      </c>
      <c r="AN13" s="88">
        <v>243.3</v>
      </c>
      <c r="AO13" s="34">
        <v>542.29999999999995</v>
      </c>
      <c r="AP13" s="213">
        <v>739.4</v>
      </c>
      <c r="AQ13" s="88">
        <v>460.9</v>
      </c>
      <c r="AR13" s="787">
        <v>606</v>
      </c>
      <c r="AS13" s="34"/>
      <c r="AT13" s="213"/>
      <c r="AU13" s="754"/>
      <c r="AV13" s="755"/>
      <c r="AW13" s="783"/>
      <c r="AX13" s="784"/>
      <c r="AY13" s="754"/>
    </row>
    <row r="14" spans="1:491" s="7" customFormat="1" ht="20.100000000000001" customHeight="1">
      <c r="A14" s="27" t="s">
        <v>176</v>
      </c>
      <c r="B14" s="128" t="s">
        <v>177</v>
      </c>
      <c r="C14" s="17">
        <f>8.419</f>
        <v>8.4190000000000005</v>
      </c>
      <c r="D14" s="30">
        <f>(8398)*0.001</f>
        <v>8.3979999999999997</v>
      </c>
      <c r="E14" s="30">
        <f>(8378)*0.001</f>
        <v>8.3780000000000001</v>
      </c>
      <c r="F14" s="213">
        <f>(8357)*0.001</f>
        <v>8.3569999999999993</v>
      </c>
      <c r="G14" s="30">
        <f>(8336)*0.001</f>
        <v>8.3360000000000003</v>
      </c>
      <c r="H14" s="30">
        <f>(7788)*0.001</f>
        <v>7.7880000000000003</v>
      </c>
      <c r="I14" s="30">
        <f>(7427)*0.001</f>
        <v>7.4270000000000005</v>
      </c>
      <c r="J14" s="213">
        <f>(5330)*0.001</f>
        <v>5.33</v>
      </c>
      <c r="K14" s="40">
        <f>(5315)*0.001</f>
        <v>5.3150000000000004</v>
      </c>
      <c r="L14" s="21">
        <v>5.3</v>
      </c>
      <c r="M14" s="21">
        <v>5.3</v>
      </c>
      <c r="N14" s="213">
        <v>5.3</v>
      </c>
      <c r="O14" s="17">
        <v>5.2</v>
      </c>
      <c r="P14" s="17">
        <v>5.2</v>
      </c>
      <c r="Q14" s="21">
        <v>5.2</v>
      </c>
      <c r="R14" s="213">
        <v>5.2</v>
      </c>
      <c r="S14" s="88">
        <v>5.2</v>
      </c>
      <c r="T14" s="88">
        <v>5.2</v>
      </c>
      <c r="U14" s="88">
        <v>5.2</v>
      </c>
      <c r="V14" s="213">
        <v>5.0999999999999996</v>
      </c>
      <c r="W14" s="88">
        <v>5.0999999999999996</v>
      </c>
      <c r="X14" s="88">
        <v>5.0999999999999996</v>
      </c>
      <c r="Y14" s="88">
        <v>5.0999999999999996</v>
      </c>
      <c r="Z14" s="213">
        <v>5.0999999999999996</v>
      </c>
      <c r="AA14" s="88">
        <v>5.0999999999999996</v>
      </c>
      <c r="AB14" s="88">
        <v>30</v>
      </c>
      <c r="AC14" s="88">
        <v>29.9</v>
      </c>
      <c r="AD14" s="213">
        <v>29.9</v>
      </c>
      <c r="AE14" s="88">
        <v>29.7</v>
      </c>
      <c r="AF14" s="88">
        <v>29.6</v>
      </c>
      <c r="AG14" s="88">
        <v>29.5</v>
      </c>
      <c r="AH14" s="213">
        <v>29.4</v>
      </c>
      <c r="AI14" s="88">
        <v>29.3</v>
      </c>
      <c r="AJ14" s="88">
        <v>29.1</v>
      </c>
      <c r="AK14" s="88">
        <v>29</v>
      </c>
      <c r="AL14" s="213">
        <v>50</v>
      </c>
      <c r="AM14" s="88">
        <v>50.2</v>
      </c>
      <c r="AN14" s="88">
        <v>49.8</v>
      </c>
      <c r="AO14" s="88">
        <v>49.7</v>
      </c>
      <c r="AP14" s="213">
        <v>28.4</v>
      </c>
      <c r="AQ14" s="88">
        <v>28.3</v>
      </c>
      <c r="AR14" s="787">
        <v>1103.5</v>
      </c>
      <c r="AS14" s="88"/>
      <c r="AT14" s="213"/>
      <c r="AU14" s="754"/>
      <c r="AV14" s="755"/>
      <c r="AW14" s="783"/>
      <c r="AX14" s="784"/>
    </row>
    <row r="15" spans="1:491" s="7" customFormat="1" ht="20.100000000000001" customHeight="1">
      <c r="A15" s="27" t="s">
        <v>178</v>
      </c>
      <c r="B15" s="128" t="s">
        <v>179</v>
      </c>
      <c r="C15" s="45">
        <v>0</v>
      </c>
      <c r="D15" s="41">
        <f>(33259)*0.001</f>
        <v>33.259</v>
      </c>
      <c r="E15" s="41">
        <f>(33252)*0.001</f>
        <v>33.252000000000002</v>
      </c>
      <c r="F15" s="216">
        <f>(35125)*0.001</f>
        <v>35.125</v>
      </c>
      <c r="G15" s="41">
        <f>(34399)*0.001</f>
        <v>34.399000000000001</v>
      </c>
      <c r="H15" s="41">
        <f>(32935)*0.001</f>
        <v>32.935000000000002</v>
      </c>
      <c r="I15" s="41">
        <f>(29318)*0.001</f>
        <v>29.318000000000001</v>
      </c>
      <c r="J15" s="216">
        <f>(29551)*0.001</f>
        <v>29.551000000000002</v>
      </c>
      <c r="K15" s="42">
        <f>(26502)*0.001</f>
        <v>26.501999999999999</v>
      </c>
      <c r="L15" s="21">
        <v>46.2</v>
      </c>
      <c r="M15" s="21">
        <v>67</v>
      </c>
      <c r="N15" s="216">
        <v>81</v>
      </c>
      <c r="O15" s="17">
        <v>84.1</v>
      </c>
      <c r="P15" s="17">
        <v>82.3</v>
      </c>
      <c r="Q15" s="21">
        <v>81.2</v>
      </c>
      <c r="R15" s="216">
        <v>83.3</v>
      </c>
      <c r="S15" s="88">
        <v>81.099999999999994</v>
      </c>
      <c r="T15" s="88">
        <v>79.7</v>
      </c>
      <c r="U15" s="88">
        <v>80.400000000000006</v>
      </c>
      <c r="V15" s="216">
        <v>82.8</v>
      </c>
      <c r="W15" s="88">
        <v>83.8</v>
      </c>
      <c r="X15" s="88">
        <v>82.9</v>
      </c>
      <c r="Y15" s="88">
        <v>85.8</v>
      </c>
      <c r="Z15" s="216">
        <v>91.4</v>
      </c>
      <c r="AA15" s="88">
        <v>90.4</v>
      </c>
      <c r="AB15" s="88">
        <v>93</v>
      </c>
      <c r="AC15" s="88">
        <v>94.8</v>
      </c>
      <c r="AD15" s="216">
        <v>99.7</v>
      </c>
      <c r="AE15" s="88">
        <v>97.9</v>
      </c>
      <c r="AF15" s="88">
        <v>93.9</v>
      </c>
      <c r="AG15" s="88">
        <v>98.1</v>
      </c>
      <c r="AH15" s="216">
        <v>100.5</v>
      </c>
      <c r="AI15" s="88">
        <v>96</v>
      </c>
      <c r="AJ15" s="88">
        <v>91.1</v>
      </c>
      <c r="AK15" s="88">
        <v>94.9</v>
      </c>
      <c r="AL15" s="216">
        <v>93.5</v>
      </c>
      <c r="AM15" s="88">
        <v>90.6</v>
      </c>
      <c r="AN15" s="88">
        <v>82.1</v>
      </c>
      <c r="AO15" s="88">
        <v>77.099999999999994</v>
      </c>
      <c r="AP15" s="216">
        <v>73.5</v>
      </c>
      <c r="AQ15" s="88">
        <v>72.599999999999994</v>
      </c>
      <c r="AR15" s="787">
        <v>75</v>
      </c>
      <c r="AS15" s="88"/>
      <c r="AT15" s="216"/>
      <c r="AU15" s="754"/>
      <c r="AV15" s="755"/>
      <c r="AW15" s="783"/>
      <c r="AX15" s="784"/>
    </row>
    <row r="16" spans="1:491" s="7" customFormat="1" ht="20.100000000000001" customHeight="1">
      <c r="A16" s="27" t="s">
        <v>180</v>
      </c>
      <c r="B16" s="131" t="s">
        <v>181</v>
      </c>
      <c r="C16" s="24">
        <v>0</v>
      </c>
      <c r="D16" s="24">
        <v>0</v>
      </c>
      <c r="E16" s="24">
        <v>0</v>
      </c>
      <c r="F16" s="217">
        <v>0</v>
      </c>
      <c r="G16" s="24">
        <v>0</v>
      </c>
      <c r="H16" s="24">
        <v>0</v>
      </c>
      <c r="I16" s="24">
        <v>0</v>
      </c>
      <c r="J16" s="217">
        <v>0</v>
      </c>
      <c r="K16" s="24">
        <v>0</v>
      </c>
      <c r="L16" s="24">
        <v>0</v>
      </c>
      <c r="M16" s="24">
        <v>0</v>
      </c>
      <c r="N16" s="217">
        <v>0</v>
      </c>
      <c r="O16" s="24">
        <v>0</v>
      </c>
      <c r="P16" s="24">
        <v>0</v>
      </c>
      <c r="Q16" s="24">
        <v>0</v>
      </c>
      <c r="R16" s="217">
        <v>0</v>
      </c>
      <c r="S16" s="88">
        <v>180.5</v>
      </c>
      <c r="T16" s="88">
        <v>0</v>
      </c>
      <c r="U16" s="88">
        <v>0</v>
      </c>
      <c r="V16" s="217">
        <v>0</v>
      </c>
      <c r="W16" s="88">
        <v>0</v>
      </c>
      <c r="X16" s="88">
        <v>0</v>
      </c>
      <c r="Y16" s="88">
        <v>0</v>
      </c>
      <c r="Z16" s="217">
        <v>0</v>
      </c>
      <c r="AA16" s="88">
        <v>0</v>
      </c>
      <c r="AB16" s="88">
        <v>0</v>
      </c>
      <c r="AC16" s="88">
        <v>0</v>
      </c>
      <c r="AD16" s="217">
        <v>0</v>
      </c>
      <c r="AE16" s="88">
        <v>0</v>
      </c>
      <c r="AF16" s="88">
        <v>0</v>
      </c>
      <c r="AG16" s="88">
        <v>0</v>
      </c>
      <c r="AH16" s="217">
        <v>0</v>
      </c>
      <c r="AI16" s="88">
        <v>0</v>
      </c>
      <c r="AJ16" s="88">
        <v>0</v>
      </c>
      <c r="AK16" s="88">
        <v>0</v>
      </c>
      <c r="AL16" s="217">
        <v>0</v>
      </c>
      <c r="AM16" s="88">
        <v>0</v>
      </c>
      <c r="AN16" s="88">
        <v>0</v>
      </c>
      <c r="AO16" s="88">
        <v>0</v>
      </c>
      <c r="AP16" s="217">
        <v>0</v>
      </c>
      <c r="AQ16" s="88">
        <v>0</v>
      </c>
      <c r="AR16" s="787">
        <v>0</v>
      </c>
      <c r="AS16" s="88"/>
      <c r="AT16" s="217"/>
      <c r="AU16" s="754"/>
      <c r="AV16" s="755"/>
      <c r="AW16" s="783"/>
      <c r="AX16" s="784"/>
    </row>
    <row r="17" spans="1:51" s="7" customFormat="1" ht="20.100000000000001" customHeight="1">
      <c r="A17" s="27" t="s">
        <v>182</v>
      </c>
      <c r="B17" s="131" t="s">
        <v>183</v>
      </c>
      <c r="C17" s="24"/>
      <c r="D17" s="24"/>
      <c r="E17" s="24"/>
      <c r="F17" s="217"/>
      <c r="G17" s="24"/>
      <c r="H17" s="24"/>
      <c r="I17" s="24"/>
      <c r="J17" s="217"/>
      <c r="K17" s="24"/>
      <c r="L17" s="24"/>
      <c r="M17" s="24"/>
      <c r="N17" s="217"/>
      <c r="O17" s="24"/>
      <c r="P17" s="24"/>
      <c r="Q17" s="24"/>
      <c r="R17" s="217"/>
      <c r="S17" s="88"/>
      <c r="T17" s="88"/>
      <c r="U17" s="88"/>
      <c r="V17" s="217"/>
      <c r="W17" s="88"/>
      <c r="X17" s="88"/>
      <c r="Y17" s="88"/>
      <c r="Z17" s="217"/>
      <c r="AA17" s="88"/>
      <c r="AB17" s="88"/>
      <c r="AC17" s="88"/>
      <c r="AD17" s="217">
        <v>616.9</v>
      </c>
      <c r="AE17" s="88"/>
      <c r="AF17" s="88"/>
      <c r="AG17" s="88"/>
      <c r="AH17" s="217">
        <v>776.5</v>
      </c>
      <c r="AI17" s="88">
        <v>749.5</v>
      </c>
      <c r="AJ17" s="88">
        <v>747.8</v>
      </c>
      <c r="AK17" s="88">
        <v>791.7</v>
      </c>
      <c r="AL17" s="665">
        <v>832</v>
      </c>
      <c r="AM17" s="88">
        <v>797.7</v>
      </c>
      <c r="AN17" s="88">
        <v>774</v>
      </c>
      <c r="AO17" s="88">
        <v>751.8</v>
      </c>
      <c r="AP17" s="213">
        <v>777.1</v>
      </c>
      <c r="AQ17" s="88">
        <v>748.7</v>
      </c>
      <c r="AR17" s="787">
        <v>775.8</v>
      </c>
      <c r="AS17" s="88"/>
      <c r="AT17" s="213"/>
      <c r="AU17" s="754"/>
      <c r="AV17" s="755"/>
      <c r="AW17" s="783"/>
      <c r="AX17" s="784"/>
    </row>
    <row r="18" spans="1:51" s="7" customFormat="1" ht="20.100000000000001" customHeight="1">
      <c r="A18" s="27" t="s">
        <v>184</v>
      </c>
      <c r="B18" s="131" t="s">
        <v>185</v>
      </c>
      <c r="C18" s="17">
        <f>92.159</f>
        <v>92.159000000000006</v>
      </c>
      <c r="D18" s="30">
        <f>(84770)*0.001</f>
        <v>84.77</v>
      </c>
      <c r="E18" s="30">
        <f>(116704)*0.001</f>
        <v>116.70400000000001</v>
      </c>
      <c r="F18" s="213">
        <f>(109642)*0.001</f>
        <v>109.642</v>
      </c>
      <c r="G18" s="30">
        <f>(62960)*0.001</f>
        <v>62.96</v>
      </c>
      <c r="H18" s="30">
        <f>(61422)*0.001</f>
        <v>61.422000000000004</v>
      </c>
      <c r="I18" s="30">
        <f>(27107)*0.001</f>
        <v>27.106999999999999</v>
      </c>
      <c r="J18" s="213">
        <f>(20803)*0.001</f>
        <v>20.803000000000001</v>
      </c>
      <c r="K18" s="40">
        <f>(6430)*0.001</f>
        <v>6.43</v>
      </c>
      <c r="L18" s="21">
        <v>107.4</v>
      </c>
      <c r="M18" s="21">
        <v>141.4</v>
      </c>
      <c r="N18" s="213">
        <v>198.5</v>
      </c>
      <c r="O18" s="17">
        <v>238</v>
      </c>
      <c r="P18" s="17">
        <v>232.8</v>
      </c>
      <c r="Q18" s="21">
        <v>232.7</v>
      </c>
      <c r="R18" s="213">
        <v>272.8</v>
      </c>
      <c r="S18" s="88">
        <v>295.39999999999998</v>
      </c>
      <c r="T18" s="88">
        <v>331.8</v>
      </c>
      <c r="U18" s="88">
        <v>373.3</v>
      </c>
      <c r="V18" s="213">
        <v>452</v>
      </c>
      <c r="W18" s="88">
        <v>476.3</v>
      </c>
      <c r="X18" s="88">
        <v>508.1</v>
      </c>
      <c r="Y18" s="88">
        <v>544.20000000000005</v>
      </c>
      <c r="Z18" s="213">
        <v>1270.7</v>
      </c>
      <c r="AA18" s="88">
        <v>1280.5999999999999</v>
      </c>
      <c r="AB18" s="88">
        <v>649.29999999999995</v>
      </c>
      <c r="AC18" s="88">
        <v>647.9</v>
      </c>
      <c r="AD18" s="213">
        <v>84.2</v>
      </c>
      <c r="AE18" s="88">
        <v>714.5</v>
      </c>
      <c r="AF18" s="88">
        <v>781.6</v>
      </c>
      <c r="AG18" s="88">
        <v>830.6</v>
      </c>
      <c r="AH18" s="213">
        <v>1315.8</v>
      </c>
      <c r="AI18" s="88">
        <v>1337.2</v>
      </c>
      <c r="AJ18" s="88">
        <v>1314.7</v>
      </c>
      <c r="AK18" s="88">
        <v>1329.2</v>
      </c>
      <c r="AL18" s="213">
        <v>1283.5999999999999</v>
      </c>
      <c r="AM18" s="88">
        <v>1330.6</v>
      </c>
      <c r="AN18" s="88">
        <v>1799.7</v>
      </c>
      <c r="AO18" s="88">
        <v>1820.5</v>
      </c>
      <c r="AP18" s="213">
        <v>1902.3</v>
      </c>
      <c r="AQ18" s="88">
        <v>2037.6</v>
      </c>
      <c r="AR18" s="787">
        <v>2659.2</v>
      </c>
      <c r="AS18" s="88"/>
      <c r="AT18" s="213"/>
      <c r="AU18" s="754"/>
      <c r="AV18" s="755"/>
      <c r="AW18" s="783"/>
      <c r="AX18" s="784"/>
    </row>
    <row r="19" spans="1:51" ht="25.5">
      <c r="A19" s="66" t="s">
        <v>186</v>
      </c>
      <c r="B19" s="132" t="s">
        <v>187</v>
      </c>
      <c r="C19" s="67"/>
      <c r="D19" s="67"/>
      <c r="E19" s="67"/>
      <c r="F19" s="213"/>
      <c r="G19" s="67"/>
      <c r="H19" s="67"/>
      <c r="I19" s="67"/>
      <c r="J19" s="218"/>
      <c r="K19" s="67"/>
      <c r="L19" s="67"/>
      <c r="M19" s="67"/>
      <c r="N19" s="218"/>
      <c r="O19" s="67"/>
      <c r="P19" s="67"/>
      <c r="Q19" s="67"/>
      <c r="R19" s="218"/>
      <c r="S19" s="67"/>
      <c r="T19" s="67"/>
      <c r="U19" s="67"/>
      <c r="V19" s="217">
        <v>0</v>
      </c>
      <c r="W19" s="67"/>
      <c r="X19" s="67"/>
      <c r="Y19" s="67"/>
      <c r="Z19" s="492">
        <v>665.2</v>
      </c>
      <c r="AA19" s="89">
        <v>681.2</v>
      </c>
      <c r="AB19" s="89">
        <v>40.4</v>
      </c>
      <c r="AC19" s="89">
        <v>36.9</v>
      </c>
      <c r="AD19" s="492">
        <v>43</v>
      </c>
      <c r="AE19" s="89">
        <v>41.3</v>
      </c>
      <c r="AF19" s="67">
        <v>67.5</v>
      </c>
      <c r="AG19" s="89">
        <v>66.2</v>
      </c>
      <c r="AH19" s="492">
        <v>1282.4000000000001</v>
      </c>
      <c r="AI19" s="89">
        <v>1306.0999999999999</v>
      </c>
      <c r="AJ19" s="89">
        <v>1284.0999999999999</v>
      </c>
      <c r="AK19" s="89">
        <v>1298.2</v>
      </c>
      <c r="AL19" s="492">
        <v>1257.8</v>
      </c>
      <c r="AM19" s="89">
        <v>1274.3</v>
      </c>
      <c r="AN19" s="200">
        <v>1740.2</v>
      </c>
      <c r="AO19" s="89">
        <v>1752.6</v>
      </c>
      <c r="AP19" s="666">
        <v>1764.4</v>
      </c>
      <c r="AQ19" s="200">
        <v>1774.8</v>
      </c>
      <c r="AR19" s="788">
        <v>2232.6999999999998</v>
      </c>
      <c r="AS19" s="89"/>
      <c r="AT19" s="666"/>
      <c r="AU19" s="754"/>
      <c r="AV19" s="755"/>
      <c r="AW19" s="783"/>
      <c r="AX19" s="784"/>
    </row>
    <row r="20" spans="1:51" s="15" customFormat="1" ht="20.100000000000001" customHeight="1">
      <c r="A20" s="29" t="s">
        <v>188</v>
      </c>
      <c r="B20" s="133" t="s">
        <v>189</v>
      </c>
      <c r="C20" s="23">
        <v>0</v>
      </c>
      <c r="D20" s="23">
        <v>0</v>
      </c>
      <c r="E20" s="23">
        <v>0</v>
      </c>
      <c r="F20" s="213"/>
      <c r="G20" s="23">
        <v>0</v>
      </c>
      <c r="H20" s="23">
        <v>0</v>
      </c>
      <c r="I20" s="23">
        <v>0</v>
      </c>
      <c r="J20" s="219">
        <v>0</v>
      </c>
      <c r="K20" s="32">
        <v>0</v>
      </c>
      <c r="L20" s="23">
        <v>0</v>
      </c>
      <c r="M20" s="23">
        <v>0</v>
      </c>
      <c r="N20" s="219">
        <v>1.2</v>
      </c>
      <c r="O20" s="23">
        <v>0</v>
      </c>
      <c r="P20" s="23">
        <v>0</v>
      </c>
      <c r="Q20" s="23">
        <v>0</v>
      </c>
      <c r="R20" s="219">
        <v>6.9</v>
      </c>
      <c r="S20" s="89">
        <v>0.6</v>
      </c>
      <c r="T20" s="89">
        <v>0</v>
      </c>
      <c r="U20" s="89">
        <v>3.5</v>
      </c>
      <c r="V20" s="492">
        <v>9.5</v>
      </c>
      <c r="W20" s="89">
        <v>7.8</v>
      </c>
      <c r="X20" s="89">
        <v>4.9000000000000004</v>
      </c>
      <c r="Y20" s="89">
        <v>2.5</v>
      </c>
      <c r="Z20" s="492">
        <v>1.9</v>
      </c>
      <c r="AA20" s="89">
        <v>0.1</v>
      </c>
      <c r="AB20" s="89">
        <v>1.4</v>
      </c>
      <c r="AC20" s="89">
        <v>2.7</v>
      </c>
      <c r="AD20" s="507">
        <v>0</v>
      </c>
      <c r="AE20" s="89">
        <v>0</v>
      </c>
      <c r="AF20" s="89">
        <v>0</v>
      </c>
      <c r="AG20" s="89">
        <v>0.2</v>
      </c>
      <c r="AH20" s="492">
        <v>1.2</v>
      </c>
      <c r="AI20" s="89">
        <v>0</v>
      </c>
      <c r="AJ20" s="89">
        <v>0</v>
      </c>
      <c r="AK20" s="89">
        <v>0</v>
      </c>
      <c r="AL20" s="492">
        <v>0.4</v>
      </c>
      <c r="AM20" s="89">
        <v>2.9</v>
      </c>
      <c r="AN20" s="200">
        <v>4</v>
      </c>
      <c r="AO20" s="89">
        <v>6.5</v>
      </c>
      <c r="AP20" s="666">
        <v>23</v>
      </c>
      <c r="AQ20" s="200">
        <v>23</v>
      </c>
      <c r="AR20" s="788">
        <v>36.9</v>
      </c>
      <c r="AS20" s="89"/>
      <c r="AT20" s="666"/>
      <c r="AU20" s="754"/>
      <c r="AV20" s="755"/>
      <c r="AW20" s="783"/>
      <c r="AX20" s="784"/>
    </row>
    <row r="21" spans="1:51" s="7" customFormat="1" ht="20.100000000000001" customHeight="1" thickBot="1">
      <c r="A21" s="27" t="s">
        <v>190</v>
      </c>
      <c r="B21" s="128" t="s">
        <v>191</v>
      </c>
      <c r="C21" s="17">
        <f>30.5</f>
        <v>30.5</v>
      </c>
      <c r="D21" s="30">
        <f>(40245)*0.001</f>
        <v>40.244999999999997</v>
      </c>
      <c r="E21" s="30">
        <f>(37018)*0.001</f>
        <v>37.018000000000001</v>
      </c>
      <c r="F21" s="213">
        <f>(31356)*0.001</f>
        <v>31.356000000000002</v>
      </c>
      <c r="G21" s="30">
        <f>(30260)*0.001</f>
        <v>30.26</v>
      </c>
      <c r="H21" s="30">
        <f>(27326)*0.001</f>
        <v>27.326000000000001</v>
      </c>
      <c r="I21" s="30">
        <f>(27552)*0.001</f>
        <v>27.552</v>
      </c>
      <c r="J21" s="213">
        <f>(38854)*0.001</f>
        <v>38.853999999999999</v>
      </c>
      <c r="K21" s="40">
        <f>(34685)*0.001</f>
        <v>34.685000000000002</v>
      </c>
      <c r="L21" s="21">
        <v>240.5</v>
      </c>
      <c r="M21" s="21">
        <v>285.7</v>
      </c>
      <c r="N21" s="213">
        <v>281.10000000000002</v>
      </c>
      <c r="O21" s="17">
        <v>229</v>
      </c>
      <c r="P21" s="17">
        <v>260.89999999999998</v>
      </c>
      <c r="Q21" s="21">
        <v>107.2</v>
      </c>
      <c r="R21" s="213">
        <v>87.6</v>
      </c>
      <c r="S21" s="88">
        <v>211.3</v>
      </c>
      <c r="T21" s="88">
        <v>236.5</v>
      </c>
      <c r="U21" s="88">
        <v>238.4</v>
      </c>
      <c r="V21" s="213">
        <v>232.7</v>
      </c>
      <c r="W21" s="88">
        <v>249.3</v>
      </c>
      <c r="X21" s="88">
        <v>199.9</v>
      </c>
      <c r="Y21" s="88">
        <v>192.1</v>
      </c>
      <c r="Z21" s="213">
        <v>197.2</v>
      </c>
      <c r="AA21" s="88">
        <v>178.4</v>
      </c>
      <c r="AB21" s="88">
        <v>216</v>
      </c>
      <c r="AC21" s="88">
        <v>213</v>
      </c>
      <c r="AD21" s="213">
        <v>259.7</v>
      </c>
      <c r="AE21" s="88">
        <v>258.2</v>
      </c>
      <c r="AF21" s="88">
        <v>260.5</v>
      </c>
      <c r="AG21" s="88">
        <v>267.3</v>
      </c>
      <c r="AH21" s="213">
        <v>241.2</v>
      </c>
      <c r="AI21" s="88">
        <v>243.2</v>
      </c>
      <c r="AJ21" s="88">
        <v>260.7</v>
      </c>
      <c r="AK21" s="88">
        <v>242.5</v>
      </c>
      <c r="AL21" s="213">
        <v>223.2</v>
      </c>
      <c r="AM21" s="88">
        <v>158.6</v>
      </c>
      <c r="AN21" s="88">
        <v>106.6</v>
      </c>
      <c r="AO21" s="88">
        <v>119.2</v>
      </c>
      <c r="AP21" s="213">
        <v>80.2</v>
      </c>
      <c r="AQ21" s="220">
        <v>87.6</v>
      </c>
      <c r="AR21" s="787">
        <v>104.2</v>
      </c>
      <c r="AS21" s="88"/>
      <c r="AT21" s="213"/>
      <c r="AU21" s="754"/>
      <c r="AV21" s="755"/>
      <c r="AW21" s="783"/>
      <c r="AX21" s="784"/>
    </row>
    <row r="22" spans="1:51" s="229" customFormat="1" ht="24.95" customHeight="1" thickBot="1">
      <c r="A22" s="403" t="s">
        <v>192</v>
      </c>
      <c r="B22" s="403" t="s">
        <v>193</v>
      </c>
      <c r="C22" s="404">
        <f t="shared" ref="C22:K22" si="0">(SUM(C6:C21))</f>
        <v>4228.9560000000001</v>
      </c>
      <c r="D22" s="405">
        <f t="shared" si="0"/>
        <v>4425.1450000000004</v>
      </c>
      <c r="E22" s="405">
        <f t="shared" si="0"/>
        <v>4456.701</v>
      </c>
      <c r="F22" s="406">
        <f t="shared" si="0"/>
        <v>4476.1480000000001</v>
      </c>
      <c r="G22" s="405">
        <f t="shared" si="0"/>
        <v>4424.8490000000011</v>
      </c>
      <c r="H22" s="405">
        <f t="shared" si="0"/>
        <v>4428.5439999999999</v>
      </c>
      <c r="I22" s="405">
        <f t="shared" si="0"/>
        <v>4436.0960000000005</v>
      </c>
      <c r="J22" s="406">
        <f t="shared" si="0"/>
        <v>4455.8450000000003</v>
      </c>
      <c r="K22" s="404">
        <f t="shared" si="0"/>
        <v>4454.3520000000008</v>
      </c>
      <c r="L22" s="405">
        <f>SUM(L6:L21)</f>
        <v>23391.8</v>
      </c>
      <c r="M22" s="405">
        <f>SUM(M6:M21)</f>
        <v>23581.399999999998</v>
      </c>
      <c r="N22" s="406">
        <f t="shared" ref="N22:Y22" si="1">(SUM(N6:N21))-N20</f>
        <v>23356.1</v>
      </c>
      <c r="O22" s="404">
        <f t="shared" si="1"/>
        <v>23132</v>
      </c>
      <c r="P22" s="405">
        <f t="shared" si="1"/>
        <v>22867.599999999999</v>
      </c>
      <c r="Q22" s="405">
        <f t="shared" si="1"/>
        <v>22396.3</v>
      </c>
      <c r="R22" s="406">
        <f t="shared" si="1"/>
        <v>22261.199999999997</v>
      </c>
      <c r="S22" s="404">
        <f t="shared" si="1"/>
        <v>24489.499999999996</v>
      </c>
      <c r="T22" s="405">
        <f t="shared" si="1"/>
        <v>24377.8</v>
      </c>
      <c r="U22" s="405">
        <f t="shared" si="1"/>
        <v>24047.600000000002</v>
      </c>
      <c r="V22" s="406">
        <f t="shared" si="1"/>
        <v>23958.899999999998</v>
      </c>
      <c r="W22" s="404">
        <f t="shared" si="1"/>
        <v>23642.099999999995</v>
      </c>
      <c r="X22" s="405">
        <f t="shared" si="1"/>
        <v>23454.6</v>
      </c>
      <c r="Y22" s="405">
        <f t="shared" si="1"/>
        <v>23215.999999999996</v>
      </c>
      <c r="Z22" s="406">
        <f>(SUM(Z6:Z21))-Z20-Z19</f>
        <v>23824.5</v>
      </c>
      <c r="AA22" s="404">
        <f>SUM(AA6:AA18,AA21)</f>
        <v>23530.6</v>
      </c>
      <c r="AB22" s="405">
        <f>SUM(AB6:AB18,AB21)</f>
        <v>24924.399999999998</v>
      </c>
      <c r="AC22" s="405">
        <f>SUM(AC6:AC18,AC21)</f>
        <v>25095.3</v>
      </c>
      <c r="AD22" s="406">
        <f>(SUM(AD6:AD21))-AD20-AD19</f>
        <v>25274.100000000002</v>
      </c>
      <c r="AE22" s="404">
        <f>SUM(AE6:AE18,AE21)</f>
        <v>26511.500000000004</v>
      </c>
      <c r="AF22" s="405">
        <f>SUM(AF6:AF18,AF21)</f>
        <v>26473.100000000002</v>
      </c>
      <c r="AG22" s="405">
        <f>SUM(AG6:AG18,AG21)</f>
        <v>26264.3</v>
      </c>
      <c r="AH22" s="406">
        <f>(SUM(AH6:AH21))-AH20-AH19</f>
        <v>27604.7</v>
      </c>
      <c r="AI22" s="404">
        <f>SUM(AI6:AI18,AI21)</f>
        <v>27318.900000000005</v>
      </c>
      <c r="AJ22" s="405">
        <f>SUM(AJ6:AJ18,AJ21)</f>
        <v>27109.599999999995</v>
      </c>
      <c r="AK22" s="405">
        <f>SUM(AK6:AK18,AK21)</f>
        <v>27531.8</v>
      </c>
      <c r="AL22" s="406">
        <f>(SUM(AL6:AL21))-AL20-AL19</f>
        <v>27837.800000000003</v>
      </c>
      <c r="AM22" s="404">
        <f>SUM(AM6:AM18,AM21)</f>
        <v>24265.799999999996</v>
      </c>
      <c r="AN22" s="405">
        <f>SUM(AN6:AN18,AN21)</f>
        <v>23560.399999999994</v>
      </c>
      <c r="AO22" s="405">
        <f>SUM(AO6:AO18,AO21)</f>
        <v>23929.499999999996</v>
      </c>
      <c r="AP22" s="406">
        <f>(SUM(AP6:AP21))-AP20-AP19</f>
        <v>24159.7</v>
      </c>
      <c r="AQ22" s="404">
        <f>SUM(AQ6:AQ18,AQ21)</f>
        <v>23871.599999999999</v>
      </c>
      <c r="AR22" s="789">
        <f>SUM(AR6:AR18,AR21)</f>
        <v>25679.300000000003</v>
      </c>
      <c r="AS22" s="405">
        <f>SUM(AS6:AS18,AS21)</f>
        <v>0</v>
      </c>
      <c r="AT22" s="406">
        <f>(SUM(AT6:AT21))-AT20-AT19</f>
        <v>0</v>
      </c>
      <c r="AU22" s="754"/>
      <c r="AV22" s="755"/>
      <c r="AW22" s="783"/>
      <c r="AX22" s="784"/>
      <c r="AY22" s="782"/>
    </row>
    <row r="23" spans="1:51" s="8" customFormat="1" ht="20.100000000000001" customHeight="1">
      <c r="A23" s="27" t="s">
        <v>194</v>
      </c>
      <c r="B23" s="128" t="s">
        <v>195</v>
      </c>
      <c r="C23" s="17">
        <f>176.114</f>
        <v>176.114</v>
      </c>
      <c r="D23" s="30">
        <f>(167251)*0.001</f>
        <v>167.251</v>
      </c>
      <c r="E23" s="30">
        <f>(171461)*0.001</f>
        <v>171.46100000000001</v>
      </c>
      <c r="F23" s="213">
        <f>(141652)*0.001</f>
        <v>141.65200000000002</v>
      </c>
      <c r="G23" s="30">
        <f>(155399)*0.001</f>
        <v>155.399</v>
      </c>
      <c r="H23" s="30">
        <f>(170743)*0.001</f>
        <v>170.74299999999999</v>
      </c>
      <c r="I23" s="30">
        <f>(208533)*0.001</f>
        <v>208.53300000000002</v>
      </c>
      <c r="J23" s="213">
        <f>(181341)*0.001</f>
        <v>181.34100000000001</v>
      </c>
      <c r="K23" s="40">
        <f>(228936)*0.001</f>
        <v>228.93600000000001</v>
      </c>
      <c r="L23" s="21">
        <v>199.1</v>
      </c>
      <c r="M23" s="21">
        <v>172.6</v>
      </c>
      <c r="N23" s="213">
        <v>152.1</v>
      </c>
      <c r="O23" s="17">
        <v>163.1</v>
      </c>
      <c r="P23" s="17">
        <v>170.4</v>
      </c>
      <c r="Q23" s="21">
        <v>255.6</v>
      </c>
      <c r="R23" s="213">
        <v>192.2</v>
      </c>
      <c r="S23" s="88">
        <v>234.7</v>
      </c>
      <c r="T23" s="88">
        <v>163.5</v>
      </c>
      <c r="U23" s="88">
        <v>219.1</v>
      </c>
      <c r="V23" s="213">
        <v>192</v>
      </c>
      <c r="W23" s="88">
        <v>179.8</v>
      </c>
      <c r="X23" s="88">
        <v>214.3</v>
      </c>
      <c r="Y23" s="88">
        <v>243.6</v>
      </c>
      <c r="Z23" s="213">
        <v>251.7</v>
      </c>
      <c r="AA23" s="88">
        <v>256.60000000000002</v>
      </c>
      <c r="AB23" s="88">
        <v>353.2</v>
      </c>
      <c r="AC23" s="88">
        <v>544.5</v>
      </c>
      <c r="AD23" s="213">
        <v>543.20000000000005</v>
      </c>
      <c r="AE23" s="88">
        <v>539.79999999999995</v>
      </c>
      <c r="AF23" s="88">
        <v>538.9</v>
      </c>
      <c r="AG23" s="88">
        <v>552.6</v>
      </c>
      <c r="AH23" s="213">
        <v>512.29999999999995</v>
      </c>
      <c r="AI23" s="88">
        <v>535.20000000000005</v>
      </c>
      <c r="AJ23" s="88">
        <v>516.20000000000005</v>
      </c>
      <c r="AK23" s="88">
        <v>525.9</v>
      </c>
      <c r="AL23" s="213">
        <v>413.2</v>
      </c>
      <c r="AM23" s="88">
        <v>412.7</v>
      </c>
      <c r="AN23" s="88">
        <v>477</v>
      </c>
      <c r="AO23" s="88">
        <v>925.1</v>
      </c>
      <c r="AP23" s="213">
        <v>630.6</v>
      </c>
      <c r="AQ23" s="88">
        <v>826.8</v>
      </c>
      <c r="AR23" s="787">
        <v>678.2</v>
      </c>
      <c r="AS23" s="88"/>
      <c r="AT23" s="213"/>
      <c r="AU23" s="754"/>
      <c r="AV23" s="755"/>
      <c r="AW23" s="783"/>
      <c r="AX23" s="784"/>
    </row>
    <row r="24" spans="1:51" s="8" customFormat="1" ht="20.100000000000001" customHeight="1">
      <c r="A24" s="27" t="s">
        <v>196</v>
      </c>
      <c r="B24" s="128" t="s">
        <v>197</v>
      </c>
      <c r="C24" s="17"/>
      <c r="D24" s="30"/>
      <c r="E24" s="30"/>
      <c r="F24" s="213"/>
      <c r="G24" s="30"/>
      <c r="H24" s="30"/>
      <c r="I24" s="30"/>
      <c r="J24" s="213"/>
      <c r="K24" s="40"/>
      <c r="L24" s="21"/>
      <c r="M24" s="21"/>
      <c r="N24" s="213"/>
      <c r="O24" s="17"/>
      <c r="P24" s="17"/>
      <c r="Q24" s="21"/>
      <c r="R24" s="213"/>
      <c r="S24" s="88"/>
      <c r="T24" s="88"/>
      <c r="U24" s="88"/>
      <c r="V24" s="213"/>
      <c r="W24" s="88"/>
      <c r="X24" s="88"/>
      <c r="Y24" s="88"/>
      <c r="Z24" s="213"/>
      <c r="AA24" s="88">
        <v>680.8</v>
      </c>
      <c r="AB24" s="88">
        <v>681.5</v>
      </c>
      <c r="AC24" s="88">
        <v>655.20000000000005</v>
      </c>
      <c r="AD24" s="213">
        <v>648.4</v>
      </c>
      <c r="AE24" s="88">
        <v>657.6</v>
      </c>
      <c r="AF24" s="88">
        <v>651.70000000000005</v>
      </c>
      <c r="AG24" s="88">
        <v>639.20000000000005</v>
      </c>
      <c r="AH24" s="213">
        <v>638.70000000000005</v>
      </c>
      <c r="AI24" s="88">
        <v>628.1</v>
      </c>
      <c r="AJ24" s="88">
        <v>592.5</v>
      </c>
      <c r="AK24" s="88">
        <v>567.5</v>
      </c>
      <c r="AL24" s="213">
        <v>537.70000000000005</v>
      </c>
      <c r="AM24" s="88">
        <v>505.6</v>
      </c>
      <c r="AN24" s="88">
        <v>476.2</v>
      </c>
      <c r="AO24" s="88">
        <v>438.7</v>
      </c>
      <c r="AP24" s="213">
        <v>418</v>
      </c>
      <c r="AQ24" s="88">
        <v>393.8</v>
      </c>
      <c r="AR24" s="787">
        <v>374.1</v>
      </c>
      <c r="AS24" s="88"/>
      <c r="AT24" s="213"/>
      <c r="AU24" s="754"/>
      <c r="AV24" s="755"/>
      <c r="AW24" s="783"/>
      <c r="AX24" s="784"/>
    </row>
    <row r="25" spans="1:51" s="7" customFormat="1" ht="20.100000000000001" customHeight="1">
      <c r="A25" s="27" t="s">
        <v>198</v>
      </c>
      <c r="B25" s="128" t="s">
        <v>199</v>
      </c>
      <c r="C25" s="17">
        <f>185.376</f>
        <v>185.376</v>
      </c>
      <c r="D25" s="30">
        <f>(185528)*0.001</f>
        <v>185.52799999999999</v>
      </c>
      <c r="E25" s="30">
        <f>(177054)*0.001</f>
        <v>177.054</v>
      </c>
      <c r="F25" s="213">
        <f>(161974)*0.001</f>
        <v>161.97399999999999</v>
      </c>
      <c r="G25" s="30">
        <f>(150701)*0.001</f>
        <v>150.70099999999999</v>
      </c>
      <c r="H25" s="30">
        <f>(157445)*0.001</f>
        <v>157.44499999999999</v>
      </c>
      <c r="I25" s="30">
        <f>(155698)*0.001</f>
        <v>155.69800000000001</v>
      </c>
      <c r="J25" s="213">
        <f>(146771)*0.001</f>
        <v>146.77100000000002</v>
      </c>
      <c r="K25" s="40">
        <f>(163072)*0.001</f>
        <v>163.072</v>
      </c>
      <c r="L25" s="16">
        <v>343.8</v>
      </c>
      <c r="M25" s="16">
        <v>316.60000000000002</v>
      </c>
      <c r="N25" s="213">
        <v>301.39999999999998</v>
      </c>
      <c r="O25" s="17">
        <v>252.9</v>
      </c>
      <c r="P25" s="17">
        <v>261.7</v>
      </c>
      <c r="Q25" s="16">
        <v>264.10000000000002</v>
      </c>
      <c r="R25" s="213">
        <v>281</v>
      </c>
      <c r="S25" s="88">
        <v>260.2</v>
      </c>
      <c r="T25" s="88">
        <v>270</v>
      </c>
      <c r="U25" s="88">
        <v>281</v>
      </c>
      <c r="V25" s="213">
        <v>278.7</v>
      </c>
      <c r="W25" s="88">
        <v>237.2</v>
      </c>
      <c r="X25" s="88">
        <v>279</v>
      </c>
      <c r="Y25" s="88">
        <v>295.60000000000002</v>
      </c>
      <c r="Z25" s="213">
        <v>283.7</v>
      </c>
      <c r="AA25" s="87">
        <v>305.3</v>
      </c>
      <c r="AB25" s="88">
        <v>362.1</v>
      </c>
      <c r="AC25" s="88">
        <v>387.6</v>
      </c>
      <c r="AD25" s="213">
        <v>394</v>
      </c>
      <c r="AE25" s="87">
        <v>333.7</v>
      </c>
      <c r="AF25" s="88">
        <v>344.5</v>
      </c>
      <c r="AG25" s="88">
        <v>359.6</v>
      </c>
      <c r="AH25" s="213">
        <v>306.8</v>
      </c>
      <c r="AI25" s="87">
        <v>398.3</v>
      </c>
      <c r="AJ25" s="88">
        <v>502.8</v>
      </c>
      <c r="AK25" s="88">
        <v>409</v>
      </c>
      <c r="AL25" s="213">
        <v>299.39999999999998</v>
      </c>
      <c r="AM25" s="87">
        <v>359.8</v>
      </c>
      <c r="AN25" s="87">
        <v>439.1</v>
      </c>
      <c r="AO25" s="88">
        <v>515</v>
      </c>
      <c r="AP25" s="213">
        <v>595.70000000000005</v>
      </c>
      <c r="AQ25" s="87">
        <v>597.5</v>
      </c>
      <c r="AR25" s="87">
        <v>935.5</v>
      </c>
      <c r="AS25" s="88"/>
      <c r="AT25" s="213"/>
      <c r="AU25" s="754"/>
      <c r="AV25" s="755"/>
      <c r="AW25" s="783"/>
      <c r="AX25" s="784"/>
    </row>
    <row r="26" spans="1:51" s="7" customFormat="1" ht="20.100000000000001" customHeight="1">
      <c r="A26" s="27" t="s">
        <v>200</v>
      </c>
      <c r="B26" s="128" t="s">
        <v>201</v>
      </c>
      <c r="C26" s="17">
        <f>1.102</f>
        <v>1.1020000000000001</v>
      </c>
      <c r="D26" s="18">
        <f>0</f>
        <v>0</v>
      </c>
      <c r="E26" s="18">
        <f>0</f>
        <v>0</v>
      </c>
      <c r="F26" s="215">
        <f>0</f>
        <v>0</v>
      </c>
      <c r="G26" s="18">
        <f>0</f>
        <v>0</v>
      </c>
      <c r="H26" s="18">
        <f>0</f>
        <v>0</v>
      </c>
      <c r="I26" s="18">
        <f>0</f>
        <v>0</v>
      </c>
      <c r="J26" s="215">
        <v>0</v>
      </c>
      <c r="K26" s="31">
        <v>0</v>
      </c>
      <c r="L26" s="24">
        <v>0</v>
      </c>
      <c r="M26" s="24">
        <v>0</v>
      </c>
      <c r="N26" s="215">
        <f>0*($A$85)</f>
        <v>0</v>
      </c>
      <c r="O26" s="18">
        <f>0*($A$85)</f>
        <v>0</v>
      </c>
      <c r="P26" s="18">
        <v>0</v>
      </c>
      <c r="Q26" s="24">
        <v>0</v>
      </c>
      <c r="R26" s="215">
        <v>0</v>
      </c>
      <c r="S26" s="34">
        <v>0</v>
      </c>
      <c r="T26" s="34">
        <v>0</v>
      </c>
      <c r="U26" s="34">
        <v>0</v>
      </c>
      <c r="V26" s="215">
        <v>0</v>
      </c>
      <c r="W26" s="34">
        <v>0</v>
      </c>
      <c r="X26" s="34">
        <v>0</v>
      </c>
      <c r="Y26" s="34">
        <v>0</v>
      </c>
      <c r="Z26" s="215">
        <v>0</v>
      </c>
      <c r="AA26" s="88">
        <v>0</v>
      </c>
      <c r="AB26" s="87">
        <v>0</v>
      </c>
      <c r="AC26" s="88">
        <v>0</v>
      </c>
      <c r="AD26" s="215">
        <v>0</v>
      </c>
      <c r="AE26" s="88">
        <v>0</v>
      </c>
      <c r="AF26" s="34">
        <v>0</v>
      </c>
      <c r="AG26" s="88">
        <v>0</v>
      </c>
      <c r="AH26" s="215">
        <v>0</v>
      </c>
      <c r="AI26" s="88">
        <v>0</v>
      </c>
      <c r="AJ26" s="34">
        <v>0</v>
      </c>
      <c r="AK26" s="88">
        <v>0</v>
      </c>
      <c r="AL26" s="215">
        <v>0</v>
      </c>
      <c r="AM26" s="88">
        <v>0</v>
      </c>
      <c r="AN26" s="88">
        <v>0</v>
      </c>
      <c r="AO26" s="88">
        <v>0</v>
      </c>
      <c r="AP26" s="215">
        <v>0</v>
      </c>
      <c r="AQ26" s="88">
        <v>0</v>
      </c>
      <c r="AR26" s="787">
        <v>0</v>
      </c>
      <c r="AS26" s="88"/>
      <c r="AT26" s="215"/>
      <c r="AU26" s="754"/>
      <c r="AV26" s="755"/>
      <c r="AW26" s="783"/>
      <c r="AX26" s="784"/>
    </row>
    <row r="27" spans="1:51" s="7" customFormat="1" ht="20.100000000000001" customHeight="1">
      <c r="A27" s="27" t="s">
        <v>202</v>
      </c>
      <c r="B27" s="128" t="s">
        <v>203</v>
      </c>
      <c r="C27" s="17">
        <f>342.386</f>
        <v>342.38600000000002</v>
      </c>
      <c r="D27" s="30">
        <f>(382365)*0.001</f>
        <v>382.36500000000001</v>
      </c>
      <c r="E27" s="30">
        <f>(376949)*0.001</f>
        <v>376.94900000000001</v>
      </c>
      <c r="F27" s="213">
        <f>(375659)*0.001</f>
        <v>375.65899999999999</v>
      </c>
      <c r="G27" s="30">
        <f>(403593)*0.001</f>
        <v>403.59300000000002</v>
      </c>
      <c r="H27" s="30">
        <f>(410902)*0.001</f>
        <v>410.90199999999999</v>
      </c>
      <c r="I27" s="30">
        <f>(401503)*0.001</f>
        <v>401.50299999999999</v>
      </c>
      <c r="J27" s="213">
        <f>(374424)*0.001</f>
        <v>374.42400000000004</v>
      </c>
      <c r="K27" s="40">
        <f>(398589)*0.001</f>
        <v>398.589</v>
      </c>
      <c r="L27" s="16">
        <v>1374.4</v>
      </c>
      <c r="M27" s="16">
        <v>1369.9</v>
      </c>
      <c r="N27" s="213">
        <v>1453.4</v>
      </c>
      <c r="O27" s="17">
        <v>1599.5</v>
      </c>
      <c r="P27" s="17">
        <v>1988.6</v>
      </c>
      <c r="Q27" s="16">
        <v>1699.4</v>
      </c>
      <c r="R27" s="213">
        <v>1619.1</v>
      </c>
      <c r="S27" s="88">
        <v>1503.9</v>
      </c>
      <c r="T27" s="88">
        <v>1541.1</v>
      </c>
      <c r="U27" s="88">
        <v>1571.8</v>
      </c>
      <c r="V27" s="213">
        <v>1688</v>
      </c>
      <c r="W27" s="88">
        <v>1608.5</v>
      </c>
      <c r="X27" s="88">
        <v>1727</v>
      </c>
      <c r="Y27" s="88">
        <v>1758.5</v>
      </c>
      <c r="Z27" s="213">
        <v>1983.2</v>
      </c>
      <c r="AA27" s="88">
        <v>1990.7</v>
      </c>
      <c r="AB27" s="88">
        <v>2161.3000000000002</v>
      </c>
      <c r="AC27" s="88">
        <v>2197.3000000000002</v>
      </c>
      <c r="AD27" s="213">
        <v>2370.4</v>
      </c>
      <c r="AE27" s="88">
        <v>2334.6999999999998</v>
      </c>
      <c r="AF27" s="88">
        <v>2284.4</v>
      </c>
      <c r="AG27" s="88">
        <v>2291.6</v>
      </c>
      <c r="AH27" s="213">
        <v>2511.6</v>
      </c>
      <c r="AI27" s="88">
        <v>2335.9</v>
      </c>
      <c r="AJ27" s="88">
        <v>2298.1</v>
      </c>
      <c r="AK27" s="88">
        <v>2348.1999999999998</v>
      </c>
      <c r="AL27" s="213">
        <v>2390.4</v>
      </c>
      <c r="AM27" s="88">
        <v>2387.4</v>
      </c>
      <c r="AN27" s="88">
        <v>2441.5</v>
      </c>
      <c r="AO27" s="88">
        <v>2413.9</v>
      </c>
      <c r="AP27" s="213">
        <v>2450.3000000000002</v>
      </c>
      <c r="AQ27" s="88">
        <v>2424.3000000000002</v>
      </c>
      <c r="AR27" s="787">
        <v>2623.1</v>
      </c>
      <c r="AS27" s="88"/>
      <c r="AT27" s="213"/>
      <c r="AU27" s="754"/>
      <c r="AV27" s="755"/>
      <c r="AW27" s="783"/>
      <c r="AX27" s="784"/>
    </row>
    <row r="28" spans="1:51" s="7" customFormat="1" ht="20.100000000000001" customHeight="1">
      <c r="A28" s="27" t="s">
        <v>204</v>
      </c>
      <c r="B28" s="128" t="s">
        <v>205</v>
      </c>
      <c r="C28" s="17">
        <f>9.894</f>
        <v>9.8940000000000001</v>
      </c>
      <c r="D28" s="30">
        <f>(263)*0.001</f>
        <v>0.26300000000000001</v>
      </c>
      <c r="E28" s="30">
        <f>(321)*0.001</f>
        <v>0.32100000000000001</v>
      </c>
      <c r="F28" s="213">
        <f>(6494)*0.001</f>
        <v>6.4939999999999998</v>
      </c>
      <c r="G28" s="30">
        <f>(1372)*0.001</f>
        <v>1.3720000000000001</v>
      </c>
      <c r="H28" s="30">
        <f>(1952)*0.001</f>
        <v>1.952</v>
      </c>
      <c r="I28" s="30">
        <f>(1195)*0.001</f>
        <v>1.1950000000000001</v>
      </c>
      <c r="J28" s="213">
        <f>(183)*0.001</f>
        <v>0.183</v>
      </c>
      <c r="K28" s="40">
        <f>(365)*0.001</f>
        <v>0.36499999999999999</v>
      </c>
      <c r="L28" s="16">
        <v>28</v>
      </c>
      <c r="M28" s="16">
        <v>26</v>
      </c>
      <c r="N28" s="213">
        <v>26</v>
      </c>
      <c r="O28" s="17">
        <v>28.9</v>
      </c>
      <c r="P28" s="17">
        <v>1.5</v>
      </c>
      <c r="Q28" s="16">
        <v>0.7</v>
      </c>
      <c r="R28" s="213">
        <v>0.7</v>
      </c>
      <c r="S28" s="88">
        <v>1.9</v>
      </c>
      <c r="T28" s="88">
        <v>1.4</v>
      </c>
      <c r="U28" s="88">
        <v>0.9</v>
      </c>
      <c r="V28" s="213">
        <v>29.1</v>
      </c>
      <c r="W28" s="88">
        <v>30.3</v>
      </c>
      <c r="X28" s="88">
        <v>17</v>
      </c>
      <c r="Y28" s="88">
        <v>25.3</v>
      </c>
      <c r="Z28" s="213">
        <v>1.3</v>
      </c>
      <c r="AA28" s="88">
        <v>55.8</v>
      </c>
      <c r="AB28" s="88">
        <v>68.7</v>
      </c>
      <c r="AC28" s="88">
        <v>65.400000000000006</v>
      </c>
      <c r="AD28" s="213">
        <v>34.6</v>
      </c>
      <c r="AE28" s="88">
        <v>36.799999999999997</v>
      </c>
      <c r="AF28" s="88">
        <v>5.6</v>
      </c>
      <c r="AG28" s="88">
        <v>4.5</v>
      </c>
      <c r="AH28" s="213">
        <v>4.8</v>
      </c>
      <c r="AI28" s="88">
        <v>7.1</v>
      </c>
      <c r="AJ28" s="88">
        <v>4.7</v>
      </c>
      <c r="AK28" s="88">
        <v>4.8</v>
      </c>
      <c r="AL28" s="213">
        <v>9</v>
      </c>
      <c r="AM28" s="88">
        <v>9.4</v>
      </c>
      <c r="AN28" s="88">
        <v>11.8</v>
      </c>
      <c r="AO28" s="88">
        <v>4.5999999999999996</v>
      </c>
      <c r="AP28" s="213">
        <v>4.5</v>
      </c>
      <c r="AQ28" s="88">
        <v>15.2</v>
      </c>
      <c r="AR28" s="787">
        <v>16.600000000000001</v>
      </c>
      <c r="AS28" s="88"/>
      <c r="AT28" s="213"/>
      <c r="AU28" s="754"/>
      <c r="AV28" s="755"/>
      <c r="AW28" s="783"/>
      <c r="AX28" s="784"/>
    </row>
    <row r="29" spans="1:51" s="7" customFormat="1" ht="20.100000000000001" customHeight="1">
      <c r="A29" s="27" t="s">
        <v>206</v>
      </c>
      <c r="B29" s="128" t="s">
        <v>207</v>
      </c>
      <c r="C29" s="18">
        <v>0</v>
      </c>
      <c r="D29" s="30">
        <f>(53916)*0.001</f>
        <v>53.916000000000004</v>
      </c>
      <c r="E29" s="30">
        <f>(54038)*0.001</f>
        <v>54.038000000000004</v>
      </c>
      <c r="F29" s="213">
        <f>(57096)*0.001</f>
        <v>57.096000000000004</v>
      </c>
      <c r="G29" s="30">
        <f>(60035)*0.001</f>
        <v>60.035000000000004</v>
      </c>
      <c r="H29" s="30">
        <f>(63564)*0.001</f>
        <v>63.564</v>
      </c>
      <c r="I29" s="30">
        <f>(65852)*0.001</f>
        <v>65.852000000000004</v>
      </c>
      <c r="J29" s="213">
        <f>(70055)*0.001</f>
        <v>70.055000000000007</v>
      </c>
      <c r="K29" s="40">
        <f>(70958)*0.001</f>
        <v>70.957999999999998</v>
      </c>
      <c r="L29" s="16">
        <v>91.2</v>
      </c>
      <c r="M29" s="16">
        <v>117.3</v>
      </c>
      <c r="N29" s="213">
        <v>141.69999999999999</v>
      </c>
      <c r="O29" s="17">
        <v>165.3</v>
      </c>
      <c r="P29" s="17">
        <v>186.1</v>
      </c>
      <c r="Q29" s="16">
        <v>200.4</v>
      </c>
      <c r="R29" s="213">
        <v>212.7</v>
      </c>
      <c r="S29" s="88">
        <v>213.3</v>
      </c>
      <c r="T29" s="88">
        <v>209.1</v>
      </c>
      <c r="U29" s="88">
        <v>207.6</v>
      </c>
      <c r="V29" s="213">
        <v>207.2</v>
      </c>
      <c r="W29" s="88">
        <v>205.7</v>
      </c>
      <c r="X29" s="88">
        <v>202.3</v>
      </c>
      <c r="Y29" s="88">
        <v>203.5</v>
      </c>
      <c r="Z29" s="213">
        <v>207.9</v>
      </c>
      <c r="AA29" s="88">
        <v>206.9</v>
      </c>
      <c r="AB29" s="88">
        <v>230.1</v>
      </c>
      <c r="AC29" s="88">
        <v>230.1</v>
      </c>
      <c r="AD29" s="213">
        <v>218.5</v>
      </c>
      <c r="AE29" s="88">
        <v>221.6</v>
      </c>
      <c r="AF29" s="88">
        <v>221.7</v>
      </c>
      <c r="AG29" s="88">
        <v>227.5</v>
      </c>
      <c r="AH29" s="213">
        <v>225.7</v>
      </c>
      <c r="AI29" s="88">
        <v>222.1</v>
      </c>
      <c r="AJ29" s="88">
        <v>221.4</v>
      </c>
      <c r="AK29" s="88">
        <v>218.5</v>
      </c>
      <c r="AL29" s="213">
        <v>222.4</v>
      </c>
      <c r="AM29" s="88">
        <v>222.9</v>
      </c>
      <c r="AN29" s="88">
        <v>222.5</v>
      </c>
      <c r="AO29" s="88">
        <v>223.8</v>
      </c>
      <c r="AP29" s="213">
        <v>226.8</v>
      </c>
      <c r="AQ29" s="88">
        <v>221.2</v>
      </c>
      <c r="AR29" s="787">
        <v>220</v>
      </c>
      <c r="AS29" s="88"/>
      <c r="AT29" s="213"/>
      <c r="AU29" s="754"/>
      <c r="AV29" s="755"/>
      <c r="AW29" s="783"/>
      <c r="AX29" s="784"/>
    </row>
    <row r="30" spans="1:51" s="7" customFormat="1" ht="20.100000000000001" customHeight="1">
      <c r="A30" s="27" t="s">
        <v>208</v>
      </c>
      <c r="B30" s="128" t="s">
        <v>209</v>
      </c>
      <c r="C30" s="17">
        <f>136.299</f>
        <v>136.29900000000001</v>
      </c>
      <c r="D30" s="30">
        <f>(73814)*0.001</f>
        <v>73.814000000000007</v>
      </c>
      <c r="E30" s="30">
        <f>(53239)*0.001</f>
        <v>53.239000000000004</v>
      </c>
      <c r="F30" s="213">
        <f>(71968)*0.001</f>
        <v>71.968000000000004</v>
      </c>
      <c r="G30" s="30">
        <f>(109187)*0.001</f>
        <v>109.187</v>
      </c>
      <c r="H30" s="30">
        <f>(93754)*0.001</f>
        <v>93.754000000000005</v>
      </c>
      <c r="I30" s="30">
        <f>(113708)*0.001</f>
        <v>113.708</v>
      </c>
      <c r="J30" s="213">
        <f>(105360)*0.001</f>
        <v>105.36</v>
      </c>
      <c r="K30" s="40">
        <f>(106732)*0.001</f>
        <v>106.732</v>
      </c>
      <c r="L30" s="16">
        <v>221.9</v>
      </c>
      <c r="M30" s="16">
        <v>224.2</v>
      </c>
      <c r="N30" s="213">
        <v>160.1</v>
      </c>
      <c r="O30" s="17">
        <v>212.9</v>
      </c>
      <c r="P30" s="17">
        <v>226.2</v>
      </c>
      <c r="Q30" s="16">
        <v>255</v>
      </c>
      <c r="R30" s="213">
        <v>399.5</v>
      </c>
      <c r="S30" s="88">
        <v>69.599999999999994</v>
      </c>
      <c r="T30" s="88">
        <v>62.8</v>
      </c>
      <c r="U30" s="88">
        <v>54.9</v>
      </c>
      <c r="V30" s="213">
        <v>38.700000000000003</v>
      </c>
      <c r="W30" s="88">
        <v>72.3</v>
      </c>
      <c r="X30" s="88">
        <v>60.7</v>
      </c>
      <c r="Y30" s="88">
        <v>61.7</v>
      </c>
      <c r="Z30" s="213">
        <v>31.7</v>
      </c>
      <c r="AA30" s="88">
        <v>70.2</v>
      </c>
      <c r="AB30" s="88">
        <v>82.5</v>
      </c>
      <c r="AC30" s="88">
        <v>56.8</v>
      </c>
      <c r="AD30" s="213">
        <v>34.9</v>
      </c>
      <c r="AE30" s="88">
        <v>71.099999999999994</v>
      </c>
      <c r="AF30" s="88">
        <v>55.5</v>
      </c>
      <c r="AG30" s="88">
        <v>52.2</v>
      </c>
      <c r="AH30" s="213">
        <v>31.9</v>
      </c>
      <c r="AI30" s="88">
        <v>72.3</v>
      </c>
      <c r="AJ30" s="88">
        <v>57</v>
      </c>
      <c r="AK30" s="88">
        <v>44.2</v>
      </c>
      <c r="AL30" s="213">
        <v>39.299999999999997</v>
      </c>
      <c r="AM30" s="88">
        <v>57.7</v>
      </c>
      <c r="AN30" s="88">
        <v>44.2</v>
      </c>
      <c r="AO30" s="88">
        <v>44.5</v>
      </c>
      <c r="AP30" s="213">
        <v>107.1</v>
      </c>
      <c r="AQ30" s="88">
        <v>191.1</v>
      </c>
      <c r="AR30" s="787">
        <v>225.2</v>
      </c>
      <c r="AS30" s="88"/>
      <c r="AT30" s="213"/>
      <c r="AU30" s="754"/>
      <c r="AV30" s="755"/>
      <c r="AW30" s="783"/>
      <c r="AX30" s="784"/>
    </row>
    <row r="31" spans="1:51" s="15" customFormat="1" ht="20.100000000000001" customHeight="1">
      <c r="A31" s="29" t="s">
        <v>188</v>
      </c>
      <c r="B31" s="133" t="s">
        <v>210</v>
      </c>
      <c r="C31" s="18">
        <v>0</v>
      </c>
      <c r="D31" s="18">
        <f>0</f>
        <v>0</v>
      </c>
      <c r="E31" s="18">
        <v>0</v>
      </c>
      <c r="F31" s="215">
        <f>0</f>
        <v>0</v>
      </c>
      <c r="G31" s="18">
        <f>0</f>
        <v>0</v>
      </c>
      <c r="H31" s="18">
        <v>0</v>
      </c>
      <c r="I31" s="18">
        <f>0</f>
        <v>0</v>
      </c>
      <c r="J31" s="215">
        <v>0</v>
      </c>
      <c r="K31" s="31">
        <v>0</v>
      </c>
      <c r="L31" s="18">
        <f>0*($A$85)</f>
        <v>0</v>
      </c>
      <c r="M31" s="18">
        <f>0*($A$85)</f>
        <v>0</v>
      </c>
      <c r="N31" s="215">
        <v>22.2</v>
      </c>
      <c r="O31" s="22">
        <v>26.3</v>
      </c>
      <c r="P31" s="22">
        <v>27.3</v>
      </c>
      <c r="Q31" s="25">
        <v>3.8</v>
      </c>
      <c r="R31" s="215">
        <v>10.5</v>
      </c>
      <c r="S31" s="89">
        <v>0.2</v>
      </c>
      <c r="T31" s="89">
        <v>3.6</v>
      </c>
      <c r="U31" s="89">
        <v>4.8</v>
      </c>
      <c r="V31" s="215">
        <v>6.7</v>
      </c>
      <c r="W31" s="89">
        <v>4.9000000000000004</v>
      </c>
      <c r="X31" s="89">
        <v>5.3</v>
      </c>
      <c r="Y31" s="89">
        <v>6.4</v>
      </c>
      <c r="Z31" s="215">
        <v>5.0999999999999996</v>
      </c>
      <c r="AA31" s="89">
        <v>2.7</v>
      </c>
      <c r="AB31" s="89">
        <v>1.6</v>
      </c>
      <c r="AC31" s="89">
        <v>0.4</v>
      </c>
      <c r="AD31" s="215">
        <v>0</v>
      </c>
      <c r="AE31" s="89">
        <v>0</v>
      </c>
      <c r="AF31" s="89">
        <v>0</v>
      </c>
      <c r="AG31" s="88">
        <v>0</v>
      </c>
      <c r="AH31" s="215">
        <v>0.2</v>
      </c>
      <c r="AI31" s="89">
        <v>0</v>
      </c>
      <c r="AJ31" s="89">
        <v>0.2</v>
      </c>
      <c r="AK31" s="89">
        <v>0</v>
      </c>
      <c r="AL31" s="667">
        <v>2</v>
      </c>
      <c r="AM31" s="89">
        <v>1.6</v>
      </c>
      <c r="AN31" s="200">
        <v>1.6</v>
      </c>
      <c r="AO31" s="89">
        <v>3.6</v>
      </c>
      <c r="AP31" s="667">
        <v>60.9</v>
      </c>
      <c r="AQ31" s="200">
        <v>108.8</v>
      </c>
      <c r="AR31" s="788">
        <v>138.80000000000001</v>
      </c>
      <c r="AS31" s="89"/>
      <c r="AT31" s="667"/>
      <c r="AU31" s="754"/>
      <c r="AV31" s="755"/>
      <c r="AW31" s="783"/>
      <c r="AX31" s="784"/>
    </row>
    <row r="32" spans="1:51" s="7" customFormat="1" ht="20.100000000000001" customHeight="1">
      <c r="A32" s="27" t="s">
        <v>211</v>
      </c>
      <c r="B32" s="128" t="s">
        <v>212</v>
      </c>
      <c r="C32" s="18">
        <v>0</v>
      </c>
      <c r="D32" s="18">
        <f>0</f>
        <v>0</v>
      </c>
      <c r="E32" s="18">
        <v>0</v>
      </c>
      <c r="F32" s="215">
        <v>0</v>
      </c>
      <c r="G32" s="18">
        <f>0</f>
        <v>0</v>
      </c>
      <c r="H32" s="18">
        <v>0</v>
      </c>
      <c r="I32" s="18">
        <f>0</f>
        <v>0</v>
      </c>
      <c r="J32" s="215">
        <v>0</v>
      </c>
      <c r="K32" s="31">
        <v>0</v>
      </c>
      <c r="L32" s="26">
        <v>270</v>
      </c>
      <c r="M32" s="26">
        <v>30</v>
      </c>
      <c r="N32" s="215">
        <f>0*($A$85)</f>
        <v>0</v>
      </c>
      <c r="O32" s="17">
        <v>42.7</v>
      </c>
      <c r="P32" s="17">
        <v>43.1</v>
      </c>
      <c r="Q32" s="19">
        <v>0</v>
      </c>
      <c r="R32" s="215">
        <v>0</v>
      </c>
      <c r="S32" s="88">
        <v>12.4</v>
      </c>
      <c r="T32" s="88">
        <v>0</v>
      </c>
      <c r="U32" s="88">
        <v>0</v>
      </c>
      <c r="V32" s="215">
        <v>0</v>
      </c>
      <c r="W32" s="88">
        <v>0</v>
      </c>
      <c r="X32" s="88">
        <v>0</v>
      </c>
      <c r="Y32" s="88">
        <v>0</v>
      </c>
      <c r="Z32" s="215">
        <v>0</v>
      </c>
      <c r="AA32" s="88">
        <v>0</v>
      </c>
      <c r="AB32" s="88">
        <v>0</v>
      </c>
      <c r="AC32" s="88">
        <v>0</v>
      </c>
      <c r="AD32" s="215">
        <v>0</v>
      </c>
      <c r="AE32" s="88">
        <v>0</v>
      </c>
      <c r="AF32" s="88">
        <v>0</v>
      </c>
      <c r="AG32" s="88">
        <v>0</v>
      </c>
      <c r="AH32" s="215">
        <v>0</v>
      </c>
      <c r="AI32" s="88">
        <v>0</v>
      </c>
      <c r="AJ32" s="88">
        <v>0</v>
      </c>
      <c r="AK32" s="88">
        <v>0</v>
      </c>
      <c r="AL32" s="215">
        <v>0</v>
      </c>
      <c r="AM32" s="88">
        <v>0</v>
      </c>
      <c r="AN32" s="88">
        <v>0</v>
      </c>
      <c r="AO32" s="88">
        <v>0</v>
      </c>
      <c r="AP32" s="215">
        <v>0</v>
      </c>
      <c r="AQ32" s="88">
        <v>0</v>
      </c>
      <c r="AR32" s="787">
        <v>0</v>
      </c>
      <c r="AS32" s="88"/>
      <c r="AT32" s="215"/>
      <c r="AU32" s="754"/>
      <c r="AV32" s="755"/>
      <c r="AW32" s="783"/>
      <c r="AX32" s="784"/>
    </row>
    <row r="33" spans="1:51" s="7" customFormat="1" ht="20.100000000000001" customHeight="1">
      <c r="A33" s="27" t="s">
        <v>213</v>
      </c>
      <c r="B33" s="128" t="s">
        <v>214</v>
      </c>
      <c r="C33" s="17">
        <f>422.627</f>
        <v>422.62700000000001</v>
      </c>
      <c r="D33" s="30">
        <f>(309519)*0.001</f>
        <v>309.51900000000001</v>
      </c>
      <c r="E33" s="30">
        <f>(225111)*0.001</f>
        <v>225.11100000000002</v>
      </c>
      <c r="F33" s="213">
        <f>(270354)*0.001</f>
        <v>270.35399999999998</v>
      </c>
      <c r="G33" s="30">
        <f>(324338)*0.001</f>
        <v>324.33800000000002</v>
      </c>
      <c r="H33" s="30">
        <f>(265803)*0.001</f>
        <v>265.803</v>
      </c>
      <c r="I33" s="30">
        <f>(215396)*0.001</f>
        <v>215.39600000000002</v>
      </c>
      <c r="J33" s="213">
        <f>(342251)*0.001</f>
        <v>342.25100000000003</v>
      </c>
      <c r="K33" s="40">
        <f>(428190)*0.001</f>
        <v>428.19</v>
      </c>
      <c r="L33" s="16">
        <v>1894.3</v>
      </c>
      <c r="M33" s="16">
        <v>1631</v>
      </c>
      <c r="N33" s="213">
        <v>1735.3</v>
      </c>
      <c r="O33" s="17">
        <v>1478.9</v>
      </c>
      <c r="P33" s="17">
        <v>1383.8</v>
      </c>
      <c r="Q33" s="16">
        <v>1059.5999999999999</v>
      </c>
      <c r="R33" s="213">
        <v>1512</v>
      </c>
      <c r="S33" s="88">
        <v>1538.6</v>
      </c>
      <c r="T33" s="88">
        <v>944.5</v>
      </c>
      <c r="U33" s="88">
        <v>1099.4000000000001</v>
      </c>
      <c r="V33" s="213">
        <v>1326</v>
      </c>
      <c r="W33" s="88">
        <v>1567.7</v>
      </c>
      <c r="X33" s="88">
        <v>1354.6</v>
      </c>
      <c r="Y33" s="88">
        <v>1080.2</v>
      </c>
      <c r="Z33" s="213">
        <v>1161.5</v>
      </c>
      <c r="AA33" s="88">
        <v>785.9</v>
      </c>
      <c r="AB33" s="88">
        <v>876.1</v>
      </c>
      <c r="AC33" s="88">
        <v>1151.5</v>
      </c>
      <c r="AD33" s="213">
        <v>1167</v>
      </c>
      <c r="AE33" s="88">
        <v>745.7</v>
      </c>
      <c r="AF33" s="88">
        <v>774.9</v>
      </c>
      <c r="AG33" s="88">
        <v>878.2</v>
      </c>
      <c r="AH33" s="213">
        <v>743.5</v>
      </c>
      <c r="AI33" s="88">
        <v>1130.5999999999999</v>
      </c>
      <c r="AJ33" s="88">
        <v>1310.4000000000001</v>
      </c>
      <c r="AK33" s="88">
        <v>1153.0999999999999</v>
      </c>
      <c r="AL33" s="213">
        <v>1355.4</v>
      </c>
      <c r="AM33" s="88">
        <v>1147.5999999999999</v>
      </c>
      <c r="AN33" s="88">
        <v>659.8</v>
      </c>
      <c r="AO33" s="88">
        <v>7462.8</v>
      </c>
      <c r="AP33" s="213">
        <v>3632.4</v>
      </c>
      <c r="AQ33" s="88">
        <v>3342.9</v>
      </c>
      <c r="AR33" s="787">
        <v>1053</v>
      </c>
      <c r="AS33" s="88"/>
      <c r="AT33" s="213"/>
      <c r="AU33" s="754"/>
      <c r="AV33" s="755"/>
      <c r="AW33" s="783"/>
      <c r="AX33" s="784"/>
    </row>
    <row r="34" spans="1:51" s="7" customFormat="1" ht="20.100000000000001" customHeight="1" thickBot="1">
      <c r="A34" s="27" t="s">
        <v>215</v>
      </c>
      <c r="B34" s="128" t="s">
        <v>216</v>
      </c>
      <c r="C34" s="18">
        <v>0</v>
      </c>
      <c r="D34" s="18">
        <f>0</f>
        <v>0</v>
      </c>
      <c r="E34" s="18">
        <f>0</f>
        <v>0</v>
      </c>
      <c r="F34" s="215">
        <v>0</v>
      </c>
      <c r="G34" s="18">
        <f>0</f>
        <v>0</v>
      </c>
      <c r="H34" s="18">
        <v>0</v>
      </c>
      <c r="I34" s="18">
        <f>0</f>
        <v>0</v>
      </c>
      <c r="J34" s="215">
        <v>0</v>
      </c>
      <c r="K34" s="31">
        <v>0</v>
      </c>
      <c r="L34" s="26">
        <v>12.6</v>
      </c>
      <c r="M34" s="26">
        <v>12.2</v>
      </c>
      <c r="N34" s="215">
        <v>12.6</v>
      </c>
      <c r="O34" s="17">
        <v>12.7</v>
      </c>
      <c r="P34" s="17">
        <v>12.8</v>
      </c>
      <c r="Q34" s="26">
        <v>12.4</v>
      </c>
      <c r="R34" s="215">
        <v>11.7</v>
      </c>
      <c r="S34" s="88">
        <v>31.4</v>
      </c>
      <c r="T34" s="88">
        <v>10.9</v>
      </c>
      <c r="U34" s="88">
        <v>10.8</v>
      </c>
      <c r="V34" s="215">
        <v>10.7</v>
      </c>
      <c r="W34" s="88">
        <v>9.6</v>
      </c>
      <c r="X34" s="88">
        <v>8</v>
      </c>
      <c r="Y34" s="88">
        <v>8.1999999999999993</v>
      </c>
      <c r="Z34" s="215">
        <v>10.5</v>
      </c>
      <c r="AA34" s="88">
        <v>11.6</v>
      </c>
      <c r="AB34" s="88">
        <v>11.7</v>
      </c>
      <c r="AC34" s="88">
        <v>11.6</v>
      </c>
      <c r="AD34" s="215">
        <v>11.7</v>
      </c>
      <c r="AE34" s="88">
        <v>11.3</v>
      </c>
      <c r="AF34" s="88">
        <v>8.9</v>
      </c>
      <c r="AG34" s="88">
        <v>8</v>
      </c>
      <c r="AH34" s="215">
        <v>9.6</v>
      </c>
      <c r="AI34" s="88">
        <v>10.199999999999999</v>
      </c>
      <c r="AJ34" s="88">
        <v>10.1</v>
      </c>
      <c r="AK34" s="88">
        <v>11.1</v>
      </c>
      <c r="AL34" s="215">
        <v>10.4</v>
      </c>
      <c r="AM34" s="88">
        <v>11.2</v>
      </c>
      <c r="AN34" s="88">
        <v>8.6999999999999993</v>
      </c>
      <c r="AO34" s="88">
        <v>9.5</v>
      </c>
      <c r="AP34" s="213">
        <v>11.9</v>
      </c>
      <c r="AQ34" s="88">
        <v>10.8</v>
      </c>
      <c r="AR34" s="787">
        <v>9</v>
      </c>
      <c r="AS34" s="88"/>
      <c r="AT34" s="213"/>
      <c r="AU34" s="754"/>
      <c r="AV34" s="755"/>
      <c r="AW34" s="783"/>
      <c r="AX34" s="784"/>
    </row>
    <row r="35" spans="1:51" s="229" customFormat="1" ht="24.95" customHeight="1" thickBot="1">
      <c r="A35" s="403" t="s">
        <v>217</v>
      </c>
      <c r="B35" s="403" t="s">
        <v>218</v>
      </c>
      <c r="C35" s="404">
        <f t="shared" ref="C35:M35" si="2">SUM(C23:C34)</f>
        <v>1273.798</v>
      </c>
      <c r="D35" s="405">
        <f t="shared" si="2"/>
        <v>1172.6559999999999</v>
      </c>
      <c r="E35" s="405">
        <f t="shared" si="2"/>
        <v>1058.173</v>
      </c>
      <c r="F35" s="406">
        <f t="shared" si="2"/>
        <v>1085.1969999999999</v>
      </c>
      <c r="G35" s="405">
        <f t="shared" si="2"/>
        <v>1204.625</v>
      </c>
      <c r="H35" s="405">
        <f t="shared" si="2"/>
        <v>1164.163</v>
      </c>
      <c r="I35" s="405">
        <f t="shared" si="2"/>
        <v>1161.885</v>
      </c>
      <c r="J35" s="406">
        <f t="shared" si="2"/>
        <v>1220.3850000000002</v>
      </c>
      <c r="K35" s="404">
        <f t="shared" si="2"/>
        <v>1396.8419999999999</v>
      </c>
      <c r="L35" s="405">
        <f t="shared" si="2"/>
        <v>4435.3</v>
      </c>
      <c r="M35" s="405">
        <f t="shared" si="2"/>
        <v>3899.7999999999997</v>
      </c>
      <c r="N35" s="406">
        <f t="shared" ref="N35:S35" si="3">SUM(N23:N34)-N31</f>
        <v>3982.6</v>
      </c>
      <c r="O35" s="404">
        <f t="shared" si="3"/>
        <v>3956.9</v>
      </c>
      <c r="P35" s="405">
        <f t="shared" si="3"/>
        <v>4274.2</v>
      </c>
      <c r="Q35" s="405">
        <f t="shared" si="3"/>
        <v>3747.2000000000003</v>
      </c>
      <c r="R35" s="406">
        <f t="shared" si="3"/>
        <v>4228.8999999999987</v>
      </c>
      <c r="S35" s="404">
        <f t="shared" si="3"/>
        <v>3866.0000000000005</v>
      </c>
      <c r="T35" s="405">
        <f t="shared" ref="T35:U35" si="4">SUM(T23:T34)-T31</f>
        <v>3203.3</v>
      </c>
      <c r="U35" s="405">
        <f t="shared" si="4"/>
        <v>3445.5000000000005</v>
      </c>
      <c r="V35" s="406">
        <f t="shared" ref="V35" si="5">SUM(V23:V34)-V31</f>
        <v>3770.3999999999992</v>
      </c>
      <c r="W35" s="404">
        <f t="shared" ref="W35:X35" si="6">SUM(W23:W34)-W31</f>
        <v>3911.1000000000004</v>
      </c>
      <c r="X35" s="405">
        <f t="shared" si="6"/>
        <v>3862.9</v>
      </c>
      <c r="Y35" s="405">
        <f t="shared" ref="Y35:AB35" si="7">SUM(Y23:Y34)-Y31</f>
        <v>3676.6</v>
      </c>
      <c r="Z35" s="406">
        <f t="shared" si="7"/>
        <v>3931.5</v>
      </c>
      <c r="AA35" s="404">
        <f t="shared" si="7"/>
        <v>4363.8</v>
      </c>
      <c r="AB35" s="405">
        <f t="shared" si="7"/>
        <v>4827.2</v>
      </c>
      <c r="AC35" s="405">
        <f>SUM(AC23:AC34)-AC31</f>
        <v>5300.0000000000009</v>
      </c>
      <c r="AD35" s="406">
        <f>SUM(AD23:AD34)-AD31</f>
        <v>5422.7</v>
      </c>
      <c r="AE35" s="404">
        <f>SUM(AE23:AE34)-AE31</f>
        <v>4952.3000000000011</v>
      </c>
      <c r="AF35" s="405">
        <f t="shared" ref="AF35:AH35" si="8">SUM(AF23:AF34)-AF31</f>
        <v>4886.0999999999985</v>
      </c>
      <c r="AG35" s="405">
        <f t="shared" si="8"/>
        <v>5013.3999999999996</v>
      </c>
      <c r="AH35" s="406">
        <f t="shared" si="8"/>
        <v>4984.8999999999996</v>
      </c>
      <c r="AI35" s="404">
        <f>SUM(AI23:AI34)-AI31</f>
        <v>5339.8</v>
      </c>
      <c r="AJ35" s="405">
        <f t="shared" ref="AJ35:AK35" si="9">SUM(AJ23:AJ34)-AJ31</f>
        <v>5513.2</v>
      </c>
      <c r="AK35" s="405">
        <f t="shared" si="9"/>
        <v>5282.3000000000011</v>
      </c>
      <c r="AL35" s="406">
        <f>SUM(AL23:AL34)-AL31</f>
        <v>5277.2000000000007</v>
      </c>
      <c r="AM35" s="404">
        <f>SUM(AM23:AM34)-AM31</f>
        <v>5114.2999999999993</v>
      </c>
      <c r="AN35" s="405">
        <f t="shared" ref="AN35:AO35" si="10">SUM(AN23:AN34)-AN31</f>
        <v>4780.8</v>
      </c>
      <c r="AO35" s="405">
        <f t="shared" si="10"/>
        <v>12037.9</v>
      </c>
      <c r="AP35" s="406">
        <f>SUM(AP23:AP34)-AP31</f>
        <v>8077.3000000000011</v>
      </c>
      <c r="AQ35" s="404">
        <f>SUM(AQ23:AQ34)-AQ31</f>
        <v>8023.6</v>
      </c>
      <c r="AR35" s="789">
        <f t="shared" ref="AR35:AS35" si="11">SUM(AR23:AR34)-AR31</f>
        <v>6134.7</v>
      </c>
      <c r="AS35" s="405">
        <f t="shared" si="11"/>
        <v>0</v>
      </c>
      <c r="AT35" s="406">
        <f>SUM(AT23:AT34)-AT31</f>
        <v>0</v>
      </c>
      <c r="AU35" s="754"/>
      <c r="AV35" s="755"/>
      <c r="AW35" s="783"/>
      <c r="AX35" s="784"/>
      <c r="AY35" s="782"/>
    </row>
    <row r="36" spans="1:51" s="7" customFormat="1" ht="20.100000000000001" customHeight="1">
      <c r="A36" s="228" t="s">
        <v>219</v>
      </c>
      <c r="B36" s="211" t="s">
        <v>220</v>
      </c>
      <c r="C36" s="18"/>
      <c r="D36" s="18"/>
      <c r="E36" s="18"/>
      <c r="F36" s="215"/>
      <c r="G36" s="18"/>
      <c r="H36" s="18"/>
      <c r="I36" s="18"/>
      <c r="J36" s="215"/>
      <c r="K36" s="31"/>
      <c r="L36" s="26"/>
      <c r="M36" s="26"/>
      <c r="N36" s="215"/>
      <c r="O36" s="17"/>
      <c r="P36" s="17"/>
      <c r="Q36" s="19"/>
      <c r="R36" s="215"/>
      <c r="S36" s="88"/>
      <c r="T36" s="88"/>
      <c r="U36" s="88"/>
      <c r="V36" s="215"/>
      <c r="W36" s="88"/>
      <c r="X36" s="88"/>
      <c r="Y36" s="88"/>
      <c r="Z36" s="215"/>
      <c r="AA36" s="88"/>
      <c r="AB36" s="88"/>
      <c r="AC36" s="88"/>
      <c r="AD36" s="215"/>
      <c r="AE36" s="88"/>
      <c r="AF36" s="88"/>
      <c r="AG36" s="88"/>
      <c r="AH36" s="215"/>
      <c r="AI36" s="88"/>
      <c r="AJ36" s="88"/>
      <c r="AK36" s="88"/>
      <c r="AL36" s="215"/>
      <c r="AM36" s="88">
        <v>3574.4</v>
      </c>
      <c r="AN36" s="212">
        <v>4581.1000000000004</v>
      </c>
      <c r="AO36" s="88">
        <v>0</v>
      </c>
      <c r="AP36" s="215"/>
      <c r="AQ36" s="88"/>
      <c r="AR36" s="564"/>
      <c r="AS36" s="88"/>
      <c r="AT36" s="215"/>
      <c r="AU36" s="754"/>
      <c r="AV36" s="755"/>
      <c r="AW36" s="783"/>
      <c r="AX36" s="784"/>
    </row>
    <row r="37" spans="1:51" s="7" customFormat="1" ht="20.100000000000001" customHeight="1">
      <c r="A37" s="398" t="s">
        <v>221</v>
      </c>
      <c r="B37" s="399" t="s">
        <v>222</v>
      </c>
      <c r="C37" s="18"/>
      <c r="D37" s="18"/>
      <c r="E37" s="18"/>
      <c r="F37" s="215"/>
      <c r="G37" s="18"/>
      <c r="H37" s="18"/>
      <c r="I37" s="18"/>
      <c r="J37" s="215"/>
      <c r="K37" s="31"/>
      <c r="L37" s="26"/>
      <c r="M37" s="26"/>
      <c r="N37" s="215"/>
      <c r="O37" s="17"/>
      <c r="P37" s="17"/>
      <c r="Q37" s="19"/>
      <c r="R37" s="215"/>
      <c r="S37" s="88"/>
      <c r="T37" s="88"/>
      <c r="U37" s="88"/>
      <c r="V37" s="215"/>
      <c r="W37" s="88"/>
      <c r="X37" s="88"/>
      <c r="Y37" s="88"/>
      <c r="Z37" s="215"/>
      <c r="AA37" s="88"/>
      <c r="AB37" s="88"/>
      <c r="AC37" s="88"/>
      <c r="AD37" s="215"/>
      <c r="AE37" s="88"/>
      <c r="AF37" s="88"/>
      <c r="AG37" s="88"/>
      <c r="AH37" s="215"/>
      <c r="AI37" s="88"/>
      <c r="AJ37" s="88"/>
      <c r="AK37" s="88"/>
      <c r="AL37" s="215"/>
      <c r="AM37" s="89">
        <v>108.5</v>
      </c>
      <c r="AN37" s="89">
        <v>95.5</v>
      </c>
      <c r="AO37" s="88">
        <v>0</v>
      </c>
      <c r="AP37" s="215"/>
      <c r="AQ37" s="89"/>
      <c r="AR37" s="790"/>
      <c r="AS37" s="88"/>
      <c r="AT37" s="215"/>
      <c r="AU37" s="754"/>
      <c r="AV37" s="755"/>
      <c r="AW37" s="783"/>
      <c r="AX37" s="784"/>
    </row>
    <row r="38" spans="1:51" s="230" customFormat="1" ht="24.95" customHeight="1">
      <c r="A38" s="394" t="s">
        <v>223</v>
      </c>
      <c r="B38" s="394" t="s">
        <v>224</v>
      </c>
      <c r="C38" s="395">
        <f t="shared" ref="C38:Q38" si="12">C22+C35</f>
        <v>5502.7539999999999</v>
      </c>
      <c r="D38" s="396">
        <f t="shared" si="12"/>
        <v>5597.8010000000004</v>
      </c>
      <c r="E38" s="396">
        <f t="shared" si="12"/>
        <v>5514.8739999999998</v>
      </c>
      <c r="F38" s="397">
        <f t="shared" si="12"/>
        <v>5561.3450000000003</v>
      </c>
      <c r="G38" s="396">
        <f t="shared" si="12"/>
        <v>5629.4740000000011</v>
      </c>
      <c r="H38" s="396">
        <f t="shared" si="12"/>
        <v>5592.7070000000003</v>
      </c>
      <c r="I38" s="396">
        <f t="shared" si="12"/>
        <v>5597.9810000000007</v>
      </c>
      <c r="J38" s="397">
        <f t="shared" si="12"/>
        <v>5676.2300000000005</v>
      </c>
      <c r="K38" s="395">
        <f t="shared" si="12"/>
        <v>5851.1940000000004</v>
      </c>
      <c r="L38" s="396">
        <f t="shared" si="12"/>
        <v>27827.1</v>
      </c>
      <c r="M38" s="396">
        <f t="shared" si="12"/>
        <v>27481.199999999997</v>
      </c>
      <c r="N38" s="397">
        <f t="shared" si="12"/>
        <v>27338.699999999997</v>
      </c>
      <c r="O38" s="395">
        <f t="shared" si="12"/>
        <v>27088.9</v>
      </c>
      <c r="P38" s="396">
        <f t="shared" si="12"/>
        <v>27141.8</v>
      </c>
      <c r="Q38" s="396">
        <f t="shared" si="12"/>
        <v>26143.5</v>
      </c>
      <c r="R38" s="397">
        <f t="shared" ref="R38:S38" si="13">R22+R35</f>
        <v>26490.099999999995</v>
      </c>
      <c r="S38" s="395">
        <f t="shared" si="13"/>
        <v>28355.499999999996</v>
      </c>
      <c r="T38" s="396">
        <f t="shared" ref="T38:W38" si="14">T22+T35</f>
        <v>27581.1</v>
      </c>
      <c r="U38" s="396">
        <f t="shared" si="14"/>
        <v>27493.100000000002</v>
      </c>
      <c r="V38" s="397">
        <f t="shared" si="14"/>
        <v>27729.299999999996</v>
      </c>
      <c r="W38" s="395">
        <f t="shared" si="14"/>
        <v>27553.199999999997</v>
      </c>
      <c r="X38" s="396">
        <f t="shared" ref="X38:Y38" si="15">X22+X35</f>
        <v>27317.5</v>
      </c>
      <c r="Y38" s="396">
        <f t="shared" si="15"/>
        <v>26892.599999999995</v>
      </c>
      <c r="Z38" s="397">
        <f t="shared" ref="Z38:AH38" si="16">Z22+Z35</f>
        <v>27756</v>
      </c>
      <c r="AA38" s="395">
        <f t="shared" si="16"/>
        <v>27894.399999999998</v>
      </c>
      <c r="AB38" s="396">
        <f t="shared" si="16"/>
        <v>29751.599999999999</v>
      </c>
      <c r="AC38" s="396">
        <f t="shared" si="16"/>
        <v>30395.3</v>
      </c>
      <c r="AD38" s="397">
        <f t="shared" si="16"/>
        <v>30696.800000000003</v>
      </c>
      <c r="AE38" s="395">
        <f t="shared" si="16"/>
        <v>31463.800000000003</v>
      </c>
      <c r="AF38" s="396">
        <f t="shared" si="16"/>
        <v>31359.200000000001</v>
      </c>
      <c r="AG38" s="396">
        <f t="shared" si="16"/>
        <v>31277.699999999997</v>
      </c>
      <c r="AH38" s="397">
        <f t="shared" si="16"/>
        <v>32589.599999999999</v>
      </c>
      <c r="AI38" s="395">
        <f t="shared" ref="AI38:AL38" si="17">AI22+AI35</f>
        <v>32658.700000000004</v>
      </c>
      <c r="AJ38" s="396">
        <f t="shared" si="17"/>
        <v>32622.799999999996</v>
      </c>
      <c r="AK38" s="396">
        <f t="shared" si="17"/>
        <v>32814.1</v>
      </c>
      <c r="AL38" s="397">
        <f t="shared" si="17"/>
        <v>33115</v>
      </c>
      <c r="AM38" s="395">
        <f>AM22+AM35+AM36</f>
        <v>32954.499999999993</v>
      </c>
      <c r="AN38" s="396">
        <f>AN22+AN35+AN36</f>
        <v>32922.299999999996</v>
      </c>
      <c r="AO38" s="396">
        <f t="shared" ref="AO38:AP38" si="18">AO22+AO35</f>
        <v>35967.399999999994</v>
      </c>
      <c r="AP38" s="397">
        <f t="shared" si="18"/>
        <v>32237</v>
      </c>
      <c r="AQ38" s="395">
        <f>AQ22+AQ35+AQ36</f>
        <v>31895.199999999997</v>
      </c>
      <c r="AR38" s="396">
        <f>AR22+AR35+AR36</f>
        <v>31814.000000000004</v>
      </c>
      <c r="AS38" s="396">
        <f t="shared" ref="AS38:AT38" si="19">AS22+AS35</f>
        <v>0</v>
      </c>
      <c r="AT38" s="397">
        <f t="shared" si="19"/>
        <v>0</v>
      </c>
      <c r="AU38" s="754"/>
      <c r="AV38" s="755"/>
      <c r="AW38" s="783"/>
      <c r="AX38" s="784"/>
    </row>
    <row r="39" spans="1:51" s="402" customFormat="1" ht="38.25" customHeight="1">
      <c r="A39" s="400" t="s">
        <v>225</v>
      </c>
      <c r="B39" s="401" t="s">
        <v>226</v>
      </c>
      <c r="C39" s="453"/>
      <c r="D39" s="453"/>
      <c r="E39" s="454"/>
      <c r="F39" s="455"/>
      <c r="G39" s="453"/>
      <c r="H39" s="453"/>
      <c r="I39" s="454"/>
      <c r="J39" s="455"/>
      <c r="K39" s="453"/>
      <c r="L39" s="453"/>
      <c r="M39" s="454"/>
      <c r="N39" s="455"/>
      <c r="O39" s="453"/>
      <c r="P39" s="453"/>
      <c r="Q39" s="454"/>
      <c r="R39" s="455"/>
      <c r="S39" s="453"/>
      <c r="T39" s="453"/>
      <c r="U39" s="454"/>
      <c r="V39" s="455"/>
      <c r="W39" s="453"/>
      <c r="X39" s="453"/>
      <c r="Y39" s="454"/>
      <c r="Z39" s="455"/>
      <c r="AA39" s="453"/>
      <c r="AB39" s="453"/>
      <c r="AC39" s="454"/>
      <c r="AD39" s="455"/>
      <c r="AE39" s="453"/>
      <c r="AF39" s="453"/>
      <c r="AG39" s="454"/>
      <c r="AH39" s="455"/>
      <c r="AI39" s="453"/>
      <c r="AJ39" s="453"/>
      <c r="AK39" s="454"/>
      <c r="AL39" s="455"/>
      <c r="AM39" s="453"/>
      <c r="AN39" s="453"/>
      <c r="AO39" s="454"/>
      <c r="AP39" s="455"/>
      <c r="AQ39" s="453"/>
      <c r="AR39" s="453"/>
      <c r="AS39" s="454"/>
      <c r="AT39" s="455"/>
      <c r="AU39" s="754"/>
      <c r="AV39" s="755"/>
      <c r="AW39" s="783"/>
      <c r="AX39" s="784"/>
    </row>
    <row r="40" spans="1:51" s="7" customFormat="1" ht="20.100000000000001" customHeight="1">
      <c r="A40" s="27" t="s">
        <v>227</v>
      </c>
      <c r="B40" s="128" t="s">
        <v>228</v>
      </c>
      <c r="C40" s="41">
        <f>13.934</f>
        <v>13.933999999999999</v>
      </c>
      <c r="D40" s="41">
        <f t="shared" ref="D40:K40" si="20">(13934)*0.001</f>
        <v>13.934000000000001</v>
      </c>
      <c r="E40" s="41">
        <f t="shared" si="20"/>
        <v>13.934000000000001</v>
      </c>
      <c r="F40" s="239">
        <f t="shared" si="20"/>
        <v>13.934000000000001</v>
      </c>
      <c r="G40" s="240">
        <f t="shared" si="20"/>
        <v>13.934000000000001</v>
      </c>
      <c r="H40" s="240">
        <f t="shared" si="20"/>
        <v>13.934000000000001</v>
      </c>
      <c r="I40" s="240">
        <f t="shared" si="20"/>
        <v>13.934000000000001</v>
      </c>
      <c r="J40" s="240">
        <f t="shared" si="20"/>
        <v>13.934000000000001</v>
      </c>
      <c r="K40" s="252">
        <f t="shared" si="20"/>
        <v>13.934000000000001</v>
      </c>
      <c r="L40" s="238">
        <v>25.6</v>
      </c>
      <c r="M40" s="238">
        <v>25.6</v>
      </c>
      <c r="N40" s="245">
        <v>25.6</v>
      </c>
      <c r="O40" s="248">
        <v>25.6</v>
      </c>
      <c r="P40" s="248">
        <v>25.6</v>
      </c>
      <c r="Q40" s="248">
        <v>25.6</v>
      </c>
      <c r="R40" s="221">
        <v>25.6</v>
      </c>
      <c r="S40" s="220">
        <v>25.6</v>
      </c>
      <c r="T40" s="220">
        <v>25.6</v>
      </c>
      <c r="U40" s="220">
        <v>25.6</v>
      </c>
      <c r="V40" s="221">
        <v>25.6</v>
      </c>
      <c r="W40" s="220">
        <v>25.6</v>
      </c>
      <c r="X40" s="220">
        <v>25.6</v>
      </c>
      <c r="Y40" s="220">
        <v>25.6</v>
      </c>
      <c r="Z40" s="221">
        <v>25.6</v>
      </c>
      <c r="AA40" s="220">
        <v>25.6</v>
      </c>
      <c r="AB40" s="220">
        <v>25.6</v>
      </c>
      <c r="AC40" s="220">
        <v>25.6</v>
      </c>
      <c r="AD40" s="221">
        <v>25.6</v>
      </c>
      <c r="AE40" s="220">
        <v>25.6</v>
      </c>
      <c r="AF40" s="220">
        <v>25.6</v>
      </c>
      <c r="AG40" s="220">
        <v>25.6</v>
      </c>
      <c r="AH40" s="221">
        <v>25.6</v>
      </c>
      <c r="AI40" s="220">
        <v>25.6</v>
      </c>
      <c r="AJ40" s="220">
        <v>25.6</v>
      </c>
      <c r="AK40" s="220">
        <v>25.6</v>
      </c>
      <c r="AL40" s="221">
        <v>25.6</v>
      </c>
      <c r="AM40" s="220">
        <v>25.6</v>
      </c>
      <c r="AN40" s="220">
        <v>25.6</v>
      </c>
      <c r="AO40" s="220">
        <v>25.6</v>
      </c>
      <c r="AP40" s="221">
        <v>25.6</v>
      </c>
      <c r="AQ40" s="220">
        <v>25.6</v>
      </c>
      <c r="AR40" s="220">
        <v>25.6</v>
      </c>
      <c r="AS40" s="220"/>
      <c r="AT40" s="221"/>
      <c r="AU40" s="754"/>
      <c r="AV40" s="755"/>
      <c r="AW40" s="783"/>
      <c r="AX40" s="784"/>
    </row>
    <row r="41" spans="1:51" s="7" customFormat="1" ht="20.100000000000001" customHeight="1">
      <c r="A41" s="27" t="s">
        <v>229</v>
      </c>
      <c r="B41" s="128" t="s">
        <v>230</v>
      </c>
      <c r="C41" s="41">
        <f>432.265</f>
        <v>432.26499999999999</v>
      </c>
      <c r="D41" s="24">
        <v>0</v>
      </c>
      <c r="E41" s="24">
        <v>0</v>
      </c>
      <c r="F41" s="231">
        <v>0</v>
      </c>
      <c r="G41" s="232">
        <v>0</v>
      </c>
      <c r="H41" s="232">
        <v>0</v>
      </c>
      <c r="I41" s="232">
        <v>0</v>
      </c>
      <c r="J41" s="232">
        <v>0</v>
      </c>
      <c r="K41" s="233">
        <v>0</v>
      </c>
      <c r="L41" s="232">
        <v>0</v>
      </c>
      <c r="M41" s="232">
        <v>0</v>
      </c>
      <c r="N41" s="231">
        <v>0</v>
      </c>
      <c r="O41" s="232">
        <v>0</v>
      </c>
      <c r="P41" s="232">
        <v>0</v>
      </c>
      <c r="Q41" s="232">
        <v>0</v>
      </c>
      <c r="R41" s="221">
        <v>0</v>
      </c>
      <c r="S41" s="222">
        <v>0</v>
      </c>
      <c r="T41" s="222">
        <v>0</v>
      </c>
      <c r="U41" s="222">
        <v>0</v>
      </c>
      <c r="V41" s="221">
        <v>0</v>
      </c>
      <c r="W41" s="222">
        <v>0</v>
      </c>
      <c r="X41" s="222">
        <v>0</v>
      </c>
      <c r="Y41" s="222">
        <v>0</v>
      </c>
      <c r="Z41" s="221">
        <v>0</v>
      </c>
      <c r="AA41" s="222">
        <v>0</v>
      </c>
      <c r="AB41" s="222">
        <v>0</v>
      </c>
      <c r="AC41" s="222">
        <v>0</v>
      </c>
      <c r="AD41" s="221">
        <v>0</v>
      </c>
      <c r="AE41" s="222">
        <v>0</v>
      </c>
      <c r="AF41" s="222">
        <v>0</v>
      </c>
      <c r="AG41" s="222">
        <v>0</v>
      </c>
      <c r="AH41" s="221">
        <v>0</v>
      </c>
      <c r="AI41" s="222">
        <v>0</v>
      </c>
      <c r="AJ41" s="222">
        <v>0</v>
      </c>
      <c r="AK41" s="222">
        <v>0</v>
      </c>
      <c r="AL41" s="221">
        <v>0</v>
      </c>
      <c r="AM41" s="222">
        <v>0</v>
      </c>
      <c r="AN41" s="222">
        <v>0</v>
      </c>
      <c r="AO41" s="222">
        <v>0</v>
      </c>
      <c r="AP41" s="221">
        <v>0</v>
      </c>
      <c r="AQ41" s="222">
        <v>0</v>
      </c>
      <c r="AR41" s="222">
        <v>0</v>
      </c>
      <c r="AS41" s="222"/>
      <c r="AT41" s="221"/>
      <c r="AU41" s="754"/>
      <c r="AV41" s="755"/>
      <c r="AW41" s="783"/>
      <c r="AX41" s="784"/>
    </row>
    <row r="42" spans="1:51" s="7" customFormat="1" ht="20.100000000000001" customHeight="1">
      <c r="A42" s="27" t="s">
        <v>231</v>
      </c>
      <c r="B42" s="128" t="s">
        <v>232</v>
      </c>
      <c r="C42" s="41">
        <f>1305.277</f>
        <v>1305.277</v>
      </c>
      <c r="D42" s="24">
        <v>0</v>
      </c>
      <c r="E42" s="24">
        <v>0</v>
      </c>
      <c r="F42" s="231">
        <v>0</v>
      </c>
      <c r="G42" s="232">
        <v>0</v>
      </c>
      <c r="H42" s="232">
        <v>0</v>
      </c>
      <c r="I42" s="232">
        <v>0</v>
      </c>
      <c r="J42" s="232">
        <v>0</v>
      </c>
      <c r="K42" s="233">
        <v>0</v>
      </c>
      <c r="L42" s="232">
        <v>0</v>
      </c>
      <c r="M42" s="232">
        <v>0</v>
      </c>
      <c r="N42" s="231">
        <v>0</v>
      </c>
      <c r="O42" s="232">
        <v>0</v>
      </c>
      <c r="P42" s="232">
        <v>0</v>
      </c>
      <c r="Q42" s="232">
        <v>0</v>
      </c>
      <c r="R42" s="221">
        <v>0</v>
      </c>
      <c r="S42" s="222">
        <v>0</v>
      </c>
      <c r="T42" s="222">
        <v>0</v>
      </c>
      <c r="U42" s="222">
        <v>0</v>
      </c>
      <c r="V42" s="221">
        <v>0</v>
      </c>
      <c r="W42" s="222">
        <v>0</v>
      </c>
      <c r="X42" s="222">
        <v>0</v>
      </c>
      <c r="Y42" s="222">
        <v>0</v>
      </c>
      <c r="Z42" s="221">
        <v>0</v>
      </c>
      <c r="AA42" s="222">
        <v>0</v>
      </c>
      <c r="AB42" s="222">
        <v>0</v>
      </c>
      <c r="AC42" s="222">
        <v>0</v>
      </c>
      <c r="AD42" s="221">
        <v>0</v>
      </c>
      <c r="AE42" s="222">
        <v>0</v>
      </c>
      <c r="AF42" s="222">
        <v>0</v>
      </c>
      <c r="AG42" s="222">
        <v>0</v>
      </c>
      <c r="AH42" s="221">
        <v>0</v>
      </c>
      <c r="AI42" s="222">
        <v>0</v>
      </c>
      <c r="AJ42" s="222">
        <v>0</v>
      </c>
      <c r="AK42" s="222">
        <v>0</v>
      </c>
      <c r="AL42" s="221">
        <v>0</v>
      </c>
      <c r="AM42" s="222">
        <v>0</v>
      </c>
      <c r="AN42" s="222">
        <v>0</v>
      </c>
      <c r="AO42" s="222">
        <v>0</v>
      </c>
      <c r="AP42" s="221">
        <v>0</v>
      </c>
      <c r="AQ42" s="222">
        <v>0</v>
      </c>
      <c r="AR42" s="222">
        <v>0</v>
      </c>
      <c r="AS42" s="222"/>
      <c r="AT42" s="221"/>
      <c r="AU42" s="754"/>
      <c r="AV42" s="755"/>
      <c r="AW42" s="783"/>
      <c r="AX42" s="784"/>
    </row>
    <row r="43" spans="1:51" s="7" customFormat="1" ht="20.100000000000001" customHeight="1">
      <c r="A43" s="27" t="s">
        <v>233</v>
      </c>
      <c r="B43" s="128" t="s">
        <v>234</v>
      </c>
      <c r="C43" s="24">
        <v>0</v>
      </c>
      <c r="D43" s="17">
        <f t="shared" ref="D43:K43" si="21">(1295103)*0.001</f>
        <v>1295.1030000000001</v>
      </c>
      <c r="E43" s="17">
        <f t="shared" si="21"/>
        <v>1295.1030000000001</v>
      </c>
      <c r="F43" s="234">
        <f t="shared" si="21"/>
        <v>1295.1030000000001</v>
      </c>
      <c r="G43" s="235">
        <f t="shared" si="21"/>
        <v>1295.1030000000001</v>
      </c>
      <c r="H43" s="235">
        <f t="shared" si="21"/>
        <v>1295.1030000000001</v>
      </c>
      <c r="I43" s="235">
        <f t="shared" si="21"/>
        <v>1295.1030000000001</v>
      </c>
      <c r="J43" s="234">
        <f t="shared" si="21"/>
        <v>1295.1030000000001</v>
      </c>
      <c r="K43" s="235">
        <f t="shared" si="21"/>
        <v>1295.1030000000001</v>
      </c>
      <c r="L43" s="236">
        <v>7237.5</v>
      </c>
      <c r="M43" s="236">
        <v>7237.5</v>
      </c>
      <c r="N43" s="237">
        <v>7174</v>
      </c>
      <c r="O43" s="238">
        <v>7237.4</v>
      </c>
      <c r="P43" s="238">
        <v>7174</v>
      </c>
      <c r="Q43" s="238">
        <v>7174</v>
      </c>
      <c r="R43" s="221">
        <v>7174</v>
      </c>
      <c r="S43" s="220">
        <v>7174</v>
      </c>
      <c r="T43" s="220">
        <v>7174</v>
      </c>
      <c r="U43" s="220">
        <v>7174</v>
      </c>
      <c r="V43" s="221">
        <v>7174</v>
      </c>
      <c r="W43" s="220">
        <v>7174</v>
      </c>
      <c r="X43" s="220">
        <v>7174</v>
      </c>
      <c r="Y43" s="220">
        <v>7174</v>
      </c>
      <c r="Z43" s="221">
        <v>7174</v>
      </c>
      <c r="AA43" s="220">
        <v>7174</v>
      </c>
      <c r="AB43" s="220">
        <v>7174</v>
      </c>
      <c r="AC43" s="220">
        <v>7174</v>
      </c>
      <c r="AD43" s="221">
        <v>7174</v>
      </c>
      <c r="AE43" s="220">
        <v>7174</v>
      </c>
      <c r="AF43" s="220">
        <v>7174</v>
      </c>
      <c r="AG43" s="220">
        <v>7174</v>
      </c>
      <c r="AH43" s="221">
        <v>7174</v>
      </c>
      <c r="AI43" s="220">
        <v>7174</v>
      </c>
      <c r="AJ43" s="220">
        <v>7174</v>
      </c>
      <c r="AK43" s="220">
        <v>7174</v>
      </c>
      <c r="AL43" s="221">
        <v>7174</v>
      </c>
      <c r="AM43" s="220">
        <v>7174</v>
      </c>
      <c r="AN43" s="220">
        <v>7174</v>
      </c>
      <c r="AO43" s="220">
        <v>7174</v>
      </c>
      <c r="AP43" s="221">
        <v>7174</v>
      </c>
      <c r="AQ43" s="220">
        <v>7174</v>
      </c>
      <c r="AR43" s="220">
        <v>7174</v>
      </c>
      <c r="AS43" s="220"/>
      <c r="AT43" s="221"/>
      <c r="AU43" s="754"/>
      <c r="AV43" s="755"/>
      <c r="AW43" s="783"/>
      <c r="AX43" s="784"/>
    </row>
    <row r="44" spans="1:51" s="7" customFormat="1" ht="20.100000000000001" customHeight="1">
      <c r="A44" s="27" t="s">
        <v>235</v>
      </c>
      <c r="B44" s="128" t="s">
        <v>236</v>
      </c>
      <c r="C44" s="43">
        <f>-3.17</f>
        <v>-3.17</v>
      </c>
      <c r="D44" s="24">
        <v>0</v>
      </c>
      <c r="E44" s="24">
        <v>0</v>
      </c>
      <c r="F44" s="231">
        <v>0</v>
      </c>
      <c r="G44" s="232">
        <v>0</v>
      </c>
      <c r="H44" s="232">
        <v>0</v>
      </c>
      <c r="I44" s="232">
        <v>0</v>
      </c>
      <c r="J44" s="232">
        <v>0</v>
      </c>
      <c r="K44" s="233">
        <v>0</v>
      </c>
      <c r="L44" s="232">
        <v>0</v>
      </c>
      <c r="M44" s="232">
        <v>0</v>
      </c>
      <c r="N44" s="231">
        <v>0</v>
      </c>
      <c r="O44" s="232">
        <v>0</v>
      </c>
      <c r="P44" s="232">
        <v>0</v>
      </c>
      <c r="Q44" s="232">
        <v>0</v>
      </c>
      <c r="R44" s="221">
        <v>0</v>
      </c>
      <c r="S44" s="222">
        <v>0</v>
      </c>
      <c r="T44" s="222">
        <v>0</v>
      </c>
      <c r="U44" s="222">
        <v>0</v>
      </c>
      <c r="V44" s="221">
        <v>0</v>
      </c>
      <c r="W44" s="222">
        <v>0</v>
      </c>
      <c r="X44" s="222">
        <v>0</v>
      </c>
      <c r="Y44" s="222">
        <v>0</v>
      </c>
      <c r="Z44" s="221">
        <v>0</v>
      </c>
      <c r="AA44" s="222">
        <v>0</v>
      </c>
      <c r="AB44" s="222">
        <v>0</v>
      </c>
      <c r="AC44" s="222">
        <v>0</v>
      </c>
      <c r="AD44" s="221">
        <v>0</v>
      </c>
      <c r="AE44" s="222">
        <v>0</v>
      </c>
      <c r="AF44" s="222">
        <v>0</v>
      </c>
      <c r="AG44" s="222">
        <v>0</v>
      </c>
      <c r="AH44" s="221">
        <v>0</v>
      </c>
      <c r="AI44" s="222">
        <v>0</v>
      </c>
      <c r="AJ44" s="222">
        <v>0</v>
      </c>
      <c r="AK44" s="222">
        <v>0</v>
      </c>
      <c r="AL44" s="221">
        <v>0</v>
      </c>
      <c r="AM44" s="222">
        <v>0</v>
      </c>
      <c r="AN44" s="222">
        <v>0</v>
      </c>
      <c r="AO44" s="222">
        <v>0</v>
      </c>
      <c r="AP44" s="221">
        <v>0</v>
      </c>
      <c r="AQ44" s="222">
        <v>0</v>
      </c>
      <c r="AR44" s="222">
        <v>0</v>
      </c>
      <c r="AS44" s="222"/>
      <c r="AT44" s="221"/>
      <c r="AU44" s="754"/>
      <c r="AV44" s="755"/>
      <c r="AW44" s="783"/>
      <c r="AX44" s="784"/>
    </row>
    <row r="45" spans="1:51" s="7" customFormat="1" ht="20.100000000000001" customHeight="1">
      <c r="A45" s="27" t="s">
        <v>237</v>
      </c>
      <c r="B45" s="128" t="s">
        <v>238</v>
      </c>
      <c r="C45" s="41">
        <f>2.396</f>
        <v>2.3959999999999999</v>
      </c>
      <c r="D45" s="24">
        <v>0</v>
      </c>
      <c r="E45" s="24">
        <v>0</v>
      </c>
      <c r="F45" s="231">
        <v>0</v>
      </c>
      <c r="G45" s="232">
        <v>0</v>
      </c>
      <c r="H45" s="232">
        <v>0</v>
      </c>
      <c r="I45" s="232">
        <v>0</v>
      </c>
      <c r="J45" s="232">
        <v>0</v>
      </c>
      <c r="K45" s="233">
        <v>0</v>
      </c>
      <c r="L45" s="232">
        <v>0</v>
      </c>
      <c r="M45" s="232">
        <v>0</v>
      </c>
      <c r="N45" s="231">
        <v>0</v>
      </c>
      <c r="O45" s="232">
        <v>0</v>
      </c>
      <c r="P45" s="232">
        <v>0</v>
      </c>
      <c r="Q45" s="232">
        <v>0</v>
      </c>
      <c r="R45" s="221">
        <v>0</v>
      </c>
      <c r="S45" s="222">
        <v>0</v>
      </c>
      <c r="T45" s="222">
        <v>0</v>
      </c>
      <c r="U45" s="222">
        <v>0</v>
      </c>
      <c r="V45" s="221">
        <v>0</v>
      </c>
      <c r="W45" s="222">
        <v>0</v>
      </c>
      <c r="X45" s="222">
        <v>0</v>
      </c>
      <c r="Y45" s="222">
        <v>0</v>
      </c>
      <c r="Z45" s="221">
        <v>0</v>
      </c>
      <c r="AA45" s="222">
        <v>0</v>
      </c>
      <c r="AB45" s="222">
        <v>0</v>
      </c>
      <c r="AC45" s="222">
        <v>0</v>
      </c>
      <c r="AD45" s="221">
        <v>0</v>
      </c>
      <c r="AE45" s="222">
        <v>0</v>
      </c>
      <c r="AF45" s="222">
        <v>0</v>
      </c>
      <c r="AG45" s="222">
        <v>0</v>
      </c>
      <c r="AH45" s="221">
        <v>0</v>
      </c>
      <c r="AI45" s="222">
        <v>0</v>
      </c>
      <c r="AJ45" s="222">
        <v>0</v>
      </c>
      <c r="AK45" s="222">
        <v>0</v>
      </c>
      <c r="AL45" s="221">
        <v>0</v>
      </c>
      <c r="AM45" s="222">
        <v>0</v>
      </c>
      <c r="AN45" s="222">
        <v>0</v>
      </c>
      <c r="AO45" s="222">
        <v>0</v>
      </c>
      <c r="AP45" s="221">
        <v>0</v>
      </c>
      <c r="AQ45" s="222">
        <v>0</v>
      </c>
      <c r="AR45" s="222">
        <v>0</v>
      </c>
      <c r="AS45" s="222"/>
      <c r="AT45" s="221"/>
      <c r="AU45" s="754"/>
      <c r="AV45" s="755"/>
      <c r="AW45" s="783"/>
      <c r="AX45" s="784"/>
    </row>
    <row r="46" spans="1:51" s="7" customFormat="1" ht="20.100000000000001" customHeight="1">
      <c r="A46" s="27" t="s">
        <v>239</v>
      </c>
      <c r="B46" s="131" t="s">
        <v>240</v>
      </c>
      <c r="C46" s="41"/>
      <c r="D46" s="24"/>
      <c r="E46" s="24"/>
      <c r="F46" s="231"/>
      <c r="G46" s="232"/>
      <c r="H46" s="232"/>
      <c r="I46" s="232"/>
      <c r="J46" s="232"/>
      <c r="K46" s="233"/>
      <c r="L46" s="232"/>
      <c r="M46" s="232"/>
      <c r="N46" s="231"/>
      <c r="O46" s="232"/>
      <c r="P46" s="232"/>
      <c r="Q46" s="232"/>
      <c r="R46" s="221"/>
      <c r="S46" s="222"/>
      <c r="T46" s="222"/>
      <c r="U46" s="222"/>
      <c r="V46" s="221"/>
      <c r="W46" s="222"/>
      <c r="X46" s="222"/>
      <c r="Y46" s="222"/>
      <c r="Z46" s="221"/>
      <c r="AA46" s="222"/>
      <c r="AB46" s="222"/>
      <c r="AC46" s="222"/>
      <c r="AD46" s="221"/>
      <c r="AE46" s="222"/>
      <c r="AF46" s="222"/>
      <c r="AG46" s="222"/>
      <c r="AH46" s="221"/>
      <c r="AI46" s="222"/>
      <c r="AJ46" s="222">
        <v>17.100000000000001</v>
      </c>
      <c r="AK46" s="222">
        <v>17.100000000000001</v>
      </c>
      <c r="AL46" s="221">
        <v>21.2</v>
      </c>
      <c r="AM46" s="222">
        <v>21.2</v>
      </c>
      <c r="AN46" s="222">
        <v>21.3</v>
      </c>
      <c r="AO46" s="222">
        <v>21.4</v>
      </c>
      <c r="AP46" s="221">
        <v>32.1</v>
      </c>
      <c r="AQ46" s="222">
        <v>32.200000000000003</v>
      </c>
      <c r="AR46" s="222">
        <v>41.7</v>
      </c>
      <c r="AS46" s="222"/>
      <c r="AT46" s="221"/>
      <c r="AU46" s="754"/>
      <c r="AV46" s="755"/>
      <c r="AW46" s="783"/>
      <c r="AX46" s="784"/>
    </row>
    <row r="47" spans="1:51" s="7" customFormat="1" ht="20.100000000000001" customHeight="1">
      <c r="A47" s="27" t="s">
        <v>241</v>
      </c>
      <c r="B47" s="128" t="s">
        <v>232</v>
      </c>
      <c r="C47" s="24">
        <v>0</v>
      </c>
      <c r="D47" s="41">
        <f>(1225)*0.001</f>
        <v>1.2250000000000001</v>
      </c>
      <c r="E47" s="43">
        <f>(-8191)*0.001</f>
        <v>-8.1910000000000007</v>
      </c>
      <c r="F47" s="262">
        <f>(-16327)*0.001</f>
        <v>-16.327000000000002</v>
      </c>
      <c r="G47" s="43">
        <f>(-17667)*0.001</f>
        <v>-17.667000000000002</v>
      </c>
      <c r="H47" s="43">
        <f>(-13285)*0.001</f>
        <v>-13.285</v>
      </c>
      <c r="I47" s="43">
        <f>(-11455)*0.001</f>
        <v>-11.455</v>
      </c>
      <c r="J47" s="262">
        <f>(-8964)*0.001</f>
        <v>-8.9640000000000004</v>
      </c>
      <c r="K47" s="233">
        <v>0</v>
      </c>
      <c r="L47" s="232">
        <v>0</v>
      </c>
      <c r="M47" s="241">
        <v>-9.1999999999999993</v>
      </c>
      <c r="N47" s="242">
        <v>-12.2</v>
      </c>
      <c r="O47" s="241">
        <v>-12.7</v>
      </c>
      <c r="P47" s="241">
        <v>-7.9</v>
      </c>
      <c r="Q47" s="241">
        <v>-8.1999999999999993</v>
      </c>
      <c r="R47" s="221">
        <v>-3.7</v>
      </c>
      <c r="S47" s="223">
        <v>-1.7</v>
      </c>
      <c r="T47" s="223">
        <v>0.1</v>
      </c>
      <c r="U47" s="223">
        <v>2.2000000000000002</v>
      </c>
      <c r="V47" s="221">
        <v>4.5</v>
      </c>
      <c r="W47" s="223">
        <v>3.8</v>
      </c>
      <c r="X47" s="223">
        <v>3.6</v>
      </c>
      <c r="Y47" s="223">
        <v>3.5</v>
      </c>
      <c r="Z47" s="221">
        <v>3.2</v>
      </c>
      <c r="AA47" s="223">
        <v>2.8</v>
      </c>
      <c r="AB47" s="223">
        <v>-204.3</v>
      </c>
      <c r="AC47" s="220">
        <v>-204.1</v>
      </c>
      <c r="AD47" s="221">
        <v>-162.5</v>
      </c>
      <c r="AE47" s="223">
        <v>-162.4</v>
      </c>
      <c r="AF47" s="223">
        <v>3.3</v>
      </c>
      <c r="AG47" s="220">
        <v>3.4</v>
      </c>
      <c r="AH47" s="221">
        <v>1.5</v>
      </c>
      <c r="AI47" s="223">
        <v>-4.8</v>
      </c>
      <c r="AJ47" s="223">
        <v>-7.2</v>
      </c>
      <c r="AK47" s="220">
        <v>-7.4</v>
      </c>
      <c r="AL47" s="221">
        <v>99.7</v>
      </c>
      <c r="AM47" s="223">
        <v>-4.3</v>
      </c>
      <c r="AN47" s="220">
        <v>-22.1</v>
      </c>
      <c r="AO47" s="220">
        <v>-126.3</v>
      </c>
      <c r="AP47" s="221">
        <v>2801.3</v>
      </c>
      <c r="AQ47" s="220">
        <v>2812.1</v>
      </c>
      <c r="AR47" s="791">
        <v>2827.1</v>
      </c>
      <c r="AS47" s="220"/>
      <c r="AT47" s="221"/>
      <c r="AU47" s="754"/>
      <c r="AV47" s="755"/>
      <c r="AW47" s="783"/>
      <c r="AX47" s="784"/>
    </row>
    <row r="48" spans="1:51" s="7" customFormat="1" ht="20.100000000000001" customHeight="1">
      <c r="A48" s="27" t="s">
        <v>242</v>
      </c>
      <c r="B48" s="128" t="s">
        <v>243</v>
      </c>
      <c r="C48" s="41">
        <f>340.065</f>
        <v>340.065</v>
      </c>
      <c r="D48" s="41">
        <f>(882007)*0.001</f>
        <v>882.00700000000006</v>
      </c>
      <c r="E48" s="44">
        <f>(1054069)*0.001</f>
        <v>1054.069</v>
      </c>
      <c r="F48" s="243">
        <f>(1175693)*0.001</f>
        <v>1175.693</v>
      </c>
      <c r="G48" s="244">
        <f>(1270798)*0.001</f>
        <v>1270.798</v>
      </c>
      <c r="H48" s="244">
        <f>(1351543)*0.001</f>
        <v>1351.5430000000001</v>
      </c>
      <c r="I48" s="244">
        <f>(1527994)*0.001</f>
        <v>1527.9940000000001</v>
      </c>
      <c r="J48" s="243">
        <f>(1701138)*0.001</f>
        <v>1701.1380000000001</v>
      </c>
      <c r="K48" s="244">
        <f>(1799310)*0.001</f>
        <v>1799.31</v>
      </c>
      <c r="L48" s="236">
        <v>1828.6</v>
      </c>
      <c r="M48" s="236">
        <v>1876.8</v>
      </c>
      <c r="N48" s="245">
        <v>1890.8</v>
      </c>
      <c r="O48" s="236">
        <v>2061.6</v>
      </c>
      <c r="P48" s="236">
        <v>2366.1</v>
      </c>
      <c r="Q48" s="236">
        <v>2868.6</v>
      </c>
      <c r="R48" s="221">
        <v>3054.2</v>
      </c>
      <c r="S48" s="223">
        <v>3229.7</v>
      </c>
      <c r="T48" s="223">
        <v>3467.4</v>
      </c>
      <c r="U48" s="223">
        <v>3745.6</v>
      </c>
      <c r="V48" s="221">
        <v>4095.5</v>
      </c>
      <c r="W48" s="223">
        <v>4374.8999999999996</v>
      </c>
      <c r="X48" s="223">
        <v>4461.3999999999996</v>
      </c>
      <c r="Y48" s="223">
        <v>4704.3</v>
      </c>
      <c r="Z48" s="221">
        <v>4871.3999999999996</v>
      </c>
      <c r="AA48" s="223">
        <v>5668.6</v>
      </c>
      <c r="AB48" s="223">
        <v>5904.4</v>
      </c>
      <c r="AC48" s="220">
        <v>6130.5</v>
      </c>
      <c r="AD48" s="221">
        <v>6189.9</v>
      </c>
      <c r="AE48" s="223">
        <v>6481.8</v>
      </c>
      <c r="AF48" s="223">
        <v>6065.1</v>
      </c>
      <c r="AG48" s="220">
        <v>6296.4</v>
      </c>
      <c r="AH48" s="221">
        <v>6610.2</v>
      </c>
      <c r="AI48" s="223">
        <v>6792.6</v>
      </c>
      <c r="AJ48" s="223">
        <v>7081</v>
      </c>
      <c r="AK48" s="220">
        <v>6787.4</v>
      </c>
      <c r="AL48" s="221">
        <v>7112.3</v>
      </c>
      <c r="AM48" s="220">
        <v>7501.9</v>
      </c>
      <c r="AN48" s="220">
        <v>7273.7</v>
      </c>
      <c r="AO48" s="220">
        <v>10416.1</v>
      </c>
      <c r="AP48" s="221">
        <v>7823.6</v>
      </c>
      <c r="AQ48" s="220">
        <v>8038.5</v>
      </c>
      <c r="AR48" s="791">
        <v>7671</v>
      </c>
      <c r="AS48" s="220"/>
      <c r="AT48" s="221"/>
      <c r="AU48" s="754"/>
      <c r="AV48" s="755"/>
      <c r="AW48" s="783"/>
      <c r="AX48" s="784"/>
    </row>
    <row r="49" spans="1:52" ht="20.100000000000001" customHeight="1" thickBot="1">
      <c r="A49" s="739" t="s">
        <v>244</v>
      </c>
      <c r="B49" s="131" t="s">
        <v>245</v>
      </c>
      <c r="C49" s="240"/>
      <c r="D49" s="240"/>
      <c r="E49" s="244"/>
      <c r="F49" s="243"/>
      <c r="G49" s="244"/>
      <c r="H49" s="244"/>
      <c r="I49" s="244"/>
      <c r="J49" s="243"/>
      <c r="K49" s="244"/>
      <c r="L49" s="236"/>
      <c r="M49" s="236"/>
      <c r="N49" s="245"/>
      <c r="O49" s="236"/>
      <c r="P49" s="236"/>
      <c r="Q49" s="236"/>
      <c r="R49" s="221"/>
      <c r="S49" s="223"/>
      <c r="T49" s="223"/>
      <c r="U49" s="223"/>
      <c r="V49" s="221"/>
      <c r="W49" s="223"/>
      <c r="X49" s="223"/>
      <c r="Y49" s="223"/>
      <c r="Z49" s="221"/>
      <c r="AA49" s="223"/>
      <c r="AB49" s="223"/>
      <c r="AC49" s="220"/>
      <c r="AD49" s="221"/>
      <c r="AE49" s="223"/>
      <c r="AF49" s="223"/>
      <c r="AG49" s="220"/>
      <c r="AH49" s="221"/>
      <c r="AI49" s="223"/>
      <c r="AJ49" s="223"/>
      <c r="AK49" s="220"/>
      <c r="AL49" s="221"/>
      <c r="AM49" s="220"/>
      <c r="AN49" s="220"/>
      <c r="AO49" s="220"/>
      <c r="AP49" s="221">
        <v>-2461</v>
      </c>
      <c r="AQ49" s="220">
        <v>-2461</v>
      </c>
      <c r="AR49" s="791">
        <v>-2854.7</v>
      </c>
      <c r="AS49" s="220"/>
      <c r="AT49" s="221"/>
      <c r="AU49" s="754"/>
      <c r="AV49" s="755"/>
      <c r="AW49" s="783"/>
      <c r="AX49" s="784"/>
    </row>
    <row r="50" spans="1:52" s="229" customFormat="1" ht="24.95" customHeight="1" thickBot="1">
      <c r="A50" s="403" t="s">
        <v>246</v>
      </c>
      <c r="B50" s="403" t="s">
        <v>247</v>
      </c>
      <c r="C50" s="404">
        <f t="shared" ref="C50:AO50" si="22">SUM(C40:C48)</f>
        <v>2090.7669999999998</v>
      </c>
      <c r="D50" s="405">
        <f t="shared" si="22"/>
        <v>2192.2690000000002</v>
      </c>
      <c r="E50" s="405">
        <f t="shared" si="22"/>
        <v>2354.915</v>
      </c>
      <c r="F50" s="406">
        <f t="shared" si="22"/>
        <v>2468.4030000000002</v>
      </c>
      <c r="G50" s="405">
        <f t="shared" si="22"/>
        <v>2562.1680000000001</v>
      </c>
      <c r="H50" s="405">
        <f t="shared" si="22"/>
        <v>2647.2950000000001</v>
      </c>
      <c r="I50" s="405">
        <f t="shared" si="22"/>
        <v>2825.576</v>
      </c>
      <c r="J50" s="406">
        <f t="shared" si="22"/>
        <v>3001.2110000000002</v>
      </c>
      <c r="K50" s="404">
        <f t="shared" si="22"/>
        <v>3108.3469999999998</v>
      </c>
      <c r="L50" s="405">
        <f t="shared" si="22"/>
        <v>9091.7000000000007</v>
      </c>
      <c r="M50" s="405">
        <f t="shared" si="22"/>
        <v>9130.7000000000007</v>
      </c>
      <c r="N50" s="406">
        <f t="shared" si="22"/>
        <v>9078.2000000000007</v>
      </c>
      <c r="O50" s="404">
        <f t="shared" si="22"/>
        <v>9311.9</v>
      </c>
      <c r="P50" s="405">
        <f t="shared" si="22"/>
        <v>9557.8000000000011</v>
      </c>
      <c r="Q50" s="405">
        <f t="shared" si="22"/>
        <v>10060</v>
      </c>
      <c r="R50" s="406">
        <f t="shared" si="22"/>
        <v>10250.1</v>
      </c>
      <c r="S50" s="404">
        <f t="shared" si="22"/>
        <v>10427.6</v>
      </c>
      <c r="T50" s="405">
        <f t="shared" si="22"/>
        <v>10667.1</v>
      </c>
      <c r="U50" s="405">
        <f t="shared" si="22"/>
        <v>10947.4</v>
      </c>
      <c r="V50" s="406">
        <f t="shared" si="22"/>
        <v>11299.6</v>
      </c>
      <c r="W50" s="404">
        <f t="shared" si="22"/>
        <v>11578.3</v>
      </c>
      <c r="X50" s="405">
        <f t="shared" si="22"/>
        <v>11664.6</v>
      </c>
      <c r="Y50" s="405">
        <f t="shared" si="22"/>
        <v>11907.400000000001</v>
      </c>
      <c r="Z50" s="406">
        <f t="shared" si="22"/>
        <v>12074.2</v>
      </c>
      <c r="AA50" s="404">
        <f t="shared" si="22"/>
        <v>12871</v>
      </c>
      <c r="AB50" s="405">
        <f t="shared" si="22"/>
        <v>12899.7</v>
      </c>
      <c r="AC50" s="405">
        <f t="shared" si="22"/>
        <v>13126</v>
      </c>
      <c r="AD50" s="406">
        <f t="shared" si="22"/>
        <v>13227</v>
      </c>
      <c r="AE50" s="404">
        <f t="shared" si="22"/>
        <v>13519</v>
      </c>
      <c r="AF50" s="405">
        <f t="shared" si="22"/>
        <v>13268</v>
      </c>
      <c r="AG50" s="405">
        <f t="shared" si="22"/>
        <v>13499.4</v>
      </c>
      <c r="AH50" s="406">
        <f t="shared" si="22"/>
        <v>13811.3</v>
      </c>
      <c r="AI50" s="404">
        <f t="shared" si="22"/>
        <v>13987.400000000001</v>
      </c>
      <c r="AJ50" s="405">
        <f t="shared" si="22"/>
        <v>14290.5</v>
      </c>
      <c r="AK50" s="405">
        <f t="shared" si="22"/>
        <v>13996.7</v>
      </c>
      <c r="AL50" s="406">
        <f t="shared" si="22"/>
        <v>14432.8</v>
      </c>
      <c r="AM50" s="405">
        <f t="shared" si="22"/>
        <v>14718.4</v>
      </c>
      <c r="AN50" s="405">
        <f t="shared" si="22"/>
        <v>14472.5</v>
      </c>
      <c r="AO50" s="405">
        <f t="shared" si="22"/>
        <v>17510.8</v>
      </c>
      <c r="AP50" s="406">
        <f>SUM(AP40:AP49)</f>
        <v>15395.599999999999</v>
      </c>
      <c r="AQ50" s="405">
        <f>SUM(AQ40:AQ49)</f>
        <v>15621.400000000001</v>
      </c>
      <c r="AR50" s="789">
        <f>SUM(AR40:AR49)</f>
        <v>14884.7</v>
      </c>
      <c r="AS50" s="405">
        <f t="shared" ref="AS50" si="23">SUM(AS40:AS48)</f>
        <v>0</v>
      </c>
      <c r="AT50" s="406">
        <f>SUM(AT40:AT49)</f>
        <v>0</v>
      </c>
      <c r="AU50" s="754"/>
      <c r="AV50" s="755"/>
      <c r="AW50" s="783"/>
      <c r="AX50" s="784"/>
      <c r="AY50" s="782"/>
    </row>
    <row r="51" spans="1:52" s="7" customFormat="1" ht="20.100000000000001" customHeight="1" thickBot="1">
      <c r="A51" s="27" t="s">
        <v>248</v>
      </c>
      <c r="B51" s="129" t="s">
        <v>249</v>
      </c>
      <c r="C51" s="24">
        <v>0</v>
      </c>
      <c r="D51" s="24">
        <v>0</v>
      </c>
      <c r="E51" s="24">
        <v>0</v>
      </c>
      <c r="F51" s="231">
        <v>0</v>
      </c>
      <c r="G51" s="232">
        <v>0</v>
      </c>
      <c r="H51" s="232">
        <v>0</v>
      </c>
      <c r="I51" s="387">
        <f>2/1000</f>
        <v>2E-3</v>
      </c>
      <c r="J51" s="387">
        <f>2/1000</f>
        <v>2E-3</v>
      </c>
      <c r="K51" s="388">
        <f>2/1000</f>
        <v>2E-3</v>
      </c>
      <c r="L51" s="232">
        <v>0</v>
      </c>
      <c r="M51" s="232">
        <v>0</v>
      </c>
      <c r="N51" s="231">
        <v>0</v>
      </c>
      <c r="O51" s="232">
        <v>0</v>
      </c>
      <c r="P51" s="232">
        <v>0</v>
      </c>
      <c r="Q51" s="232">
        <v>0</v>
      </c>
      <c r="R51" s="68">
        <v>0</v>
      </c>
      <c r="S51" s="222">
        <v>-22.4</v>
      </c>
      <c r="T51" s="222">
        <v>94.5</v>
      </c>
      <c r="U51" s="222">
        <v>86.1</v>
      </c>
      <c r="V51" s="68">
        <v>78</v>
      </c>
      <c r="W51" s="222">
        <v>70</v>
      </c>
      <c r="X51" s="222">
        <v>60.5</v>
      </c>
      <c r="Y51" s="222">
        <v>52.5</v>
      </c>
      <c r="Z51" s="68">
        <v>42.6</v>
      </c>
      <c r="AA51" s="222">
        <v>34</v>
      </c>
      <c r="AB51" s="222">
        <v>554.29999999999995</v>
      </c>
      <c r="AC51" s="222">
        <v>555.29999999999995</v>
      </c>
      <c r="AD51" s="68">
        <v>648.20000000000005</v>
      </c>
      <c r="AE51" s="222">
        <v>653.6</v>
      </c>
      <c r="AF51" s="222">
        <v>650.5</v>
      </c>
      <c r="AG51" s="222">
        <v>655.7</v>
      </c>
      <c r="AH51" s="68">
        <v>653.20000000000005</v>
      </c>
      <c r="AI51" s="222">
        <v>652.6</v>
      </c>
      <c r="AJ51" s="222">
        <v>647.5</v>
      </c>
      <c r="AK51" s="222">
        <v>646.6</v>
      </c>
      <c r="AL51" s="68">
        <v>-6.6</v>
      </c>
      <c r="AM51" s="222">
        <v>647.9</v>
      </c>
      <c r="AN51" s="222">
        <v>489.9</v>
      </c>
      <c r="AO51" s="222">
        <v>-6.6</v>
      </c>
      <c r="AP51" s="68">
        <v>-11</v>
      </c>
      <c r="AQ51" s="222">
        <v>-14.5</v>
      </c>
      <c r="AR51" s="222">
        <v>540.1</v>
      </c>
      <c r="AS51" s="222"/>
      <c r="AT51" s="68"/>
      <c r="AU51" s="754"/>
      <c r="AV51" s="755"/>
      <c r="AW51" s="783"/>
      <c r="AX51" s="784"/>
    </row>
    <row r="52" spans="1:52" s="229" customFormat="1" ht="24.95" customHeight="1" thickBot="1">
      <c r="A52" s="403" t="s">
        <v>250</v>
      </c>
      <c r="B52" s="403" t="s">
        <v>251</v>
      </c>
      <c r="C52" s="404">
        <f>C50+C51</f>
        <v>2090.7669999999998</v>
      </c>
      <c r="D52" s="405">
        <f>D50+D51</f>
        <v>2192.2690000000002</v>
      </c>
      <c r="E52" s="405">
        <f>E50+E51</f>
        <v>2354.915</v>
      </c>
      <c r="F52" s="406">
        <f>F50</f>
        <v>2468.4030000000002</v>
      </c>
      <c r="G52" s="405">
        <f>G50</f>
        <v>2562.1680000000001</v>
      </c>
      <c r="H52" s="405">
        <f>H50</f>
        <v>2647.2950000000001</v>
      </c>
      <c r="I52" s="405">
        <f>SUM(I50:I51)</f>
        <v>2825.578</v>
      </c>
      <c r="J52" s="406">
        <f t="shared" ref="J52:AP52" si="24">J50+J51</f>
        <v>3001.2130000000002</v>
      </c>
      <c r="K52" s="404">
        <f t="shared" si="24"/>
        <v>3108.3489999999997</v>
      </c>
      <c r="L52" s="405">
        <f t="shared" si="24"/>
        <v>9091.7000000000007</v>
      </c>
      <c r="M52" s="405">
        <f t="shared" si="24"/>
        <v>9130.7000000000007</v>
      </c>
      <c r="N52" s="406">
        <f t="shared" si="24"/>
        <v>9078.2000000000007</v>
      </c>
      <c r="O52" s="404">
        <f t="shared" si="24"/>
        <v>9311.9</v>
      </c>
      <c r="P52" s="405">
        <f t="shared" si="24"/>
        <v>9557.8000000000011</v>
      </c>
      <c r="Q52" s="405">
        <f t="shared" si="24"/>
        <v>10060</v>
      </c>
      <c r="R52" s="406">
        <f t="shared" si="24"/>
        <v>10250.1</v>
      </c>
      <c r="S52" s="404">
        <f t="shared" si="24"/>
        <v>10405.200000000001</v>
      </c>
      <c r="T52" s="405">
        <f t="shared" si="24"/>
        <v>10761.6</v>
      </c>
      <c r="U52" s="405">
        <f t="shared" si="24"/>
        <v>11033.5</v>
      </c>
      <c r="V52" s="406">
        <f t="shared" si="24"/>
        <v>11377.6</v>
      </c>
      <c r="W52" s="404">
        <f t="shared" si="24"/>
        <v>11648.3</v>
      </c>
      <c r="X52" s="405">
        <f t="shared" si="24"/>
        <v>11725.1</v>
      </c>
      <c r="Y52" s="405">
        <f t="shared" si="24"/>
        <v>11959.900000000001</v>
      </c>
      <c r="Z52" s="406">
        <f t="shared" si="24"/>
        <v>12116.800000000001</v>
      </c>
      <c r="AA52" s="404">
        <f t="shared" si="24"/>
        <v>12905</v>
      </c>
      <c r="AB52" s="405">
        <f t="shared" si="24"/>
        <v>13454</v>
      </c>
      <c r="AC52" s="405">
        <f t="shared" si="24"/>
        <v>13681.3</v>
      </c>
      <c r="AD52" s="406">
        <f t="shared" si="24"/>
        <v>13875.2</v>
      </c>
      <c r="AE52" s="404">
        <f t="shared" si="24"/>
        <v>14172.6</v>
      </c>
      <c r="AF52" s="405">
        <f t="shared" si="24"/>
        <v>13918.5</v>
      </c>
      <c r="AG52" s="405">
        <f t="shared" si="24"/>
        <v>14155.1</v>
      </c>
      <c r="AH52" s="406">
        <f t="shared" si="24"/>
        <v>14464.5</v>
      </c>
      <c r="AI52" s="404">
        <f t="shared" si="24"/>
        <v>14640.000000000002</v>
      </c>
      <c r="AJ52" s="405">
        <f t="shared" si="24"/>
        <v>14938</v>
      </c>
      <c r="AK52" s="405">
        <f t="shared" si="24"/>
        <v>14643.300000000001</v>
      </c>
      <c r="AL52" s="406">
        <f t="shared" si="24"/>
        <v>14426.199999999999</v>
      </c>
      <c r="AM52" s="404">
        <f t="shared" si="24"/>
        <v>15366.3</v>
      </c>
      <c r="AN52" s="405">
        <f t="shared" si="24"/>
        <v>14962.4</v>
      </c>
      <c r="AO52" s="405">
        <f t="shared" si="24"/>
        <v>17504.2</v>
      </c>
      <c r="AP52" s="406">
        <f t="shared" si="24"/>
        <v>15384.599999999999</v>
      </c>
      <c r="AQ52" s="404">
        <f t="shared" ref="AQ52:AT52" si="25">AQ50+AQ51</f>
        <v>15606.900000000001</v>
      </c>
      <c r="AR52" s="789">
        <f t="shared" si="25"/>
        <v>15424.800000000001</v>
      </c>
      <c r="AS52" s="405">
        <f t="shared" si="25"/>
        <v>0</v>
      </c>
      <c r="AT52" s="406">
        <f t="shared" si="25"/>
        <v>0</v>
      </c>
      <c r="AU52" s="754"/>
      <c r="AV52" s="755"/>
      <c r="AW52" s="783"/>
      <c r="AX52" s="784"/>
      <c r="AY52" s="782"/>
    </row>
    <row r="53" spans="1:52" s="7" customFormat="1" ht="20.100000000000001" customHeight="1">
      <c r="A53" s="27" t="s">
        <v>252</v>
      </c>
      <c r="B53" s="128" t="s">
        <v>253</v>
      </c>
      <c r="C53" s="30">
        <f>932.068</f>
        <v>932.06799999999998</v>
      </c>
      <c r="D53" s="30">
        <f>(889155)*0.001</f>
        <v>889.15499999999997</v>
      </c>
      <c r="E53" s="30">
        <f>(680371)*0.001</f>
        <v>680.37099999999998</v>
      </c>
      <c r="F53" s="246">
        <f>(592003)*0.001</f>
        <v>592.00300000000004</v>
      </c>
      <c r="G53" s="241">
        <f>(572819)*0.001</f>
        <v>572.81899999999996</v>
      </c>
      <c r="H53" s="241">
        <f>(422858)*0.001</f>
        <v>422.858</v>
      </c>
      <c r="I53" s="241">
        <f>(329798)*0.001</f>
        <v>329.798</v>
      </c>
      <c r="J53" s="241">
        <f>(239889)*0.001</f>
        <v>239.88900000000001</v>
      </c>
      <c r="K53" s="247">
        <f>(236277)*0.001</f>
        <v>236.27700000000002</v>
      </c>
      <c r="L53" s="235">
        <v>8446.1</v>
      </c>
      <c r="M53" s="235">
        <v>7976.3</v>
      </c>
      <c r="N53" s="237">
        <v>7683.5</v>
      </c>
      <c r="O53" s="236">
        <v>7357.9</v>
      </c>
      <c r="P53" s="236">
        <v>7034.6</v>
      </c>
      <c r="Q53" s="235">
        <v>5644.9</v>
      </c>
      <c r="R53" s="68">
        <v>5379.8</v>
      </c>
      <c r="S53" s="223">
        <v>9982.1</v>
      </c>
      <c r="T53" s="223">
        <v>9752</v>
      </c>
      <c r="U53" s="223">
        <v>9530.2999999999993</v>
      </c>
      <c r="V53" s="68">
        <v>9302.7000000000007</v>
      </c>
      <c r="W53" s="223">
        <v>9056</v>
      </c>
      <c r="X53" s="223">
        <v>8808.6</v>
      </c>
      <c r="Y53" s="223">
        <v>8561.9</v>
      </c>
      <c r="Z53" s="68">
        <v>9291.4</v>
      </c>
      <c r="AA53" s="223">
        <v>9474.7000000000007</v>
      </c>
      <c r="AB53" s="223">
        <v>9139.4</v>
      </c>
      <c r="AC53" s="220">
        <v>9043.7999999999993</v>
      </c>
      <c r="AD53" s="68">
        <v>8605.2999999999993</v>
      </c>
      <c r="AE53" s="223">
        <v>8339.7999999999993</v>
      </c>
      <c r="AF53" s="223">
        <v>8100.2</v>
      </c>
      <c r="AG53" s="223">
        <v>7861.1</v>
      </c>
      <c r="AH53" s="68">
        <v>8617</v>
      </c>
      <c r="AI53" s="223">
        <v>8453.4</v>
      </c>
      <c r="AJ53" s="223">
        <v>9258.2999999999993</v>
      </c>
      <c r="AK53" s="223">
        <v>9073.7000000000007</v>
      </c>
      <c r="AL53" s="68">
        <v>8887.7999999999993</v>
      </c>
      <c r="AM53" s="223">
        <v>8701.9</v>
      </c>
      <c r="AN53" s="223">
        <v>8514.2000000000007</v>
      </c>
      <c r="AO53" s="223">
        <v>8005.1</v>
      </c>
      <c r="AP53" s="68">
        <v>7671.8</v>
      </c>
      <c r="AQ53" s="223">
        <v>7346.2</v>
      </c>
      <c r="AR53" s="222">
        <v>7025.1</v>
      </c>
      <c r="AS53" s="223"/>
      <c r="AT53" s="68"/>
      <c r="AU53" s="754"/>
      <c r="AV53" s="755"/>
      <c r="AW53" s="783"/>
      <c r="AX53" s="784"/>
    </row>
    <row r="54" spans="1:52" s="7" customFormat="1" ht="20.100000000000001" customHeight="1">
      <c r="A54" s="27" t="s">
        <v>254</v>
      </c>
      <c r="B54" s="128" t="s">
        <v>255</v>
      </c>
      <c r="C54" s="17">
        <f>1360.637</f>
        <v>1360.6369999999999</v>
      </c>
      <c r="D54" s="17">
        <f>(1369593)*0.001</f>
        <v>1369.5930000000001</v>
      </c>
      <c r="E54" s="17">
        <f>(1347224)*0.001</f>
        <v>1347.2239999999999</v>
      </c>
      <c r="F54" s="234">
        <f>(1316479)*0.001</f>
        <v>1316.479</v>
      </c>
      <c r="G54" s="235">
        <f>(1370119)*0.001</f>
        <v>1370.1190000000001</v>
      </c>
      <c r="H54" s="235">
        <f>(1395972)*0.001</f>
        <v>1395.972</v>
      </c>
      <c r="I54" s="235">
        <f>(1385314)*0.001</f>
        <v>1385.3140000000001</v>
      </c>
      <c r="J54" s="234">
        <f>(1340010)*0.001</f>
        <v>1340.01</v>
      </c>
      <c r="K54" s="235">
        <f>(1396071)*0.001</f>
        <v>1396.0710000000001</v>
      </c>
      <c r="L54" s="235">
        <v>4286.8999999999996</v>
      </c>
      <c r="M54" s="235">
        <v>4302.1000000000004</v>
      </c>
      <c r="N54" s="237">
        <v>4550.2</v>
      </c>
      <c r="O54" s="236">
        <v>4470</v>
      </c>
      <c r="P54" s="236">
        <v>4582.5</v>
      </c>
      <c r="Q54" s="235">
        <v>964.4</v>
      </c>
      <c r="R54" s="68">
        <v>975.3</v>
      </c>
      <c r="S54" s="223">
        <v>2252.6</v>
      </c>
      <c r="T54" s="223">
        <v>1795.1</v>
      </c>
      <c r="U54" s="223">
        <v>1805.1</v>
      </c>
      <c r="V54" s="68">
        <v>1835.7</v>
      </c>
      <c r="W54" s="223">
        <v>964.9</v>
      </c>
      <c r="X54" s="223">
        <v>975.3</v>
      </c>
      <c r="Y54" s="223">
        <v>965.2</v>
      </c>
      <c r="Z54" s="68">
        <v>975.7</v>
      </c>
      <c r="AA54" s="223">
        <v>965.2</v>
      </c>
      <c r="AB54" s="223">
        <v>975.5</v>
      </c>
      <c r="AC54" s="220">
        <v>965.6</v>
      </c>
      <c r="AD54" s="68">
        <v>976</v>
      </c>
      <c r="AE54" s="223">
        <v>965.5</v>
      </c>
      <c r="AF54" s="223">
        <v>968.9</v>
      </c>
      <c r="AG54" s="223">
        <v>977.7</v>
      </c>
      <c r="AH54" s="68">
        <v>969.2</v>
      </c>
      <c r="AI54" s="223">
        <v>1950.7</v>
      </c>
      <c r="AJ54" s="223">
        <v>1957.7</v>
      </c>
      <c r="AK54" s="223">
        <v>1958.8</v>
      </c>
      <c r="AL54" s="68">
        <v>1959.2</v>
      </c>
      <c r="AM54" s="223">
        <v>1959.8</v>
      </c>
      <c r="AN54" s="223">
        <v>1960.1</v>
      </c>
      <c r="AO54" s="223">
        <v>1960.6</v>
      </c>
      <c r="AP54" s="68">
        <v>1942.1</v>
      </c>
      <c r="AQ54" s="223">
        <v>1931.4</v>
      </c>
      <c r="AR54" s="222">
        <v>1905.2</v>
      </c>
      <c r="AS54" s="223"/>
      <c r="AT54" s="68"/>
      <c r="AU54" s="754"/>
      <c r="AV54" s="755"/>
      <c r="AW54" s="783"/>
      <c r="AX54" s="784"/>
    </row>
    <row r="55" spans="1:52" s="7" customFormat="1" ht="20.100000000000001" customHeight="1">
      <c r="A55" s="112" t="s">
        <v>256</v>
      </c>
      <c r="B55" s="130" t="s">
        <v>257</v>
      </c>
      <c r="C55" s="30">
        <f>0.81</f>
        <v>0.81</v>
      </c>
      <c r="D55" s="30">
        <f>(741)*0.001</f>
        <v>0.74099999999999999</v>
      </c>
      <c r="E55" s="30">
        <f>(638)*0.001</f>
        <v>0.63800000000000001</v>
      </c>
      <c r="F55" s="246">
        <f>(551)*0.001</f>
        <v>0.55100000000000005</v>
      </c>
      <c r="G55" s="241">
        <f>(474)*0.001</f>
        <v>0.47400000000000003</v>
      </c>
      <c r="H55" s="241">
        <f>(424)*0.001</f>
        <v>0.42399999999999999</v>
      </c>
      <c r="I55" s="241">
        <f>(306)*0.001</f>
        <v>0.30599999999999999</v>
      </c>
      <c r="J55" s="241">
        <f>(227)*0.001</f>
        <v>0.22700000000000001</v>
      </c>
      <c r="K55" s="247">
        <f>(166)*0.001</f>
        <v>0.16600000000000001</v>
      </c>
      <c r="L55" s="238">
        <v>4.5</v>
      </c>
      <c r="M55" s="238">
        <v>7.9</v>
      </c>
      <c r="N55" s="245">
        <v>11.7</v>
      </c>
      <c r="O55" s="248">
        <v>13.4</v>
      </c>
      <c r="P55" s="248">
        <v>15.7</v>
      </c>
      <c r="Q55" s="238">
        <v>21.3</v>
      </c>
      <c r="R55" s="68">
        <v>20.9</v>
      </c>
      <c r="S55" s="220">
        <v>21.2</v>
      </c>
      <c r="T55" s="220">
        <v>23.3</v>
      </c>
      <c r="U55" s="220">
        <v>22.1</v>
      </c>
      <c r="V55" s="68">
        <v>20.9</v>
      </c>
      <c r="W55" s="220">
        <v>22.6</v>
      </c>
      <c r="X55" s="220">
        <v>21.4</v>
      </c>
      <c r="Y55" s="220">
        <v>19.399999999999999</v>
      </c>
      <c r="Z55" s="68">
        <v>18.600000000000001</v>
      </c>
      <c r="AA55" s="220">
        <v>17.3</v>
      </c>
      <c r="AB55" s="220">
        <v>14.6</v>
      </c>
      <c r="AC55" s="220">
        <v>15</v>
      </c>
      <c r="AD55" s="68">
        <v>15.8</v>
      </c>
      <c r="AE55" s="220">
        <v>1070</v>
      </c>
      <c r="AF55" s="220">
        <v>997.6</v>
      </c>
      <c r="AG55" s="223">
        <v>946.9</v>
      </c>
      <c r="AH55" s="68">
        <v>1023.8</v>
      </c>
      <c r="AI55" s="220">
        <v>986.2</v>
      </c>
      <c r="AJ55" s="220">
        <v>1021.2</v>
      </c>
      <c r="AK55" s="223">
        <v>1016.4</v>
      </c>
      <c r="AL55" s="68">
        <v>1140.5</v>
      </c>
      <c r="AM55" s="220">
        <v>537.4</v>
      </c>
      <c r="AN55" s="223">
        <v>504.2</v>
      </c>
      <c r="AO55" s="223">
        <v>495.3</v>
      </c>
      <c r="AP55" s="68">
        <v>497.5</v>
      </c>
      <c r="AQ55" s="220">
        <v>467.5</v>
      </c>
      <c r="AR55" s="222">
        <v>349.1</v>
      </c>
      <c r="AS55" s="223"/>
      <c r="AT55" s="68"/>
      <c r="AU55" s="754"/>
      <c r="AV55" s="755"/>
      <c r="AW55" s="783"/>
      <c r="AX55" s="784"/>
    </row>
    <row r="56" spans="1:52" s="7" customFormat="1" ht="20.100000000000001" customHeight="1">
      <c r="A56" s="27" t="s">
        <v>258</v>
      </c>
      <c r="B56" s="128" t="s">
        <v>259</v>
      </c>
      <c r="C56" s="18">
        <f>0*($A$85)</f>
        <v>0</v>
      </c>
      <c r="D56" s="18">
        <f>0</f>
        <v>0</v>
      </c>
      <c r="E56" s="18">
        <f>0</f>
        <v>0</v>
      </c>
      <c r="F56" s="249">
        <v>0</v>
      </c>
      <c r="G56" s="250">
        <v>0</v>
      </c>
      <c r="H56" s="250">
        <f>0</f>
        <v>0</v>
      </c>
      <c r="I56" s="250">
        <v>0</v>
      </c>
      <c r="J56" s="250">
        <v>0</v>
      </c>
      <c r="K56" s="251">
        <v>0</v>
      </c>
      <c r="L56" s="238">
        <v>835.8</v>
      </c>
      <c r="M56" s="238">
        <v>730.2</v>
      </c>
      <c r="N56" s="245">
        <v>750.3</v>
      </c>
      <c r="O56" s="248">
        <v>724.4</v>
      </c>
      <c r="P56" s="248">
        <v>747.9</v>
      </c>
      <c r="Q56" s="238">
        <v>645.1</v>
      </c>
      <c r="R56" s="68">
        <v>652.79999999999995</v>
      </c>
      <c r="S56" s="220">
        <v>658</v>
      </c>
      <c r="T56" s="220">
        <v>686.7</v>
      </c>
      <c r="U56" s="220">
        <v>555.79999999999995</v>
      </c>
      <c r="V56" s="68">
        <v>574</v>
      </c>
      <c r="W56" s="220">
        <v>551</v>
      </c>
      <c r="X56" s="220">
        <v>555.4</v>
      </c>
      <c r="Y56" s="220">
        <v>452.4</v>
      </c>
      <c r="Z56" s="68">
        <v>440.8</v>
      </c>
      <c r="AA56" s="220">
        <v>447.6</v>
      </c>
      <c r="AB56" s="220">
        <v>466.9</v>
      </c>
      <c r="AC56" s="220">
        <v>343.6</v>
      </c>
      <c r="AD56" s="68">
        <v>348.2</v>
      </c>
      <c r="AE56" s="220">
        <v>350.5</v>
      </c>
      <c r="AF56" s="220">
        <v>348.8</v>
      </c>
      <c r="AG56" s="223">
        <v>241.7</v>
      </c>
      <c r="AH56" s="68">
        <v>236.9</v>
      </c>
      <c r="AI56" s="220">
        <v>254.9</v>
      </c>
      <c r="AJ56" s="220">
        <v>251.7</v>
      </c>
      <c r="AK56" s="223">
        <v>133.30000000000001</v>
      </c>
      <c r="AL56" s="68">
        <v>136.69999999999999</v>
      </c>
      <c r="AM56" s="220">
        <v>139</v>
      </c>
      <c r="AN56" s="223">
        <v>135.69999999999999</v>
      </c>
      <c r="AO56" s="223">
        <v>0</v>
      </c>
      <c r="AP56" s="68">
        <v>0</v>
      </c>
      <c r="AQ56" s="220">
        <v>0</v>
      </c>
      <c r="AR56" s="222">
        <v>0</v>
      </c>
      <c r="AS56" s="223"/>
      <c r="AT56" s="68"/>
      <c r="AU56" s="754"/>
      <c r="AV56" s="755"/>
      <c r="AW56" s="783"/>
      <c r="AX56" s="784"/>
    </row>
    <row r="57" spans="1:52" s="7" customFormat="1" ht="20.100000000000001" customHeight="1">
      <c r="A57" s="27" t="s">
        <v>260</v>
      </c>
      <c r="B57" s="128" t="s">
        <v>261</v>
      </c>
      <c r="C57" s="41">
        <f>87.307</f>
        <v>87.307000000000002</v>
      </c>
      <c r="D57" s="41">
        <f>(88480)*0.001</f>
        <v>88.48</v>
      </c>
      <c r="E57" s="41">
        <f>(97271)*0.001</f>
        <v>97.271000000000001</v>
      </c>
      <c r="F57" s="239">
        <f>(94258)*0.001</f>
        <v>94.257999999999996</v>
      </c>
      <c r="G57" s="240">
        <f>(93487)*0.001</f>
        <v>93.487000000000009</v>
      </c>
      <c r="H57" s="240">
        <f>(93150)*0.001</f>
        <v>93.15</v>
      </c>
      <c r="I57" s="240">
        <f>(98799)*0.001</f>
        <v>98.799000000000007</v>
      </c>
      <c r="J57" s="240">
        <f>(108066)*0.001</f>
        <v>108.066</v>
      </c>
      <c r="K57" s="252">
        <f>(95950)*0.001</f>
        <v>95.95</v>
      </c>
      <c r="L57" s="235">
        <v>1010.7</v>
      </c>
      <c r="M57" s="235">
        <v>1038.8</v>
      </c>
      <c r="N57" s="245">
        <v>908.7</v>
      </c>
      <c r="O57" s="248">
        <v>888.6</v>
      </c>
      <c r="P57" s="248">
        <v>821.1</v>
      </c>
      <c r="Q57" s="235">
        <v>770.4</v>
      </c>
      <c r="R57" s="68">
        <v>615.79999999999995</v>
      </c>
      <c r="S57" s="220">
        <v>694.4</v>
      </c>
      <c r="T57" s="220">
        <v>889.1</v>
      </c>
      <c r="U57" s="220">
        <v>923.2</v>
      </c>
      <c r="V57" s="68">
        <v>786.9</v>
      </c>
      <c r="W57" s="220">
        <v>812.3</v>
      </c>
      <c r="X57" s="220">
        <v>775.7</v>
      </c>
      <c r="Y57" s="220">
        <v>771.8</v>
      </c>
      <c r="Z57" s="68">
        <v>879.8</v>
      </c>
      <c r="AA57" s="220">
        <v>1034.8</v>
      </c>
      <c r="AB57" s="220">
        <v>1027.8</v>
      </c>
      <c r="AC57" s="220">
        <v>1006.2</v>
      </c>
      <c r="AD57" s="68">
        <v>1160.0999999999999</v>
      </c>
      <c r="AE57" s="220">
        <v>1132</v>
      </c>
      <c r="AF57" s="220">
        <v>1129.8</v>
      </c>
      <c r="AG57" s="223">
        <v>1086.0999999999999</v>
      </c>
      <c r="AH57" s="68">
        <v>1025.3</v>
      </c>
      <c r="AI57" s="220">
        <v>950.2</v>
      </c>
      <c r="AJ57" s="220">
        <v>973.2</v>
      </c>
      <c r="AK57" s="223">
        <v>984.4</v>
      </c>
      <c r="AL57" s="68">
        <v>902.1</v>
      </c>
      <c r="AM57" s="220">
        <v>857.5</v>
      </c>
      <c r="AN57" s="223">
        <v>885.5</v>
      </c>
      <c r="AO57" s="223">
        <v>853.2</v>
      </c>
      <c r="AP57" s="68">
        <v>794.9</v>
      </c>
      <c r="AQ57" s="220">
        <v>721</v>
      </c>
      <c r="AR57" s="222">
        <v>1044.2</v>
      </c>
      <c r="AS57" s="223"/>
      <c r="AT57" s="68"/>
      <c r="AU57" s="754"/>
      <c r="AV57" s="755"/>
      <c r="AW57" s="783"/>
      <c r="AX57" s="784"/>
    </row>
    <row r="58" spans="1:52" s="7" customFormat="1" ht="20.100000000000001" customHeight="1">
      <c r="A58" s="27" t="s">
        <v>262</v>
      </c>
      <c r="B58" s="128" t="s">
        <v>263</v>
      </c>
      <c r="C58" s="24">
        <v>0</v>
      </c>
      <c r="D58" s="41">
        <f>(6285)*0.001</f>
        <v>6.2850000000000001</v>
      </c>
      <c r="E58" s="41">
        <f>(5716)*0.001</f>
        <v>5.7160000000000002</v>
      </c>
      <c r="F58" s="239">
        <f>(5181)*0.001</f>
        <v>5.181</v>
      </c>
      <c r="G58" s="240">
        <f>(4978)*0.001</f>
        <v>4.9779999999999998</v>
      </c>
      <c r="H58" s="240">
        <f>(4754)*0.001</f>
        <v>4.7540000000000004</v>
      </c>
      <c r="I58" s="240">
        <f>(4303)*0.001</f>
        <v>4.3029999999999999</v>
      </c>
      <c r="J58" s="240">
        <f>(4079)*0.001</f>
        <v>4.0789999999999997</v>
      </c>
      <c r="K58" s="252">
        <f>(3008)*0.001</f>
        <v>3.008</v>
      </c>
      <c r="L58" s="238">
        <v>2.8</v>
      </c>
      <c r="M58" s="238">
        <v>3.9</v>
      </c>
      <c r="N58" s="245">
        <v>4.7</v>
      </c>
      <c r="O58" s="248">
        <v>5.5</v>
      </c>
      <c r="P58" s="248">
        <v>5</v>
      </c>
      <c r="Q58" s="238">
        <v>4.5</v>
      </c>
      <c r="R58" s="68">
        <v>4.7</v>
      </c>
      <c r="S58" s="220">
        <v>22.1</v>
      </c>
      <c r="T58" s="220">
        <v>21</v>
      </c>
      <c r="U58" s="220">
        <v>20.100000000000001</v>
      </c>
      <c r="V58" s="68">
        <v>20.100000000000001</v>
      </c>
      <c r="W58" s="220">
        <v>4</v>
      </c>
      <c r="X58" s="220">
        <v>3.8</v>
      </c>
      <c r="Y58" s="220">
        <v>3.4</v>
      </c>
      <c r="Z58" s="68">
        <v>3.2</v>
      </c>
      <c r="AA58" s="220">
        <v>0</v>
      </c>
      <c r="AB58" s="220">
        <v>0</v>
      </c>
      <c r="AC58" s="220">
        <v>0</v>
      </c>
      <c r="AD58" s="68">
        <v>0</v>
      </c>
      <c r="AE58" s="220">
        <v>0</v>
      </c>
      <c r="AF58" s="220">
        <v>0</v>
      </c>
      <c r="AG58" s="223">
        <v>0</v>
      </c>
      <c r="AH58" s="68">
        <v>0</v>
      </c>
      <c r="AI58" s="220">
        <v>0</v>
      </c>
      <c r="AJ58" s="220">
        <v>0</v>
      </c>
      <c r="AK58" s="223">
        <v>0</v>
      </c>
      <c r="AL58" s="68">
        <v>0</v>
      </c>
      <c r="AM58" s="220">
        <v>0</v>
      </c>
      <c r="AN58" s="223">
        <v>0</v>
      </c>
      <c r="AO58" s="223">
        <v>0</v>
      </c>
      <c r="AP58" s="68">
        <v>0</v>
      </c>
      <c r="AQ58" s="220">
        <v>0</v>
      </c>
      <c r="AR58" s="222">
        <v>0</v>
      </c>
      <c r="AS58" s="223"/>
      <c r="AT58" s="68"/>
      <c r="AU58" s="754"/>
      <c r="AV58" s="755"/>
      <c r="AW58" s="783"/>
      <c r="AX58" s="784"/>
    </row>
    <row r="59" spans="1:52" s="7" customFormat="1" ht="20.100000000000001" customHeight="1">
      <c r="A59" s="27" t="s">
        <v>264</v>
      </c>
      <c r="B59" s="128" t="s">
        <v>265</v>
      </c>
      <c r="C59" s="41">
        <f>13.779</f>
        <v>13.779</v>
      </c>
      <c r="D59" s="41">
        <f>(17835)*0.001</f>
        <v>17.835000000000001</v>
      </c>
      <c r="E59" s="41">
        <f>(19037)*0.001</f>
        <v>19.036999999999999</v>
      </c>
      <c r="F59" s="239">
        <f>(17690)*0.001</f>
        <v>17.690000000000001</v>
      </c>
      <c r="G59" s="240">
        <f>(17684)*0.001</f>
        <v>17.684000000000001</v>
      </c>
      <c r="H59" s="240">
        <f>(10154)*0.001</f>
        <v>10.154</v>
      </c>
      <c r="I59" s="240">
        <f>(8594)*0.001</f>
        <v>8.5939999999999994</v>
      </c>
      <c r="J59" s="240">
        <f>(7915)*0.001</f>
        <v>7.915</v>
      </c>
      <c r="K59" s="252">
        <f>(7828)*0.001</f>
        <v>7.8280000000000003</v>
      </c>
      <c r="L59" s="238">
        <v>158.19999999999999</v>
      </c>
      <c r="M59" s="238">
        <v>164.6</v>
      </c>
      <c r="N59" s="245">
        <v>184.2</v>
      </c>
      <c r="O59" s="248">
        <v>167.4</v>
      </c>
      <c r="P59" s="248">
        <v>132.4</v>
      </c>
      <c r="Q59" s="238">
        <v>133.1</v>
      </c>
      <c r="R59" s="68">
        <v>124.2</v>
      </c>
      <c r="S59" s="220">
        <v>157.30000000000001</v>
      </c>
      <c r="T59" s="220">
        <v>148.9</v>
      </c>
      <c r="U59" s="220">
        <v>148.19999999999999</v>
      </c>
      <c r="V59" s="68">
        <v>130.19999999999999</v>
      </c>
      <c r="W59" s="220">
        <v>128.1</v>
      </c>
      <c r="X59" s="220">
        <v>122</v>
      </c>
      <c r="Y59" s="220">
        <v>122.2</v>
      </c>
      <c r="Z59" s="68">
        <v>114.2</v>
      </c>
      <c r="AA59" s="220">
        <v>122.4</v>
      </c>
      <c r="AB59" s="220">
        <v>436.6</v>
      </c>
      <c r="AC59" s="220">
        <v>728.3</v>
      </c>
      <c r="AD59" s="68">
        <v>697.6</v>
      </c>
      <c r="AE59" s="220">
        <v>620.1</v>
      </c>
      <c r="AF59" s="220">
        <v>494</v>
      </c>
      <c r="AG59" s="223">
        <v>380.5</v>
      </c>
      <c r="AH59" s="68">
        <v>384.7</v>
      </c>
      <c r="AI59" s="220">
        <v>311.8</v>
      </c>
      <c r="AJ59" s="220">
        <v>334.5</v>
      </c>
      <c r="AK59" s="223">
        <v>346.2</v>
      </c>
      <c r="AL59" s="68">
        <v>388.1</v>
      </c>
      <c r="AM59" s="220">
        <v>104.9</v>
      </c>
      <c r="AN59" s="223">
        <v>95.4</v>
      </c>
      <c r="AO59" s="223">
        <v>345.8</v>
      </c>
      <c r="AP59" s="68">
        <v>319.8</v>
      </c>
      <c r="AQ59" s="220">
        <v>273.2</v>
      </c>
      <c r="AR59" s="222">
        <v>383.1</v>
      </c>
      <c r="AS59" s="223"/>
      <c r="AT59" s="68"/>
      <c r="AU59" s="754"/>
      <c r="AV59" s="755"/>
      <c r="AW59" s="783"/>
      <c r="AX59" s="784"/>
    </row>
    <row r="60" spans="1:52" s="15" customFormat="1" ht="20.100000000000001" customHeight="1" thickBot="1">
      <c r="A60" s="29" t="s">
        <v>266</v>
      </c>
      <c r="B60" s="133" t="s">
        <v>267</v>
      </c>
      <c r="C60" s="18">
        <f>0*($A$85)</f>
        <v>0</v>
      </c>
      <c r="D60" s="18">
        <f>0</f>
        <v>0</v>
      </c>
      <c r="E60" s="18">
        <f>0</f>
        <v>0</v>
      </c>
      <c r="F60" s="249">
        <v>0</v>
      </c>
      <c r="G60" s="250">
        <v>0</v>
      </c>
      <c r="H60" s="250">
        <f>0</f>
        <v>0</v>
      </c>
      <c r="I60" s="250">
        <v>0</v>
      </c>
      <c r="J60" s="253">
        <v>0.1</v>
      </c>
      <c r="K60" s="251">
        <v>0</v>
      </c>
      <c r="L60" s="250">
        <f>0*($A$85)</f>
        <v>0</v>
      </c>
      <c r="M60" s="250">
        <f>0*($A$85)</f>
        <v>0</v>
      </c>
      <c r="N60" s="253">
        <v>40.1</v>
      </c>
      <c r="O60" s="254">
        <v>22.6</v>
      </c>
      <c r="P60" s="254">
        <v>2</v>
      </c>
      <c r="Q60" s="255">
        <v>1.9</v>
      </c>
      <c r="R60" s="68">
        <v>0</v>
      </c>
      <c r="S60" s="200">
        <v>1.1000000000000001</v>
      </c>
      <c r="T60" s="200">
        <v>0.9</v>
      </c>
      <c r="U60" s="200">
        <v>0</v>
      </c>
      <c r="V60" s="68">
        <v>0</v>
      </c>
      <c r="W60" s="200">
        <v>1.5</v>
      </c>
      <c r="X60" s="200">
        <v>1.7</v>
      </c>
      <c r="Y60" s="200">
        <v>1.3</v>
      </c>
      <c r="Z60" s="68">
        <v>0</v>
      </c>
      <c r="AA60" s="200">
        <v>2.2000000000000002</v>
      </c>
      <c r="AB60" s="200">
        <v>0.5</v>
      </c>
      <c r="AC60" s="200">
        <v>205</v>
      </c>
      <c r="AD60" s="68">
        <v>165.2</v>
      </c>
      <c r="AE60" s="200">
        <v>167.2</v>
      </c>
      <c r="AF60" s="200">
        <v>5.4</v>
      </c>
      <c r="AG60" s="200">
        <v>6.7</v>
      </c>
      <c r="AH60" s="68">
        <v>3.2</v>
      </c>
      <c r="AI60" s="200">
        <v>30.2</v>
      </c>
      <c r="AJ60" s="200">
        <v>29.6</v>
      </c>
      <c r="AK60" s="200">
        <v>24.9</v>
      </c>
      <c r="AL60" s="224">
        <v>16.8</v>
      </c>
      <c r="AM60" s="200">
        <v>6.7</v>
      </c>
      <c r="AN60" s="200">
        <v>1.4</v>
      </c>
      <c r="AO60" s="200">
        <v>0</v>
      </c>
      <c r="AP60" s="224">
        <v>0</v>
      </c>
      <c r="AQ60" s="200">
        <v>0</v>
      </c>
      <c r="AR60" s="788">
        <v>0</v>
      </c>
      <c r="AS60" s="200"/>
      <c r="AT60" s="224"/>
      <c r="AU60" s="754"/>
      <c r="AV60" s="755"/>
      <c r="AW60" s="783"/>
      <c r="AX60" s="784"/>
    </row>
    <row r="61" spans="1:52" s="229" customFormat="1" ht="24.95" customHeight="1" thickBot="1">
      <c r="A61" s="403" t="s">
        <v>268</v>
      </c>
      <c r="B61" s="403" t="s">
        <v>269</v>
      </c>
      <c r="C61" s="404">
        <f t="shared" ref="C61" si="26">SUM(C53:C59)</f>
        <v>2394.6009999999997</v>
      </c>
      <c r="D61" s="405">
        <f t="shared" ref="D61" si="27">SUM(D53:D59)</f>
        <v>2372.0889999999999</v>
      </c>
      <c r="E61" s="405">
        <f t="shared" ref="E61" si="28">SUM(E53:E59)</f>
        <v>2150.2569999999996</v>
      </c>
      <c r="F61" s="406">
        <f t="shared" ref="F61:I61" si="29">SUM(F53:F59)</f>
        <v>2026.162</v>
      </c>
      <c r="G61" s="405">
        <f t="shared" si="29"/>
        <v>2059.5610000000001</v>
      </c>
      <c r="H61" s="405">
        <f t="shared" si="29"/>
        <v>1927.3119999999999</v>
      </c>
      <c r="I61" s="405">
        <f t="shared" si="29"/>
        <v>1827.1140000000003</v>
      </c>
      <c r="J61" s="406">
        <f t="shared" ref="J61:K61" si="30">SUM(J53:J59)</f>
        <v>1700.1859999999999</v>
      </c>
      <c r="K61" s="404">
        <f t="shared" si="30"/>
        <v>1739.3000000000002</v>
      </c>
      <c r="L61" s="405">
        <f t="shared" ref="L61:M61" si="31">SUM(L53:L59)</f>
        <v>14745</v>
      </c>
      <c r="M61" s="405">
        <f t="shared" si="31"/>
        <v>14223.800000000001</v>
      </c>
      <c r="N61" s="406">
        <f t="shared" ref="N61:S61" si="32">SUM(N53:N60)-N60</f>
        <v>14093.300000000003</v>
      </c>
      <c r="O61" s="404">
        <f t="shared" si="32"/>
        <v>13627.199999999999</v>
      </c>
      <c r="P61" s="405">
        <f t="shared" si="32"/>
        <v>13339.2</v>
      </c>
      <c r="Q61" s="405">
        <f t="shared" si="32"/>
        <v>8183.7</v>
      </c>
      <c r="R61" s="406">
        <f t="shared" si="32"/>
        <v>7773.5</v>
      </c>
      <c r="S61" s="404">
        <f t="shared" si="32"/>
        <v>13787.7</v>
      </c>
      <c r="T61" s="405">
        <f t="shared" ref="T61:U61" si="33">SUM(T53:T60)-T60</f>
        <v>13316.1</v>
      </c>
      <c r="U61" s="405">
        <f t="shared" si="33"/>
        <v>13004.800000000001</v>
      </c>
      <c r="V61" s="406">
        <f t="shared" ref="V61" si="34">SUM(V53:V60)-V60</f>
        <v>12670.500000000002</v>
      </c>
      <c r="W61" s="404">
        <f t="shared" ref="W61:Z61" si="35">SUM(W53:W60)-W60</f>
        <v>11538.9</v>
      </c>
      <c r="X61" s="405">
        <f t="shared" si="35"/>
        <v>11262.199999999999</v>
      </c>
      <c r="Y61" s="405">
        <f t="shared" si="35"/>
        <v>10896.3</v>
      </c>
      <c r="Z61" s="406">
        <f t="shared" si="35"/>
        <v>11723.7</v>
      </c>
      <c r="AA61" s="404">
        <f t="shared" ref="AA61:AE61" si="36">SUM(AA53:AA60)-AA60</f>
        <v>12062</v>
      </c>
      <c r="AB61" s="405">
        <f t="shared" si="36"/>
        <v>12060.8</v>
      </c>
      <c r="AC61" s="405">
        <f t="shared" si="36"/>
        <v>12102.5</v>
      </c>
      <c r="AD61" s="406">
        <f t="shared" si="36"/>
        <v>11803</v>
      </c>
      <c r="AE61" s="404">
        <f t="shared" si="36"/>
        <v>12477.9</v>
      </c>
      <c r="AF61" s="405">
        <f t="shared" ref="AF61:AI61" si="37">SUM(AF53:AF60)-AF60</f>
        <v>12039.3</v>
      </c>
      <c r="AG61" s="405">
        <f t="shared" si="37"/>
        <v>11494.000000000002</v>
      </c>
      <c r="AH61" s="406">
        <f t="shared" si="37"/>
        <v>12256.9</v>
      </c>
      <c r="AI61" s="404">
        <f t="shared" si="37"/>
        <v>12907.2</v>
      </c>
      <c r="AJ61" s="405">
        <f t="shared" ref="AJ61:AM61" si="38">SUM(AJ53:AJ60)-AJ60</f>
        <v>13796.600000000002</v>
      </c>
      <c r="AK61" s="405">
        <f t="shared" si="38"/>
        <v>13512.8</v>
      </c>
      <c r="AL61" s="406">
        <f t="shared" si="38"/>
        <v>13414.400000000001</v>
      </c>
      <c r="AM61" s="404">
        <f t="shared" si="38"/>
        <v>12300.499999999998</v>
      </c>
      <c r="AN61" s="405">
        <f t="shared" ref="AN61:AQ61" si="39">SUM(AN53:AN60)-AN60</f>
        <v>12095.100000000002</v>
      </c>
      <c r="AO61" s="405">
        <f t="shared" si="39"/>
        <v>11660</v>
      </c>
      <c r="AP61" s="406">
        <f t="shared" si="39"/>
        <v>11226.099999999999</v>
      </c>
      <c r="AQ61" s="404">
        <f t="shared" si="39"/>
        <v>10739.300000000001</v>
      </c>
      <c r="AR61" s="789">
        <f t="shared" ref="AR61:AT61" si="40">SUM(AR53:AR60)-AR60</f>
        <v>10706.700000000003</v>
      </c>
      <c r="AS61" s="405">
        <f t="shared" si="40"/>
        <v>0</v>
      </c>
      <c r="AT61" s="406">
        <f t="shared" si="40"/>
        <v>0</v>
      </c>
      <c r="AU61" s="754"/>
      <c r="AV61" s="755"/>
      <c r="AW61" s="783"/>
      <c r="AX61" s="784"/>
      <c r="AY61" s="782"/>
      <c r="AZ61" s="782"/>
    </row>
    <row r="62" spans="1:52" s="7" customFormat="1" ht="20.100000000000001" customHeight="1">
      <c r="A62" s="27" t="s">
        <v>252</v>
      </c>
      <c r="B62" s="128" t="s">
        <v>253</v>
      </c>
      <c r="C62" s="41">
        <f>250.363</f>
        <v>250.363</v>
      </c>
      <c r="D62" s="41">
        <f>(265796)*0.001</f>
        <v>265.79599999999999</v>
      </c>
      <c r="E62" s="41">
        <f>(238676)*0.001</f>
        <v>238.67600000000002</v>
      </c>
      <c r="F62" s="239">
        <f>(275608)*0.001</f>
        <v>275.608</v>
      </c>
      <c r="G62" s="240">
        <f>(250329)*0.001</f>
        <v>250.32900000000001</v>
      </c>
      <c r="H62" s="240">
        <f>(263389)*0.001</f>
        <v>263.38900000000001</v>
      </c>
      <c r="I62" s="240">
        <f>(214673)*0.001</f>
        <v>214.673</v>
      </c>
      <c r="J62" s="240">
        <f>(245994)*0.001</f>
        <v>245.994</v>
      </c>
      <c r="K62" s="252">
        <f>(240921)*0.001</f>
        <v>240.92099999999999</v>
      </c>
      <c r="L62" s="235">
        <v>1094.3</v>
      </c>
      <c r="M62" s="235">
        <v>1365.1</v>
      </c>
      <c r="N62" s="237">
        <v>1322.6</v>
      </c>
      <c r="O62" s="236">
        <v>1543.9</v>
      </c>
      <c r="P62" s="236">
        <v>1169.9000000000001</v>
      </c>
      <c r="Q62" s="235">
        <v>963.7</v>
      </c>
      <c r="R62" s="68">
        <v>1230.9000000000001</v>
      </c>
      <c r="S62" s="223">
        <v>1593</v>
      </c>
      <c r="T62" s="223">
        <v>1251.3</v>
      </c>
      <c r="U62" s="223">
        <v>1269.4000000000001</v>
      </c>
      <c r="V62" s="68">
        <v>1270</v>
      </c>
      <c r="W62" s="223">
        <v>1286.8</v>
      </c>
      <c r="X62" s="223">
        <v>1805.9</v>
      </c>
      <c r="Y62" s="223">
        <v>1824.8</v>
      </c>
      <c r="Z62" s="68">
        <v>1341.9</v>
      </c>
      <c r="AA62" s="223">
        <v>552.9</v>
      </c>
      <c r="AB62" s="223">
        <v>1074.7</v>
      </c>
      <c r="AC62" s="220">
        <v>1368.9</v>
      </c>
      <c r="AD62" s="68">
        <v>1611.3</v>
      </c>
      <c r="AE62" s="223">
        <v>1298.2</v>
      </c>
      <c r="AF62" s="223">
        <v>1279</v>
      </c>
      <c r="AG62" s="223">
        <v>1748.5</v>
      </c>
      <c r="AH62" s="68">
        <v>1892.5</v>
      </c>
      <c r="AI62" s="223">
        <v>1241.5999999999999</v>
      </c>
      <c r="AJ62" s="223">
        <v>364.6</v>
      </c>
      <c r="AK62" s="223">
        <v>557.5</v>
      </c>
      <c r="AL62" s="68">
        <v>753</v>
      </c>
      <c r="AM62" s="223">
        <v>947.4</v>
      </c>
      <c r="AN62" s="223">
        <v>1053.4000000000001</v>
      </c>
      <c r="AO62" s="223">
        <v>1924.5</v>
      </c>
      <c r="AP62" s="68">
        <v>1072.7</v>
      </c>
      <c r="AQ62" s="223">
        <v>1219.0999999999999</v>
      </c>
      <c r="AR62" s="222">
        <v>1357.2</v>
      </c>
      <c r="AS62" s="223"/>
      <c r="AT62" s="68"/>
      <c r="AU62" s="754"/>
      <c r="AV62" s="755"/>
      <c r="AW62" s="783"/>
      <c r="AX62" s="784"/>
    </row>
    <row r="63" spans="1:52" s="7" customFormat="1" ht="20.100000000000001" customHeight="1">
      <c r="A63" s="27" t="s">
        <v>254</v>
      </c>
      <c r="B63" s="128" t="s">
        <v>255</v>
      </c>
      <c r="C63" s="41">
        <f>100.836</f>
        <v>100.836</v>
      </c>
      <c r="D63" s="41">
        <f>(101342)*0.001</f>
        <v>101.342</v>
      </c>
      <c r="E63" s="41">
        <f>(99687)*0.001</f>
        <v>99.686999999999998</v>
      </c>
      <c r="F63" s="239">
        <f>(97256)*0.001</f>
        <v>97.256</v>
      </c>
      <c r="G63" s="240">
        <f>(101219)*0.001</f>
        <v>101.21900000000001</v>
      </c>
      <c r="H63" s="240">
        <f>(102957)*0.001</f>
        <v>102.95700000000001</v>
      </c>
      <c r="I63" s="240">
        <f>(102171)*0.001</f>
        <v>102.17100000000001</v>
      </c>
      <c r="J63" s="240">
        <f>(98659)*0.001</f>
        <v>98.659000000000006</v>
      </c>
      <c r="K63" s="252">
        <f>(101071)*0.001</f>
        <v>101.071</v>
      </c>
      <c r="L63" s="238">
        <v>431.9</v>
      </c>
      <c r="M63" s="238">
        <v>439.1</v>
      </c>
      <c r="N63" s="245">
        <v>464.4</v>
      </c>
      <c r="O63" s="248">
        <v>462.5</v>
      </c>
      <c r="P63" s="248">
        <v>479.4</v>
      </c>
      <c r="Q63" s="238">
        <v>4607.5</v>
      </c>
      <c r="R63" s="68">
        <v>4776.7</v>
      </c>
      <c r="S63" s="220">
        <v>41.5</v>
      </c>
      <c r="T63" s="220">
        <v>42.3</v>
      </c>
      <c r="U63" s="220">
        <v>41.9</v>
      </c>
      <c r="V63" s="68">
        <v>42.4</v>
      </c>
      <c r="W63" s="220">
        <v>981.4</v>
      </c>
      <c r="X63" s="220">
        <v>42.5</v>
      </c>
      <c r="Y63" s="220">
        <v>42.1</v>
      </c>
      <c r="Z63" s="68">
        <v>42.5</v>
      </c>
      <c r="AA63" s="220">
        <v>41.9</v>
      </c>
      <c r="AB63" s="220">
        <v>42.4</v>
      </c>
      <c r="AC63" s="220">
        <v>41.8</v>
      </c>
      <c r="AD63" s="68">
        <v>42.3</v>
      </c>
      <c r="AE63" s="220">
        <v>41.9</v>
      </c>
      <c r="AF63" s="220">
        <v>34.799999999999997</v>
      </c>
      <c r="AG63" s="223">
        <v>35.1</v>
      </c>
      <c r="AH63" s="68">
        <v>34.799999999999997</v>
      </c>
      <c r="AI63" s="220">
        <v>63.1</v>
      </c>
      <c r="AJ63" s="220">
        <v>48.9</v>
      </c>
      <c r="AK63" s="223">
        <v>41.1</v>
      </c>
      <c r="AL63" s="68">
        <v>38.700000000000003</v>
      </c>
      <c r="AM63" s="220">
        <v>38.6</v>
      </c>
      <c r="AN63" s="223">
        <v>38.6</v>
      </c>
      <c r="AO63" s="223">
        <v>39.200000000000003</v>
      </c>
      <c r="AP63" s="68">
        <v>66.400000000000006</v>
      </c>
      <c r="AQ63" s="220">
        <v>103.8</v>
      </c>
      <c r="AR63" s="222">
        <v>149</v>
      </c>
      <c r="AS63" s="223"/>
      <c r="AT63" s="68"/>
      <c r="AU63" s="754"/>
      <c r="AV63" s="755"/>
      <c r="AW63" s="783"/>
      <c r="AX63" s="784"/>
    </row>
    <row r="64" spans="1:52" s="7" customFormat="1" ht="20.100000000000001" customHeight="1">
      <c r="A64" s="27" t="s">
        <v>270</v>
      </c>
      <c r="B64" s="130" t="s">
        <v>257</v>
      </c>
      <c r="C64" s="41">
        <f>0.237</f>
        <v>0.23699999999999999</v>
      </c>
      <c r="D64" s="41">
        <f>(243)*0.001</f>
        <v>0.24299999999999999</v>
      </c>
      <c r="E64" s="41">
        <f>(234)*0.001</f>
        <v>0.23400000000000001</v>
      </c>
      <c r="F64" s="239">
        <f>(233)*0.001</f>
        <v>0.23300000000000001</v>
      </c>
      <c r="G64" s="240">
        <f>(238)*0.001</f>
        <v>0.23800000000000002</v>
      </c>
      <c r="H64" s="240">
        <f>(247)*0.001</f>
        <v>0.247</v>
      </c>
      <c r="I64" s="240">
        <f>(240)*0.001</f>
        <v>0.24</v>
      </c>
      <c r="J64" s="240">
        <f>(236)*0.001</f>
        <v>0.23600000000000002</v>
      </c>
      <c r="K64" s="252">
        <f>(237)*0.001</f>
        <v>0.23700000000000002</v>
      </c>
      <c r="L64" s="238">
        <v>5.3</v>
      </c>
      <c r="M64" s="238">
        <v>5.8</v>
      </c>
      <c r="N64" s="245">
        <v>6.8</v>
      </c>
      <c r="O64" s="248">
        <v>2.7</v>
      </c>
      <c r="P64" s="248">
        <v>3.7</v>
      </c>
      <c r="Q64" s="238">
        <v>4.3</v>
      </c>
      <c r="R64" s="68">
        <v>4.3</v>
      </c>
      <c r="S64" s="220">
        <v>4.5</v>
      </c>
      <c r="T64" s="220">
        <v>4.9000000000000004</v>
      </c>
      <c r="U64" s="220">
        <v>4.9000000000000004</v>
      </c>
      <c r="V64" s="68">
        <v>5</v>
      </c>
      <c r="W64" s="220">
        <v>5.2</v>
      </c>
      <c r="X64" s="220">
        <v>7.6</v>
      </c>
      <c r="Y64" s="220">
        <v>7</v>
      </c>
      <c r="Z64" s="68">
        <v>9.6999999999999993</v>
      </c>
      <c r="AA64" s="220">
        <v>10.4</v>
      </c>
      <c r="AB64" s="220">
        <v>9.6999999999999993</v>
      </c>
      <c r="AC64" s="220">
        <v>10.7</v>
      </c>
      <c r="AD64" s="68">
        <v>8.1999999999999993</v>
      </c>
      <c r="AE64" s="220">
        <v>411.5</v>
      </c>
      <c r="AF64" s="220">
        <v>411.1</v>
      </c>
      <c r="AG64" s="223">
        <v>411.4</v>
      </c>
      <c r="AH64" s="68">
        <v>413.5</v>
      </c>
      <c r="AI64" s="220">
        <v>430.3</v>
      </c>
      <c r="AJ64" s="220">
        <v>418.8</v>
      </c>
      <c r="AK64" s="223">
        <v>420</v>
      </c>
      <c r="AL64" s="68">
        <v>432.5</v>
      </c>
      <c r="AM64" s="220">
        <v>198.7</v>
      </c>
      <c r="AN64" s="223">
        <v>201.5</v>
      </c>
      <c r="AO64" s="223">
        <v>196.8</v>
      </c>
      <c r="AP64" s="68">
        <v>201.1</v>
      </c>
      <c r="AQ64" s="220">
        <v>197.9</v>
      </c>
      <c r="AR64" s="222">
        <v>186.7</v>
      </c>
      <c r="AS64" s="223"/>
      <c r="AT64" s="68"/>
      <c r="AU64" s="754"/>
      <c r="AV64" s="755"/>
      <c r="AW64" s="783"/>
      <c r="AX64" s="784"/>
    </row>
    <row r="65" spans="1:52" s="7" customFormat="1" ht="20.100000000000001" customHeight="1">
      <c r="A65" s="27" t="s">
        <v>258</v>
      </c>
      <c r="B65" s="128" t="s">
        <v>259</v>
      </c>
      <c r="C65" s="19">
        <v>0</v>
      </c>
      <c r="D65" s="19">
        <v>0</v>
      </c>
      <c r="E65" s="19">
        <v>0</v>
      </c>
      <c r="F65" s="256">
        <v>0</v>
      </c>
      <c r="G65" s="257">
        <v>0</v>
      </c>
      <c r="H65" s="257">
        <v>0</v>
      </c>
      <c r="I65" s="257">
        <v>0</v>
      </c>
      <c r="J65" s="257">
        <v>0</v>
      </c>
      <c r="K65" s="258">
        <v>0</v>
      </c>
      <c r="L65" s="238">
        <v>115.8</v>
      </c>
      <c r="M65" s="238">
        <v>113.9</v>
      </c>
      <c r="N65" s="245">
        <v>117.1</v>
      </c>
      <c r="O65" s="248">
        <v>113</v>
      </c>
      <c r="P65" s="248">
        <v>116.7</v>
      </c>
      <c r="Q65" s="238">
        <v>115.6</v>
      </c>
      <c r="R65" s="68">
        <v>117</v>
      </c>
      <c r="S65" s="220">
        <v>118</v>
      </c>
      <c r="T65" s="220">
        <v>123.1</v>
      </c>
      <c r="U65" s="220">
        <v>117.7</v>
      </c>
      <c r="V65" s="68">
        <v>121.5</v>
      </c>
      <c r="W65" s="220">
        <v>116.6</v>
      </c>
      <c r="X65" s="220">
        <v>117.6</v>
      </c>
      <c r="Y65" s="220">
        <v>117.6</v>
      </c>
      <c r="Z65" s="68">
        <v>114.5</v>
      </c>
      <c r="AA65" s="220">
        <v>116.3</v>
      </c>
      <c r="AB65" s="220">
        <v>121.3</v>
      </c>
      <c r="AC65" s="220">
        <v>116.6</v>
      </c>
      <c r="AD65" s="68">
        <v>118.1</v>
      </c>
      <c r="AE65" s="220">
        <v>118.9</v>
      </c>
      <c r="AF65" s="220">
        <v>118.3</v>
      </c>
      <c r="AG65" s="223">
        <v>119.3</v>
      </c>
      <c r="AH65" s="68">
        <v>116.9</v>
      </c>
      <c r="AI65" s="220">
        <v>125.8</v>
      </c>
      <c r="AJ65" s="220">
        <v>124.2</v>
      </c>
      <c r="AK65" s="223">
        <v>123.5</v>
      </c>
      <c r="AL65" s="68">
        <v>126.7</v>
      </c>
      <c r="AM65" s="220">
        <v>128.80000000000001</v>
      </c>
      <c r="AN65" s="223">
        <v>125.8</v>
      </c>
      <c r="AO65" s="223">
        <v>140</v>
      </c>
      <c r="AP65" s="68">
        <v>139.9</v>
      </c>
      <c r="AQ65" s="220">
        <v>142.4</v>
      </c>
      <c r="AR65" s="222">
        <v>144.19999999999999</v>
      </c>
      <c r="AS65" s="223"/>
      <c r="AT65" s="68"/>
      <c r="AU65" s="754"/>
      <c r="AV65" s="755"/>
      <c r="AW65" s="783"/>
      <c r="AX65" s="784"/>
    </row>
    <row r="66" spans="1:52" s="7" customFormat="1" ht="20.100000000000001" customHeight="1">
      <c r="A66" s="27" t="s">
        <v>271</v>
      </c>
      <c r="B66" s="128" t="s">
        <v>272</v>
      </c>
      <c r="C66" s="19"/>
      <c r="D66" s="19"/>
      <c r="E66" s="19"/>
      <c r="F66" s="256"/>
      <c r="G66" s="257"/>
      <c r="H66" s="257"/>
      <c r="I66" s="257"/>
      <c r="J66" s="257"/>
      <c r="K66" s="258"/>
      <c r="L66" s="238"/>
      <c r="M66" s="238"/>
      <c r="N66" s="245"/>
      <c r="O66" s="248"/>
      <c r="P66" s="248"/>
      <c r="Q66" s="238"/>
      <c r="R66" s="68"/>
      <c r="S66" s="220"/>
      <c r="T66" s="220"/>
      <c r="U66" s="220"/>
      <c r="V66" s="68"/>
      <c r="W66" s="220"/>
      <c r="X66" s="220"/>
      <c r="Y66" s="220"/>
      <c r="Z66" s="68"/>
      <c r="AA66" s="223">
        <v>359</v>
      </c>
      <c r="AB66" s="220">
        <v>649.1</v>
      </c>
      <c r="AC66" s="220">
        <v>643.5</v>
      </c>
      <c r="AD66" s="68">
        <v>705.2</v>
      </c>
      <c r="AE66" s="223">
        <v>722.6</v>
      </c>
      <c r="AF66" s="220">
        <v>712.2</v>
      </c>
      <c r="AG66" s="223">
        <v>729.6</v>
      </c>
      <c r="AH66" s="68">
        <v>713.1</v>
      </c>
      <c r="AI66" s="223">
        <v>725.1</v>
      </c>
      <c r="AJ66" s="220">
        <v>686.4</v>
      </c>
      <c r="AK66" s="223">
        <v>671.7</v>
      </c>
      <c r="AL66" s="68">
        <v>675.6</v>
      </c>
      <c r="AM66" s="223">
        <v>663.1</v>
      </c>
      <c r="AN66" s="223">
        <v>646.70000000000005</v>
      </c>
      <c r="AO66" s="223">
        <v>668.3</v>
      </c>
      <c r="AP66" s="68">
        <v>650.79999999999995</v>
      </c>
      <c r="AQ66" s="223">
        <v>637.5</v>
      </c>
      <c r="AR66" s="222">
        <v>631.79999999999995</v>
      </c>
      <c r="AS66" s="223"/>
      <c r="AT66" s="68"/>
      <c r="AU66" s="754"/>
      <c r="AV66" s="755"/>
      <c r="AW66" s="783"/>
      <c r="AX66" s="784"/>
    </row>
    <row r="67" spans="1:52" s="7" customFormat="1" ht="20.100000000000001" customHeight="1">
      <c r="A67" s="27" t="s">
        <v>273</v>
      </c>
      <c r="B67" s="128" t="s">
        <v>274</v>
      </c>
      <c r="C67" s="41">
        <f>435.427</f>
        <v>435.42700000000002</v>
      </c>
      <c r="D67" s="41">
        <f>(436188)*0.001</f>
        <v>436.18799999999999</v>
      </c>
      <c r="E67" s="41">
        <f>(441676)*0.001</f>
        <v>441.67599999999999</v>
      </c>
      <c r="F67" s="239">
        <f>(472094)*0.001</f>
        <v>472.09399999999999</v>
      </c>
      <c r="G67" s="240">
        <f>(432897)*0.001</f>
        <v>432.89699999999999</v>
      </c>
      <c r="H67" s="240">
        <f>(428004)*0.001</f>
        <v>428.00400000000002</v>
      </c>
      <c r="I67" s="240">
        <f>(390829)*0.001</f>
        <v>390.82900000000001</v>
      </c>
      <c r="J67" s="240">
        <f>(413210)*0.001</f>
        <v>413.21000000000004</v>
      </c>
      <c r="K67" s="252">
        <f>(418100)*0.001</f>
        <v>418.1</v>
      </c>
      <c r="L67" s="235">
        <v>1618.8</v>
      </c>
      <c r="M67" s="235">
        <v>1505.3</v>
      </c>
      <c r="N67" s="237">
        <v>1523</v>
      </c>
      <c r="O67" s="236">
        <v>1333.5</v>
      </c>
      <c r="P67" s="236">
        <v>1670.4</v>
      </c>
      <c r="Q67" s="235">
        <v>1431.5</v>
      </c>
      <c r="R67" s="68">
        <v>1485.4</v>
      </c>
      <c r="S67" s="223">
        <v>1711.4</v>
      </c>
      <c r="T67" s="223">
        <v>1365.9</v>
      </c>
      <c r="U67" s="223">
        <v>1338.1</v>
      </c>
      <c r="V67" s="68">
        <v>1569.5</v>
      </c>
      <c r="W67" s="223">
        <v>1337.9</v>
      </c>
      <c r="X67" s="223">
        <v>1694.4</v>
      </c>
      <c r="Y67" s="223">
        <v>1397.9</v>
      </c>
      <c r="Z67" s="68">
        <v>1727.3</v>
      </c>
      <c r="AA67" s="220">
        <v>1430.8</v>
      </c>
      <c r="AB67" s="223">
        <v>2254.9</v>
      </c>
      <c r="AC67" s="220">
        <v>2302.6999999999998</v>
      </c>
      <c r="AD67" s="68">
        <v>2382.4</v>
      </c>
      <c r="AE67" s="220">
        <v>2029.1</v>
      </c>
      <c r="AF67" s="223">
        <v>2691.7</v>
      </c>
      <c r="AG67" s="223">
        <v>2392.3000000000002</v>
      </c>
      <c r="AH67" s="68">
        <v>2420.8000000000002</v>
      </c>
      <c r="AI67" s="220">
        <v>2190</v>
      </c>
      <c r="AJ67" s="223">
        <v>2119.1999999999998</v>
      </c>
      <c r="AK67" s="223">
        <v>2744</v>
      </c>
      <c r="AL67" s="68">
        <v>2155.3000000000002</v>
      </c>
      <c r="AM67" s="220">
        <v>1855.9</v>
      </c>
      <c r="AN67" s="223">
        <v>1742.5</v>
      </c>
      <c r="AO67" s="223">
        <v>2368.1</v>
      </c>
      <c r="AP67" s="68">
        <v>2531.1999999999998</v>
      </c>
      <c r="AQ67" s="220">
        <v>2241.3000000000002</v>
      </c>
      <c r="AR67" s="222">
        <v>2461.3000000000002</v>
      </c>
      <c r="AS67" s="223"/>
      <c r="AT67" s="68"/>
      <c r="AU67" s="754"/>
      <c r="AV67" s="755"/>
      <c r="AW67" s="783"/>
      <c r="AX67" s="784"/>
      <c r="AY67" s="754"/>
    </row>
    <row r="68" spans="1:52" s="15" customFormat="1" ht="20.100000000000001" customHeight="1">
      <c r="A68" s="29" t="s">
        <v>266</v>
      </c>
      <c r="B68" s="133" t="s">
        <v>267</v>
      </c>
      <c r="C68" s="23">
        <v>0</v>
      </c>
      <c r="D68" s="23">
        <v>0</v>
      </c>
      <c r="E68" s="23">
        <v>0</v>
      </c>
      <c r="F68" s="218">
        <v>0</v>
      </c>
      <c r="G68" s="67">
        <v>0</v>
      </c>
      <c r="H68" s="67">
        <v>0</v>
      </c>
      <c r="I68" s="67">
        <v>0</v>
      </c>
      <c r="J68" s="253">
        <v>12</v>
      </c>
      <c r="K68" s="259">
        <v>0</v>
      </c>
      <c r="L68" s="67">
        <v>0</v>
      </c>
      <c r="M68" s="67">
        <v>0</v>
      </c>
      <c r="N68" s="253">
        <v>87</v>
      </c>
      <c r="O68" s="254">
        <v>99.7</v>
      </c>
      <c r="P68" s="254">
        <v>79</v>
      </c>
      <c r="Q68" s="260">
        <v>57.1</v>
      </c>
      <c r="R68" s="224">
        <v>72.900000000000006</v>
      </c>
      <c r="S68" s="200">
        <v>25.8</v>
      </c>
      <c r="T68" s="200">
        <v>3.5</v>
      </c>
      <c r="U68" s="200">
        <v>1.8</v>
      </c>
      <c r="V68" s="224">
        <v>0</v>
      </c>
      <c r="W68" s="200">
        <v>1.5</v>
      </c>
      <c r="X68" s="200">
        <v>0.6</v>
      </c>
      <c r="Y68" s="200">
        <v>0.5</v>
      </c>
      <c r="Z68" s="224">
        <v>3.6</v>
      </c>
      <c r="AA68" s="200">
        <v>2.8</v>
      </c>
      <c r="AB68" s="200">
        <v>4.2</v>
      </c>
      <c r="AC68" s="220">
        <v>5.5</v>
      </c>
      <c r="AD68" s="224">
        <v>8.8000000000000007</v>
      </c>
      <c r="AE68" s="200">
        <v>9.1</v>
      </c>
      <c r="AF68" s="200">
        <v>9</v>
      </c>
      <c r="AG68" s="201">
        <v>7.5</v>
      </c>
      <c r="AH68" s="68">
        <v>8.3000000000000007</v>
      </c>
      <c r="AI68" s="200">
        <v>37.799999999999997</v>
      </c>
      <c r="AJ68" s="200">
        <v>51.1</v>
      </c>
      <c r="AK68" s="201">
        <v>45.1</v>
      </c>
      <c r="AL68" s="224">
        <v>39.200000000000003</v>
      </c>
      <c r="AM68" s="200">
        <v>31.3</v>
      </c>
      <c r="AN68" s="201">
        <v>24.4</v>
      </c>
      <c r="AO68" s="201">
        <v>14.2</v>
      </c>
      <c r="AP68" s="224">
        <v>0</v>
      </c>
      <c r="AQ68" s="200">
        <v>0</v>
      </c>
      <c r="AR68" s="792">
        <v>0</v>
      </c>
      <c r="AS68" s="201"/>
      <c r="AT68" s="224"/>
      <c r="AU68" s="754"/>
      <c r="AV68" s="755"/>
      <c r="AW68" s="783"/>
      <c r="AX68" s="784"/>
    </row>
    <row r="69" spans="1:52" s="15" customFormat="1" ht="25.5">
      <c r="A69" s="180" t="s">
        <v>275</v>
      </c>
      <c r="B69" s="197" t="s">
        <v>276</v>
      </c>
      <c r="C69" s="23"/>
      <c r="D69" s="23"/>
      <c r="E69" s="23"/>
      <c r="F69" s="218"/>
      <c r="G69" s="67"/>
      <c r="H69" s="67"/>
      <c r="I69" s="67"/>
      <c r="J69" s="254"/>
      <c r="K69" s="259"/>
      <c r="L69" s="67"/>
      <c r="M69" s="67"/>
      <c r="N69" s="253"/>
      <c r="O69" s="254"/>
      <c r="P69" s="254"/>
      <c r="Q69" s="260"/>
      <c r="R69" s="224"/>
      <c r="S69" s="200"/>
      <c r="T69" s="200"/>
      <c r="U69" s="200"/>
      <c r="V69" s="224"/>
      <c r="W69" s="200"/>
      <c r="X69" s="200"/>
      <c r="Y69" s="200"/>
      <c r="Z69" s="224"/>
      <c r="AA69" s="200"/>
      <c r="AB69" s="200"/>
      <c r="AC69" s="220"/>
      <c r="AD69" s="224"/>
      <c r="AE69" s="200"/>
      <c r="AF69" s="200"/>
      <c r="AG69" s="201"/>
      <c r="AH69" s="68"/>
      <c r="AI69" s="200"/>
      <c r="AJ69" s="200"/>
      <c r="AK69" s="201"/>
      <c r="AL69" s="68">
        <v>415.7</v>
      </c>
      <c r="AM69" s="200">
        <v>0</v>
      </c>
      <c r="AN69" s="223">
        <v>767.5</v>
      </c>
      <c r="AO69" s="223">
        <v>511.7</v>
      </c>
      <c r="AP69" s="68">
        <v>0</v>
      </c>
      <c r="AQ69" s="200">
        <v>0</v>
      </c>
      <c r="AR69" s="222">
        <v>660.8</v>
      </c>
      <c r="AS69" s="223"/>
      <c r="AT69" s="68"/>
      <c r="AU69" s="754"/>
      <c r="AV69" s="755"/>
      <c r="AW69" s="783"/>
      <c r="AX69" s="784"/>
    </row>
    <row r="70" spans="1:52" s="15" customFormat="1" ht="20.100000000000001" customHeight="1">
      <c r="A70" s="27" t="s">
        <v>277</v>
      </c>
      <c r="B70" s="128" t="s">
        <v>278</v>
      </c>
      <c r="C70" s="23"/>
      <c r="D70" s="23"/>
      <c r="E70" s="23"/>
      <c r="F70" s="218"/>
      <c r="G70" s="67"/>
      <c r="H70" s="67"/>
      <c r="I70" s="67"/>
      <c r="J70" s="254"/>
      <c r="K70" s="259"/>
      <c r="L70" s="67"/>
      <c r="M70" s="67"/>
      <c r="N70" s="253"/>
      <c r="O70" s="254"/>
      <c r="P70" s="254"/>
      <c r="Q70" s="260"/>
      <c r="R70" s="224"/>
      <c r="S70" s="200"/>
      <c r="T70" s="200"/>
      <c r="U70" s="200"/>
      <c r="V70" s="224"/>
      <c r="W70" s="200"/>
      <c r="X70" s="200"/>
      <c r="Y70" s="200"/>
      <c r="Z70" s="224"/>
      <c r="AA70" s="200"/>
      <c r="AB70" s="200"/>
      <c r="AC70" s="220"/>
      <c r="AD70" s="224"/>
      <c r="AE70" s="200"/>
      <c r="AF70" s="200"/>
      <c r="AG70" s="201"/>
      <c r="AH70" s="68"/>
      <c r="AI70" s="200"/>
      <c r="AJ70" s="200"/>
      <c r="AK70" s="201"/>
      <c r="AL70" s="68">
        <v>548</v>
      </c>
      <c r="AM70" s="200">
        <v>0</v>
      </c>
      <c r="AN70" s="201">
        <v>0</v>
      </c>
      <c r="AO70" s="201">
        <v>0</v>
      </c>
      <c r="AP70" s="68">
        <v>0</v>
      </c>
      <c r="AQ70" s="200">
        <v>0</v>
      </c>
      <c r="AR70" s="792">
        <v>0</v>
      </c>
      <c r="AS70" s="201"/>
      <c r="AT70" s="68"/>
      <c r="AU70" s="754"/>
      <c r="AV70" s="755"/>
      <c r="AW70" s="783"/>
      <c r="AX70" s="784"/>
    </row>
    <row r="71" spans="1:52" s="7" customFormat="1" ht="20.100000000000001" customHeight="1">
      <c r="A71" s="27" t="s">
        <v>279</v>
      </c>
      <c r="B71" s="128" t="s">
        <v>280</v>
      </c>
      <c r="C71" s="41">
        <f>29.589</f>
        <v>29.588999999999999</v>
      </c>
      <c r="D71" s="41">
        <f>(7799)*0.001</f>
        <v>7.7990000000000004</v>
      </c>
      <c r="E71" s="41">
        <f>(6782)*0.001</f>
        <v>6.782</v>
      </c>
      <c r="F71" s="239">
        <f>(7092)*0.001</f>
        <v>7.0920000000000005</v>
      </c>
      <c r="G71" s="240">
        <f>(1990)*0.001</f>
        <v>1.99</v>
      </c>
      <c r="H71" s="240">
        <f>(6510)*0.001</f>
        <v>6.51</v>
      </c>
      <c r="I71" s="240">
        <f>(14152)*0.001</f>
        <v>14.152000000000001</v>
      </c>
      <c r="J71" s="240">
        <f>(4520)*0.001</f>
        <v>4.5200000000000005</v>
      </c>
      <c r="K71" s="252">
        <f>(12203)*0.001</f>
        <v>12.202999999999999</v>
      </c>
      <c r="L71" s="238">
        <v>43.7</v>
      </c>
      <c r="M71" s="238">
        <v>22.1</v>
      </c>
      <c r="N71" s="245">
        <v>48.028993427171699</v>
      </c>
      <c r="O71" s="248">
        <v>22.5</v>
      </c>
      <c r="P71" s="248">
        <v>132.69999999999999</v>
      </c>
      <c r="Q71" s="238">
        <v>96.3</v>
      </c>
      <c r="R71" s="68">
        <v>176.1</v>
      </c>
      <c r="S71" s="220">
        <v>29.2</v>
      </c>
      <c r="T71" s="220">
        <v>39.1</v>
      </c>
      <c r="U71" s="220">
        <v>21.967722325707697</v>
      </c>
      <c r="V71" s="68">
        <v>24.9</v>
      </c>
      <c r="W71" s="220">
        <v>4.3</v>
      </c>
      <c r="X71" s="220">
        <v>24.9</v>
      </c>
      <c r="Y71" s="220">
        <v>17.5</v>
      </c>
      <c r="Z71" s="68">
        <v>61.3</v>
      </c>
      <c r="AA71" s="220">
        <v>60.1</v>
      </c>
      <c r="AB71" s="220">
        <v>44.9</v>
      </c>
      <c r="AC71" s="220">
        <v>62.3</v>
      </c>
      <c r="AD71" s="68">
        <v>151.1</v>
      </c>
      <c r="AE71" s="220">
        <v>191.1</v>
      </c>
      <c r="AF71" s="220">
        <v>154.30000000000001</v>
      </c>
      <c r="AG71" s="223">
        <v>192.4</v>
      </c>
      <c r="AH71" s="68">
        <v>276.60000000000002</v>
      </c>
      <c r="AI71" s="220">
        <v>335.6</v>
      </c>
      <c r="AJ71" s="220">
        <v>126.1</v>
      </c>
      <c r="AK71" s="223">
        <v>100.2</v>
      </c>
      <c r="AL71" s="68">
        <v>128.9</v>
      </c>
      <c r="AM71" s="220">
        <v>171</v>
      </c>
      <c r="AN71" s="223">
        <v>65</v>
      </c>
      <c r="AO71" s="223">
        <v>954.6</v>
      </c>
      <c r="AP71" s="68">
        <v>964.2</v>
      </c>
      <c r="AQ71" s="220">
        <v>1007</v>
      </c>
      <c r="AR71" s="222">
        <v>91.5</v>
      </c>
      <c r="AS71" s="223"/>
      <c r="AT71" s="68"/>
      <c r="AU71" s="754"/>
      <c r="AV71" s="755"/>
      <c r="AW71" s="783"/>
      <c r="AX71" s="784"/>
    </row>
    <row r="72" spans="1:52" s="7" customFormat="1" ht="20.100000000000001" customHeight="1">
      <c r="A72" s="27" t="s">
        <v>281</v>
      </c>
      <c r="B72" s="128" t="s">
        <v>282</v>
      </c>
      <c r="C72" s="41">
        <f>12.532</f>
        <v>12.532</v>
      </c>
      <c r="D72" s="41">
        <f>(12125)*0.001</f>
        <v>12.125</v>
      </c>
      <c r="E72" s="41">
        <f>(12084)*0.001</f>
        <v>12.084</v>
      </c>
      <c r="F72" s="239">
        <f>(13259)*0.001</f>
        <v>13.259</v>
      </c>
      <c r="G72" s="240">
        <f>(13182)*0.001</f>
        <v>13.182</v>
      </c>
      <c r="H72" s="240">
        <f>(12551)*0.001</f>
        <v>12.551</v>
      </c>
      <c r="I72" s="240">
        <f>(12536)*0.001</f>
        <v>12.536</v>
      </c>
      <c r="J72" s="240">
        <f>(2727)*0.001</f>
        <v>2.7269999999999999</v>
      </c>
      <c r="K72" s="252">
        <f>(2843)*0.001</f>
        <v>2.843</v>
      </c>
      <c r="L72" s="238">
        <v>2.6</v>
      </c>
      <c r="M72" s="238">
        <v>2.7</v>
      </c>
      <c r="N72" s="245">
        <v>1.4</v>
      </c>
      <c r="O72" s="248">
        <v>1.4</v>
      </c>
      <c r="P72" s="261" t="s">
        <v>283</v>
      </c>
      <c r="Q72" s="261" t="s">
        <v>283</v>
      </c>
      <c r="R72" s="225" t="s">
        <v>283</v>
      </c>
      <c r="S72" s="226" t="s">
        <v>283</v>
      </c>
      <c r="T72" s="226" t="s">
        <v>283</v>
      </c>
      <c r="U72" s="226" t="s">
        <v>283</v>
      </c>
      <c r="V72" s="225" t="s">
        <v>283</v>
      </c>
      <c r="W72" s="226" t="s">
        <v>283</v>
      </c>
      <c r="X72" s="226" t="s">
        <v>283</v>
      </c>
      <c r="Y72" s="226" t="s">
        <v>283</v>
      </c>
      <c r="Z72" s="225" t="s">
        <v>283</v>
      </c>
      <c r="AA72" s="226" t="s">
        <v>283</v>
      </c>
      <c r="AB72" s="226" t="s">
        <v>283</v>
      </c>
      <c r="AC72" s="226" t="s">
        <v>283</v>
      </c>
      <c r="AD72" s="225" t="s">
        <v>283</v>
      </c>
      <c r="AE72" s="226" t="s">
        <v>283</v>
      </c>
      <c r="AF72" s="226" t="s">
        <v>283</v>
      </c>
      <c r="AG72" s="226" t="s">
        <v>283</v>
      </c>
      <c r="AH72" s="225" t="s">
        <v>283</v>
      </c>
      <c r="AI72" s="226" t="s">
        <v>283</v>
      </c>
      <c r="AJ72" s="226" t="s">
        <v>283</v>
      </c>
      <c r="AK72" s="226" t="s">
        <v>283</v>
      </c>
      <c r="AL72" s="225" t="s">
        <v>283</v>
      </c>
      <c r="AM72" s="226" t="s">
        <v>283</v>
      </c>
      <c r="AN72" s="226" t="s">
        <v>283</v>
      </c>
      <c r="AO72" s="226" t="s">
        <v>283</v>
      </c>
      <c r="AP72" s="225" t="s">
        <v>283</v>
      </c>
      <c r="AQ72" s="226" t="s">
        <v>283</v>
      </c>
      <c r="AR72" s="793" t="s">
        <v>283</v>
      </c>
      <c r="AS72" s="226" t="s">
        <v>283</v>
      </c>
      <c r="AT72" s="225" t="s">
        <v>283</v>
      </c>
      <c r="AU72" s="754"/>
      <c r="AV72" s="755"/>
      <c r="AW72" s="783"/>
      <c r="AX72" s="784"/>
    </row>
    <row r="73" spans="1:52" s="7" customFormat="1" ht="20.100000000000001" customHeight="1" thickBot="1">
      <c r="A73" s="27" t="s">
        <v>262</v>
      </c>
      <c r="B73" s="128" t="s">
        <v>263</v>
      </c>
      <c r="C73" s="41">
        <f>188.402</f>
        <v>188.40199999999999</v>
      </c>
      <c r="D73" s="41">
        <f>(209950)*0.001</f>
        <v>209.95000000000002</v>
      </c>
      <c r="E73" s="41">
        <f>(210563)*0.001</f>
        <v>210.56300000000002</v>
      </c>
      <c r="F73" s="239">
        <f>(201238)*0.001</f>
        <v>201.238</v>
      </c>
      <c r="G73" s="240">
        <f>(207890)*0.001</f>
        <v>207.89000000000001</v>
      </c>
      <c r="H73" s="240">
        <f>(204442)*0.001</f>
        <v>204.44200000000001</v>
      </c>
      <c r="I73" s="240">
        <f>(210688)*0.001</f>
        <v>210.68800000000002</v>
      </c>
      <c r="J73" s="240">
        <f>(209485)*0.001</f>
        <v>209.48500000000001</v>
      </c>
      <c r="K73" s="252">
        <f>(228170)*0.001</f>
        <v>228.17000000000002</v>
      </c>
      <c r="L73" s="238">
        <v>678</v>
      </c>
      <c r="M73" s="238">
        <v>672.7</v>
      </c>
      <c r="N73" s="245">
        <v>683.9</v>
      </c>
      <c r="O73" s="248">
        <v>670.3</v>
      </c>
      <c r="P73" s="248">
        <v>672</v>
      </c>
      <c r="Q73" s="238">
        <v>680.9</v>
      </c>
      <c r="R73" s="68">
        <v>676.1</v>
      </c>
      <c r="S73" s="220">
        <v>665</v>
      </c>
      <c r="T73" s="220">
        <v>676.8</v>
      </c>
      <c r="U73" s="220">
        <v>660.84343092999995</v>
      </c>
      <c r="V73" s="68">
        <v>647.9</v>
      </c>
      <c r="W73" s="220">
        <v>633.79999999999995</v>
      </c>
      <c r="X73" s="220">
        <v>637.29999999999995</v>
      </c>
      <c r="Y73" s="220">
        <v>629.5</v>
      </c>
      <c r="Z73" s="68">
        <v>618.29999999999995</v>
      </c>
      <c r="AA73" s="220">
        <v>356</v>
      </c>
      <c r="AB73" s="220">
        <v>39.799999999999997</v>
      </c>
      <c r="AC73" s="220">
        <v>65</v>
      </c>
      <c r="AD73" s="68">
        <v>0</v>
      </c>
      <c r="AE73" s="220">
        <v>0</v>
      </c>
      <c r="AF73" s="220">
        <v>0</v>
      </c>
      <c r="AG73" s="220">
        <v>0</v>
      </c>
      <c r="AH73" s="68">
        <v>0</v>
      </c>
      <c r="AI73" s="220">
        <v>0</v>
      </c>
      <c r="AJ73" s="220">
        <v>0</v>
      </c>
      <c r="AK73" s="220">
        <v>0</v>
      </c>
      <c r="AL73" s="68">
        <v>0</v>
      </c>
      <c r="AM73" s="220">
        <v>0</v>
      </c>
      <c r="AN73" s="220">
        <v>0</v>
      </c>
      <c r="AO73" s="220">
        <v>0</v>
      </c>
      <c r="AP73" s="68">
        <v>0</v>
      </c>
      <c r="AQ73" s="220">
        <v>0</v>
      </c>
      <c r="AR73" s="791">
        <v>0</v>
      </c>
      <c r="AS73" s="220">
        <v>0</v>
      </c>
      <c r="AT73" s="68">
        <v>0</v>
      </c>
      <c r="AU73" s="754"/>
      <c r="AV73" s="755"/>
      <c r="AW73" s="783"/>
      <c r="AX73" s="784"/>
    </row>
    <row r="74" spans="1:52" s="229" customFormat="1" ht="24.95" customHeight="1" thickBot="1">
      <c r="A74" s="403" t="s">
        <v>284</v>
      </c>
      <c r="B74" s="407" t="s">
        <v>285</v>
      </c>
      <c r="C74" s="404">
        <f t="shared" ref="C74:M74" si="41">SUM(C62:C73)</f>
        <v>1017.386</v>
      </c>
      <c r="D74" s="405">
        <f t="shared" si="41"/>
        <v>1033.443</v>
      </c>
      <c r="E74" s="405">
        <f t="shared" si="41"/>
        <v>1009.7019999999999</v>
      </c>
      <c r="F74" s="406">
        <f t="shared" si="41"/>
        <v>1066.78</v>
      </c>
      <c r="G74" s="405">
        <f t="shared" si="41"/>
        <v>1007.745</v>
      </c>
      <c r="H74" s="405">
        <f t="shared" si="41"/>
        <v>1018.1</v>
      </c>
      <c r="I74" s="405">
        <f t="shared" si="41"/>
        <v>945.28899999999999</v>
      </c>
      <c r="J74" s="406">
        <f t="shared" si="41"/>
        <v>986.83100000000002</v>
      </c>
      <c r="K74" s="404">
        <f t="shared" si="41"/>
        <v>1003.5449999999998</v>
      </c>
      <c r="L74" s="405">
        <f t="shared" si="41"/>
        <v>3990.3999999999992</v>
      </c>
      <c r="M74" s="405">
        <f t="shared" si="41"/>
        <v>4126.7</v>
      </c>
      <c r="N74" s="406">
        <f t="shared" ref="N74:U74" si="42">SUM(N62:N73)-N68</f>
        <v>4167.2289934271712</v>
      </c>
      <c r="O74" s="404">
        <f t="shared" si="42"/>
        <v>4149.8</v>
      </c>
      <c r="P74" s="405">
        <f t="shared" si="42"/>
        <v>4244.8</v>
      </c>
      <c r="Q74" s="405">
        <f t="shared" si="42"/>
        <v>7899.8</v>
      </c>
      <c r="R74" s="406">
        <f t="shared" si="42"/>
        <v>8466.5000000000018</v>
      </c>
      <c r="S74" s="404">
        <f t="shared" si="42"/>
        <v>4162.5999999999995</v>
      </c>
      <c r="T74" s="405">
        <f t="shared" si="42"/>
        <v>3503.3999999999996</v>
      </c>
      <c r="U74" s="405">
        <f t="shared" si="42"/>
        <v>3454.8111532557077</v>
      </c>
      <c r="V74" s="406">
        <f t="shared" ref="V74" si="43">SUM(V62:V73)-V68</f>
        <v>3681.2000000000003</v>
      </c>
      <c r="W74" s="404">
        <f t="shared" ref="W74:X74" si="44">SUM(W62:W73)-W68</f>
        <v>4366</v>
      </c>
      <c r="X74" s="405">
        <f t="shared" si="44"/>
        <v>4330.2</v>
      </c>
      <c r="Y74" s="405">
        <f t="shared" ref="Y74:Z74" si="45">SUM(Y62:Y73)-Y68</f>
        <v>4036.3999999999996</v>
      </c>
      <c r="Z74" s="406">
        <f t="shared" si="45"/>
        <v>3915.5000000000005</v>
      </c>
      <c r="AA74" s="404">
        <f t="shared" ref="AA74:AH74" si="46">SUM(AA62:AA73)-AA68</f>
        <v>2927.4</v>
      </c>
      <c r="AB74" s="405">
        <f t="shared" si="46"/>
        <v>4236.8</v>
      </c>
      <c r="AC74" s="405">
        <f t="shared" si="46"/>
        <v>4611.5</v>
      </c>
      <c r="AD74" s="406">
        <f t="shared" si="46"/>
        <v>5018.6000000000004</v>
      </c>
      <c r="AE74" s="404">
        <f t="shared" si="46"/>
        <v>4813.3000000000011</v>
      </c>
      <c r="AF74" s="405">
        <f t="shared" si="46"/>
        <v>5401.4000000000005</v>
      </c>
      <c r="AG74" s="405">
        <f t="shared" si="46"/>
        <v>5628.6</v>
      </c>
      <c r="AH74" s="406">
        <f t="shared" si="46"/>
        <v>5868.2000000000007</v>
      </c>
      <c r="AI74" s="404">
        <f t="shared" ref="AI74:AK74" si="47">SUM(AI62:AI73)-AI68</f>
        <v>5111.5</v>
      </c>
      <c r="AJ74" s="405">
        <f t="shared" si="47"/>
        <v>3888.2</v>
      </c>
      <c r="AK74" s="405">
        <f t="shared" si="47"/>
        <v>4658</v>
      </c>
      <c r="AL74" s="406">
        <f>SUM(AL62:AL73)-AL68</f>
        <v>5274.4</v>
      </c>
      <c r="AM74" s="404">
        <f t="shared" ref="AM74:AO74" si="48">SUM(AM62:AM73)-AM68</f>
        <v>4003.5</v>
      </c>
      <c r="AN74" s="405">
        <f t="shared" si="48"/>
        <v>4641</v>
      </c>
      <c r="AO74" s="405">
        <f t="shared" si="48"/>
        <v>6803.2</v>
      </c>
      <c r="AP74" s="406">
        <f>SUM(AP62:AP73)-AP68</f>
        <v>5626.3</v>
      </c>
      <c r="AQ74" s="404">
        <f t="shared" ref="AQ74:AS74" si="49">SUM(AQ62:AQ73)-AQ68</f>
        <v>5549</v>
      </c>
      <c r="AR74" s="789">
        <f>SUM(AR62:AR73)-AR68</f>
        <v>5682.5000000000009</v>
      </c>
      <c r="AS74" s="405">
        <f t="shared" si="49"/>
        <v>0</v>
      </c>
      <c r="AT74" s="406">
        <f>SUM(AT62:AT73)-AT68</f>
        <v>0</v>
      </c>
      <c r="AU74" s="754"/>
      <c r="AV74" s="755"/>
      <c r="AW74" s="783"/>
      <c r="AX74" s="784"/>
      <c r="AY74" s="782"/>
      <c r="AZ74" s="782"/>
    </row>
    <row r="75" spans="1:52" s="7" customFormat="1" ht="20.100000000000001" customHeight="1">
      <c r="A75" s="228" t="s">
        <v>286</v>
      </c>
      <c r="B75" s="211" t="s">
        <v>287</v>
      </c>
      <c r="C75" s="41"/>
      <c r="D75" s="41"/>
      <c r="E75" s="41"/>
      <c r="F75" s="239"/>
      <c r="G75" s="240"/>
      <c r="H75" s="240"/>
      <c r="I75" s="240"/>
      <c r="J75" s="240"/>
      <c r="K75" s="252"/>
      <c r="L75" s="238"/>
      <c r="M75" s="238"/>
      <c r="N75" s="245"/>
      <c r="O75" s="248"/>
      <c r="P75" s="261"/>
      <c r="Q75" s="261"/>
      <c r="R75" s="225"/>
      <c r="S75" s="226"/>
      <c r="T75" s="226"/>
      <c r="U75" s="226"/>
      <c r="V75" s="225"/>
      <c r="W75" s="226"/>
      <c r="X75" s="226"/>
      <c r="Y75" s="226"/>
      <c r="Z75" s="225"/>
      <c r="AA75" s="226"/>
      <c r="AB75" s="226"/>
      <c r="AC75" s="226"/>
      <c r="AD75" s="225"/>
      <c r="AE75" s="226"/>
      <c r="AF75" s="226"/>
      <c r="AG75" s="226"/>
      <c r="AH75" s="225"/>
      <c r="AI75" s="226"/>
      <c r="AJ75" s="226"/>
      <c r="AK75" s="226"/>
      <c r="AL75" s="225"/>
      <c r="AM75" s="220">
        <v>1284.2</v>
      </c>
      <c r="AN75" s="220">
        <v>1223.8</v>
      </c>
      <c r="AO75" s="220">
        <v>0</v>
      </c>
      <c r="AP75" s="225"/>
      <c r="AQ75" s="220"/>
      <c r="AR75" s="791"/>
      <c r="AS75" s="220"/>
      <c r="AT75" s="225"/>
      <c r="AU75" s="754"/>
      <c r="AV75" s="755"/>
      <c r="AW75" s="783"/>
      <c r="AX75" s="784"/>
    </row>
    <row r="76" spans="1:52" s="7" customFormat="1" ht="20.100000000000001" customHeight="1" thickBot="1">
      <c r="A76" s="398" t="s">
        <v>288</v>
      </c>
      <c r="B76" s="399" t="s">
        <v>289</v>
      </c>
      <c r="C76" s="41"/>
      <c r="D76" s="41"/>
      <c r="E76" s="41"/>
      <c r="F76" s="239"/>
      <c r="G76" s="240"/>
      <c r="H76" s="240"/>
      <c r="I76" s="240"/>
      <c r="J76" s="240"/>
      <c r="K76" s="252"/>
      <c r="L76" s="238"/>
      <c r="M76" s="238"/>
      <c r="N76" s="245"/>
      <c r="O76" s="248"/>
      <c r="P76" s="261"/>
      <c r="Q76" s="261"/>
      <c r="R76" s="225"/>
      <c r="S76" s="226"/>
      <c r="T76" s="226"/>
      <c r="U76" s="226"/>
      <c r="V76" s="225"/>
      <c r="W76" s="226"/>
      <c r="X76" s="226"/>
      <c r="Y76" s="226"/>
      <c r="Z76" s="225"/>
      <c r="AA76" s="226"/>
      <c r="AB76" s="226"/>
      <c r="AC76" s="226"/>
      <c r="AD76" s="225"/>
      <c r="AE76" s="226"/>
      <c r="AF76" s="226"/>
      <c r="AG76" s="226"/>
      <c r="AH76" s="225"/>
      <c r="AI76" s="226"/>
      <c r="AJ76" s="226"/>
      <c r="AK76" s="226"/>
      <c r="AL76" s="225"/>
      <c r="AM76" s="200">
        <v>803.1</v>
      </c>
      <c r="AN76" s="200">
        <v>769.4</v>
      </c>
      <c r="AO76" s="200">
        <v>0</v>
      </c>
      <c r="AP76" s="225"/>
      <c r="AQ76" s="200"/>
      <c r="AR76" s="788"/>
      <c r="AS76" s="200"/>
      <c r="AT76" s="225"/>
      <c r="AU76" s="754"/>
      <c r="AV76" s="755"/>
      <c r="AW76" s="783"/>
      <c r="AX76" s="784"/>
    </row>
    <row r="77" spans="1:52" s="229" customFormat="1" ht="24.95" customHeight="1" thickBot="1">
      <c r="A77" s="403" t="s">
        <v>290</v>
      </c>
      <c r="B77" s="407" t="s">
        <v>291</v>
      </c>
      <c r="C77" s="404">
        <f>C61+C74</f>
        <v>3411.9869999999996</v>
      </c>
      <c r="D77" s="405">
        <f>D61+D74</f>
        <v>3405.5320000000002</v>
      </c>
      <c r="E77" s="405">
        <f>E61+E74</f>
        <v>3159.9589999999994</v>
      </c>
      <c r="F77" s="406">
        <f t="shared" ref="F77:U77" si="50">F74+F61</f>
        <v>3092.942</v>
      </c>
      <c r="G77" s="405">
        <f t="shared" si="50"/>
        <v>3067.306</v>
      </c>
      <c r="H77" s="405">
        <f t="shared" si="50"/>
        <v>2945.4119999999998</v>
      </c>
      <c r="I77" s="405">
        <f t="shared" si="50"/>
        <v>2772.4030000000002</v>
      </c>
      <c r="J77" s="406">
        <f t="shared" si="50"/>
        <v>2687.0169999999998</v>
      </c>
      <c r="K77" s="404">
        <f t="shared" si="50"/>
        <v>2742.8450000000003</v>
      </c>
      <c r="L77" s="405">
        <f t="shared" si="50"/>
        <v>18735.399999999998</v>
      </c>
      <c r="M77" s="405">
        <f t="shared" si="50"/>
        <v>18350.5</v>
      </c>
      <c r="N77" s="406">
        <f t="shared" si="50"/>
        <v>18260.528993427175</v>
      </c>
      <c r="O77" s="404">
        <f t="shared" si="50"/>
        <v>17777</v>
      </c>
      <c r="P77" s="405">
        <f t="shared" si="50"/>
        <v>17584</v>
      </c>
      <c r="Q77" s="405">
        <f t="shared" si="50"/>
        <v>16083.5</v>
      </c>
      <c r="R77" s="406">
        <f t="shared" si="50"/>
        <v>16240.000000000002</v>
      </c>
      <c r="S77" s="404">
        <f t="shared" si="50"/>
        <v>17950.3</v>
      </c>
      <c r="T77" s="405">
        <f t="shared" si="50"/>
        <v>16819.5</v>
      </c>
      <c r="U77" s="405">
        <f t="shared" si="50"/>
        <v>16459.611153255708</v>
      </c>
      <c r="V77" s="406">
        <f t="shared" ref="V77:W77" si="51">V74+V61</f>
        <v>16351.700000000003</v>
      </c>
      <c r="W77" s="404">
        <f t="shared" si="51"/>
        <v>15904.9</v>
      </c>
      <c r="X77" s="405">
        <f t="shared" ref="X77:Y77" si="52">X74+X61</f>
        <v>15592.399999999998</v>
      </c>
      <c r="Y77" s="405">
        <f t="shared" si="52"/>
        <v>14932.699999999999</v>
      </c>
      <c r="Z77" s="406">
        <f t="shared" ref="Z77" si="53">Z74+Z61</f>
        <v>15639.2</v>
      </c>
      <c r="AA77" s="404">
        <f t="shared" ref="AA77:AH77" si="54">AA74+AA61</f>
        <v>14989.4</v>
      </c>
      <c r="AB77" s="405">
        <f t="shared" si="54"/>
        <v>16297.599999999999</v>
      </c>
      <c r="AC77" s="405">
        <f t="shared" si="54"/>
        <v>16714</v>
      </c>
      <c r="AD77" s="406">
        <f t="shared" si="54"/>
        <v>16821.599999999999</v>
      </c>
      <c r="AE77" s="404">
        <f t="shared" si="54"/>
        <v>17291.2</v>
      </c>
      <c r="AF77" s="405">
        <f t="shared" si="54"/>
        <v>17440.7</v>
      </c>
      <c r="AG77" s="405">
        <f t="shared" si="54"/>
        <v>17122.600000000002</v>
      </c>
      <c r="AH77" s="406">
        <f t="shared" si="54"/>
        <v>18125.099999999999</v>
      </c>
      <c r="AI77" s="404">
        <f t="shared" ref="AI77:AL77" si="55">AI74+AI61</f>
        <v>18018.7</v>
      </c>
      <c r="AJ77" s="405">
        <f t="shared" si="55"/>
        <v>17684.800000000003</v>
      </c>
      <c r="AK77" s="405">
        <f t="shared" si="55"/>
        <v>18170.8</v>
      </c>
      <c r="AL77" s="406">
        <f t="shared" si="55"/>
        <v>18688.800000000003</v>
      </c>
      <c r="AM77" s="404">
        <f>AM74+AM61+AM75</f>
        <v>17588.199999999997</v>
      </c>
      <c r="AN77" s="405">
        <f>AN74+AN61+AN75</f>
        <v>17959.900000000001</v>
      </c>
      <c r="AO77" s="405">
        <f t="shared" ref="AO77:AP77" si="56">AO74+AO61</f>
        <v>18463.2</v>
      </c>
      <c r="AP77" s="406">
        <f t="shared" si="56"/>
        <v>16852.399999999998</v>
      </c>
      <c r="AQ77" s="404">
        <f>AQ74+AQ61+AQ75</f>
        <v>16288.300000000001</v>
      </c>
      <c r="AR77" s="789">
        <f>AR74+AR61+AR75</f>
        <v>16389.200000000004</v>
      </c>
      <c r="AS77" s="405">
        <f t="shared" ref="AS77:AT77" si="57">AS74+AS61</f>
        <v>0</v>
      </c>
      <c r="AT77" s="406">
        <f t="shared" si="57"/>
        <v>0</v>
      </c>
      <c r="AU77" s="754"/>
      <c r="AV77" s="755"/>
      <c r="AW77" s="783"/>
      <c r="AX77" s="784"/>
      <c r="AY77" s="782"/>
    </row>
    <row r="78" spans="1:52" s="230" customFormat="1" ht="24.95" customHeight="1">
      <c r="A78" s="394" t="s">
        <v>292</v>
      </c>
      <c r="B78" s="394" t="s">
        <v>226</v>
      </c>
      <c r="C78" s="395">
        <f t="shared" ref="C78:U78" si="58">C77+C52</f>
        <v>5502.753999999999</v>
      </c>
      <c r="D78" s="396">
        <f t="shared" si="58"/>
        <v>5597.8010000000004</v>
      </c>
      <c r="E78" s="396">
        <f t="shared" si="58"/>
        <v>5514.8739999999998</v>
      </c>
      <c r="F78" s="397">
        <f t="shared" si="58"/>
        <v>5561.3450000000003</v>
      </c>
      <c r="G78" s="396">
        <f t="shared" si="58"/>
        <v>5629.4740000000002</v>
      </c>
      <c r="H78" s="396">
        <f t="shared" si="58"/>
        <v>5592.7070000000003</v>
      </c>
      <c r="I78" s="396">
        <f t="shared" si="58"/>
        <v>5597.9809999999998</v>
      </c>
      <c r="J78" s="397">
        <f t="shared" si="58"/>
        <v>5688.23</v>
      </c>
      <c r="K78" s="395">
        <f t="shared" si="58"/>
        <v>5851.1939999999995</v>
      </c>
      <c r="L78" s="396">
        <f t="shared" si="58"/>
        <v>27827.1</v>
      </c>
      <c r="M78" s="396">
        <f t="shared" si="58"/>
        <v>27481.200000000001</v>
      </c>
      <c r="N78" s="397">
        <f t="shared" si="58"/>
        <v>27338.728993427176</v>
      </c>
      <c r="O78" s="395">
        <f t="shared" si="58"/>
        <v>27088.9</v>
      </c>
      <c r="P78" s="396">
        <f t="shared" si="58"/>
        <v>27141.800000000003</v>
      </c>
      <c r="Q78" s="396">
        <f t="shared" si="58"/>
        <v>26143.5</v>
      </c>
      <c r="R78" s="397">
        <f t="shared" si="58"/>
        <v>26490.100000000002</v>
      </c>
      <c r="S78" s="395">
        <f t="shared" si="58"/>
        <v>28355.5</v>
      </c>
      <c r="T78" s="396">
        <f t="shared" si="58"/>
        <v>27581.1</v>
      </c>
      <c r="U78" s="396">
        <f t="shared" si="58"/>
        <v>27493.111153255708</v>
      </c>
      <c r="V78" s="397">
        <f t="shared" ref="V78:W78" si="59">V77+V52</f>
        <v>27729.300000000003</v>
      </c>
      <c r="W78" s="395">
        <f t="shared" si="59"/>
        <v>27553.199999999997</v>
      </c>
      <c r="X78" s="396">
        <f t="shared" ref="X78:Y78" si="60">X77+X52</f>
        <v>27317.5</v>
      </c>
      <c r="Y78" s="396">
        <f t="shared" si="60"/>
        <v>26892.6</v>
      </c>
      <c r="Z78" s="397">
        <f t="shared" ref="Z78" si="61">Z77+Z52</f>
        <v>27756</v>
      </c>
      <c r="AA78" s="395">
        <f t="shared" ref="AA78:AH78" si="62">AA77+AA52</f>
        <v>27894.400000000001</v>
      </c>
      <c r="AB78" s="396">
        <f t="shared" si="62"/>
        <v>29751.599999999999</v>
      </c>
      <c r="AC78" s="396">
        <f t="shared" si="62"/>
        <v>30395.3</v>
      </c>
      <c r="AD78" s="397">
        <f t="shared" si="62"/>
        <v>30696.799999999999</v>
      </c>
      <c r="AE78" s="395">
        <f t="shared" si="62"/>
        <v>31463.800000000003</v>
      </c>
      <c r="AF78" s="396">
        <f t="shared" si="62"/>
        <v>31359.200000000001</v>
      </c>
      <c r="AG78" s="396">
        <f t="shared" si="62"/>
        <v>31277.700000000004</v>
      </c>
      <c r="AH78" s="397">
        <f t="shared" si="62"/>
        <v>32589.599999999999</v>
      </c>
      <c r="AI78" s="395">
        <f t="shared" ref="AI78:AL78" si="63">AI77+AI52</f>
        <v>32658.700000000004</v>
      </c>
      <c r="AJ78" s="396">
        <f t="shared" si="63"/>
        <v>32622.800000000003</v>
      </c>
      <c r="AK78" s="396">
        <f t="shared" si="63"/>
        <v>32814.1</v>
      </c>
      <c r="AL78" s="397">
        <f t="shared" si="63"/>
        <v>33115</v>
      </c>
      <c r="AM78" s="395">
        <f t="shared" ref="AM78:AP78" si="64">AM77+AM52</f>
        <v>32954.5</v>
      </c>
      <c r="AN78" s="396">
        <f t="shared" si="64"/>
        <v>32922.300000000003</v>
      </c>
      <c r="AO78" s="396">
        <f t="shared" si="64"/>
        <v>35967.4</v>
      </c>
      <c r="AP78" s="397">
        <f t="shared" si="64"/>
        <v>32236.999999999996</v>
      </c>
      <c r="AQ78" s="395">
        <f t="shared" ref="AQ78:AT78" si="65">AQ77+AQ52</f>
        <v>31895.200000000004</v>
      </c>
      <c r="AR78" s="396">
        <f>AR77+AR52</f>
        <v>31814.000000000007</v>
      </c>
      <c r="AS78" s="396">
        <f t="shared" si="65"/>
        <v>0</v>
      </c>
      <c r="AT78" s="397">
        <f t="shared" si="65"/>
        <v>0</v>
      </c>
      <c r="AU78" s="754"/>
      <c r="AV78" s="755"/>
      <c r="AW78" s="783"/>
      <c r="AX78" s="784"/>
    </row>
    <row r="79" spans="1:52" s="7" customFormat="1">
      <c r="A79" s="28"/>
      <c r="B79" s="127"/>
      <c r="Z79" s="5"/>
      <c r="AA79" s="5"/>
      <c r="AB79" s="5"/>
      <c r="AC79" s="5"/>
      <c r="AD79" s="5"/>
      <c r="AE79" s="5"/>
      <c r="AF79" s="5"/>
      <c r="AG79" s="5"/>
      <c r="AH79" s="5"/>
      <c r="AI79" s="5"/>
      <c r="AJ79" s="5"/>
      <c r="AK79" s="5"/>
      <c r="AL79" s="5"/>
      <c r="AM79" s="5"/>
      <c r="AN79" s="5"/>
      <c r="AO79" s="5"/>
      <c r="AP79" s="5"/>
      <c r="AQ79" s="5"/>
      <c r="AR79" s="5"/>
      <c r="AS79" s="5"/>
      <c r="AT79" s="5"/>
      <c r="AW79" s="5"/>
      <c r="AX79" s="5"/>
    </row>
    <row r="80" spans="1:52" s="7" customFormat="1">
      <c r="A80" s="28"/>
      <c r="B80" s="127"/>
      <c r="Z80" s="5"/>
      <c r="AA80" s="5"/>
      <c r="AB80" s="5"/>
      <c r="AC80" s="5"/>
      <c r="AD80" s="5"/>
      <c r="AE80" s="5"/>
      <c r="AF80" s="5"/>
      <c r="AG80" s="5"/>
      <c r="AH80" s="5"/>
      <c r="AI80" s="5"/>
      <c r="AJ80" s="5"/>
      <c r="AK80" s="5"/>
      <c r="AL80" s="5"/>
      <c r="AM80" s="5"/>
      <c r="AN80" s="5"/>
      <c r="AO80" s="5"/>
      <c r="AP80" s="5"/>
      <c r="AQ80" s="5"/>
      <c r="AR80" s="5"/>
      <c r="AS80" s="5"/>
      <c r="AT80" s="5"/>
      <c r="AW80" s="5"/>
      <c r="AX80" s="5"/>
    </row>
    <row r="81" spans="1:50" s="183" customFormat="1" ht="30.75" customHeight="1">
      <c r="A81" s="186" t="s">
        <v>293</v>
      </c>
      <c r="B81" s="181" t="s">
        <v>294</v>
      </c>
      <c r="C81" s="182"/>
      <c r="D81" s="182"/>
      <c r="E81" s="182"/>
      <c r="F81" s="182"/>
      <c r="G81" s="182"/>
      <c r="H81" s="182"/>
      <c r="I81" s="182"/>
      <c r="J81" s="182"/>
      <c r="K81" s="182"/>
      <c r="L81" s="182"/>
      <c r="M81" s="182"/>
      <c r="N81" s="182"/>
      <c r="O81" s="182"/>
      <c r="P81" s="182"/>
      <c r="Q81" s="182"/>
      <c r="R81" s="182"/>
      <c r="Z81" s="227"/>
      <c r="AA81" s="227"/>
      <c r="AB81" s="227"/>
      <c r="AC81" s="227"/>
      <c r="AD81" s="227"/>
      <c r="AE81" s="227"/>
      <c r="AF81" s="227"/>
      <c r="AG81" s="227"/>
      <c r="AH81" s="227"/>
      <c r="AI81" s="227"/>
      <c r="AJ81" s="227"/>
      <c r="AK81" s="227"/>
      <c r="AL81" s="227"/>
      <c r="AM81" s="227"/>
      <c r="AN81" s="227"/>
      <c r="AO81" s="227"/>
      <c r="AP81" s="227"/>
      <c r="AQ81" s="227"/>
      <c r="AR81" s="227"/>
      <c r="AS81" s="227"/>
      <c r="AT81" s="227"/>
      <c r="AW81" s="227"/>
      <c r="AX81" s="227"/>
    </row>
    <row r="82" spans="1:50" s="183" customFormat="1" ht="44.25" customHeight="1">
      <c r="A82" s="186" t="s">
        <v>295</v>
      </c>
      <c r="B82" s="181" t="s">
        <v>296</v>
      </c>
      <c r="C82" s="182"/>
      <c r="D82" s="182"/>
      <c r="E82" s="182"/>
      <c r="F82" s="182"/>
      <c r="G82" s="182"/>
      <c r="H82" s="182"/>
      <c r="I82" s="182"/>
      <c r="J82" s="182"/>
      <c r="K82" s="182"/>
      <c r="L82" s="182"/>
      <c r="M82" s="182"/>
      <c r="N82" s="182"/>
      <c r="O82" s="182"/>
      <c r="P82" s="182"/>
      <c r="Q82" s="182"/>
      <c r="R82" s="182"/>
      <c r="AW82" s="227"/>
      <c r="AX82" s="227"/>
    </row>
    <row r="83" spans="1:50" s="183" customFormat="1" ht="66.75" customHeight="1">
      <c r="A83" s="186" t="s">
        <v>297</v>
      </c>
      <c r="B83" s="184" t="s">
        <v>298</v>
      </c>
      <c r="C83" s="185"/>
      <c r="D83" s="185"/>
      <c r="E83" s="185"/>
      <c r="F83" s="185"/>
      <c r="G83" s="185"/>
      <c r="H83" s="185"/>
      <c r="I83" s="185"/>
      <c r="J83" s="185"/>
      <c r="K83" s="185"/>
      <c r="L83" s="185"/>
      <c r="M83" s="185"/>
      <c r="N83" s="185"/>
      <c r="O83" s="185"/>
      <c r="P83" s="185"/>
      <c r="Q83" s="185"/>
      <c r="R83" s="185"/>
      <c r="AW83" s="227"/>
      <c r="AX83" s="227"/>
    </row>
    <row r="84" spans="1:50" s="183" customFormat="1" ht="110.25" customHeight="1">
      <c r="A84" s="188" t="s">
        <v>299</v>
      </c>
      <c r="B84" s="187" t="s">
        <v>300</v>
      </c>
      <c r="AW84" s="227"/>
      <c r="AX84" s="227"/>
    </row>
    <row r="85" spans="1:50" s="7" customFormat="1">
      <c r="A85" s="6"/>
      <c r="B85" s="38"/>
      <c r="AW85" s="5"/>
      <c r="AX85" s="5"/>
    </row>
    <row r="86" spans="1:50" s="7" customFormat="1">
      <c r="A86" s="6"/>
      <c r="B86" s="38"/>
      <c r="AW86" s="5"/>
      <c r="AX86" s="5"/>
    </row>
  </sheetData>
  <customSheetViews>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1"/>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2"/>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4"/>
    </customSheetView>
  </customSheetViews>
  <mergeCells count="11">
    <mergeCell ref="AQ2:AT2"/>
    <mergeCell ref="AM2:AP2"/>
    <mergeCell ref="C2:F2"/>
    <mergeCell ref="G2:J2"/>
    <mergeCell ref="K2:N2"/>
    <mergeCell ref="O2:R2"/>
    <mergeCell ref="AI2:AL2"/>
    <mergeCell ref="AE2:AH2"/>
    <mergeCell ref="AA2:AD2"/>
    <mergeCell ref="W2:Z2"/>
    <mergeCell ref="S2:V2"/>
  </mergeCells>
  <phoneticPr fontId="8" type="noConversion"/>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3 I33 D33 AD22"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S151"/>
  <sheetViews>
    <sheetView showGridLines="0" zoomScale="115" zoomScaleNormal="115" zoomScaleSheetLayoutView="110" workbookViewId="0">
      <pane xSplit="1" ySplit="4" topLeftCell="AM5" activePane="bottomRight" state="frozen"/>
      <selection pane="topRight" activeCell="B1" sqref="B1"/>
      <selection pane="bottomLeft" activeCell="A5" sqref="A5"/>
      <selection pane="bottomRight" activeCell="AV5" sqref="AV5"/>
    </sheetView>
  </sheetViews>
  <sheetFormatPr defaultColWidth="9" defaultRowHeight="12.75" outlineLevelCol="1"/>
  <cols>
    <col min="1" max="1" width="45.625" style="138" customWidth="1"/>
    <col min="2" max="2" width="47.875" style="138" customWidth="1"/>
    <col min="3" max="3" width="13.125" style="4" customWidth="1" outlineLevel="1"/>
    <col min="4" max="5" width="13" style="4" customWidth="1" outlineLevel="1"/>
    <col min="6" max="6" width="12.5" style="4" customWidth="1" outlineLevel="1"/>
    <col min="7" max="7" width="13" style="4" customWidth="1" outlineLevel="1"/>
    <col min="8" max="9" width="12.875" style="4" customWidth="1" outlineLevel="1"/>
    <col min="10" max="10" width="12.5" style="4" customWidth="1" outlineLevel="1"/>
    <col min="11" max="12" width="13" style="4" customWidth="1" outlineLevel="1"/>
    <col min="13" max="13" width="12.875" style="4" customWidth="1" outlineLevel="1"/>
    <col min="14" max="14" width="12.5" style="4" customWidth="1" outlineLevel="1"/>
    <col min="15" max="29" width="13" style="4" customWidth="1" outlineLevel="1"/>
    <col min="30" max="30" width="14.125" style="4" customWidth="1" outlineLevel="1"/>
    <col min="31" max="34" width="13" style="6" customWidth="1" outlineLevel="1"/>
    <col min="35" max="50" width="13.125" style="6" customWidth="1"/>
    <col min="51" max="54" width="9" style="6"/>
    <col min="55" max="16384" width="9" style="4"/>
  </cols>
  <sheetData>
    <row r="1" spans="1:487" s="10" customFormat="1" ht="89.25" customHeight="1">
      <c r="A1" s="198"/>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row>
    <row r="2" spans="1:487" s="10" customFormat="1" ht="42.75" customHeight="1">
      <c r="A2" s="326" t="s">
        <v>301</v>
      </c>
      <c r="B2" s="689" t="s">
        <v>302</v>
      </c>
      <c r="C2" s="833">
        <v>2012</v>
      </c>
      <c r="D2" s="833"/>
      <c r="E2" s="833"/>
      <c r="F2" s="833"/>
      <c r="G2" s="836">
        <v>2013</v>
      </c>
      <c r="H2" s="833"/>
      <c r="I2" s="833"/>
      <c r="J2" s="837"/>
      <c r="K2" s="833">
        <v>2014</v>
      </c>
      <c r="L2" s="833"/>
      <c r="M2" s="833"/>
      <c r="N2" s="833"/>
      <c r="O2" s="836">
        <v>2015</v>
      </c>
      <c r="P2" s="833"/>
      <c r="Q2" s="833"/>
      <c r="R2" s="837"/>
      <c r="S2" s="833">
        <v>2016</v>
      </c>
      <c r="T2" s="833"/>
      <c r="U2" s="833"/>
      <c r="V2" s="833"/>
      <c r="W2" s="836" t="s">
        <v>303</v>
      </c>
      <c r="X2" s="833"/>
      <c r="Y2" s="833"/>
      <c r="Z2" s="837"/>
      <c r="AA2" s="833" t="s">
        <v>304</v>
      </c>
      <c r="AB2" s="834"/>
      <c r="AC2" s="834"/>
      <c r="AD2" s="834"/>
      <c r="AE2" s="836" t="s">
        <v>305</v>
      </c>
      <c r="AF2" s="834"/>
      <c r="AG2" s="834"/>
      <c r="AH2" s="835"/>
      <c r="AI2" s="833" t="s">
        <v>306</v>
      </c>
      <c r="AJ2" s="833"/>
      <c r="AK2" s="833"/>
      <c r="AL2" s="833"/>
      <c r="AM2" s="836">
        <v>2020</v>
      </c>
      <c r="AN2" s="834"/>
      <c r="AO2" s="834"/>
      <c r="AP2" s="835"/>
      <c r="AQ2" s="833">
        <v>2021</v>
      </c>
      <c r="AR2" s="834"/>
      <c r="AS2" s="834"/>
      <c r="AT2" s="835"/>
      <c r="AU2" s="833">
        <v>2022</v>
      </c>
      <c r="AV2" s="834"/>
      <c r="AW2" s="834"/>
      <c r="AX2" s="835"/>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row>
    <row r="3" spans="1:487" ht="39.950000000000003" customHeight="1">
      <c r="A3" s="326" t="s">
        <v>17</v>
      </c>
      <c r="B3" s="689" t="s">
        <v>17</v>
      </c>
      <c r="C3" s="498" t="s">
        <v>307</v>
      </c>
      <c r="D3" s="498" t="s">
        <v>308</v>
      </c>
      <c r="E3" s="498" t="s">
        <v>309</v>
      </c>
      <c r="F3" s="498" t="s">
        <v>310</v>
      </c>
      <c r="G3" s="668" t="s">
        <v>307</v>
      </c>
      <c r="H3" s="498" t="s">
        <v>308</v>
      </c>
      <c r="I3" s="498" t="s">
        <v>309</v>
      </c>
      <c r="J3" s="669" t="s">
        <v>310</v>
      </c>
      <c r="K3" s="498" t="s">
        <v>307</v>
      </c>
      <c r="L3" s="498" t="s">
        <v>308</v>
      </c>
      <c r="M3" s="498" t="s">
        <v>309</v>
      </c>
      <c r="N3" s="498" t="s">
        <v>310</v>
      </c>
      <c r="O3" s="668" t="s">
        <v>307</v>
      </c>
      <c r="P3" s="498" t="s">
        <v>308</v>
      </c>
      <c r="Q3" s="498" t="s">
        <v>309</v>
      </c>
      <c r="R3" s="669" t="s">
        <v>310</v>
      </c>
      <c r="S3" s="498" t="s">
        <v>307</v>
      </c>
      <c r="T3" s="498" t="s">
        <v>308</v>
      </c>
      <c r="U3" s="498" t="s">
        <v>309</v>
      </c>
      <c r="V3" s="498" t="s">
        <v>310</v>
      </c>
      <c r="W3" s="668" t="s">
        <v>307</v>
      </c>
      <c r="X3" s="498" t="s">
        <v>308</v>
      </c>
      <c r="Y3" s="498" t="s">
        <v>309</v>
      </c>
      <c r="Z3" s="669" t="s">
        <v>310</v>
      </c>
      <c r="AA3" s="498" t="s">
        <v>307</v>
      </c>
      <c r="AB3" s="498" t="s">
        <v>308</v>
      </c>
      <c r="AC3" s="498" t="s">
        <v>309</v>
      </c>
      <c r="AD3" s="498" t="s">
        <v>310</v>
      </c>
      <c r="AE3" s="668" t="s">
        <v>307</v>
      </c>
      <c r="AF3" s="498" t="s">
        <v>308</v>
      </c>
      <c r="AG3" s="498" t="s">
        <v>309</v>
      </c>
      <c r="AH3" s="669" t="s">
        <v>310</v>
      </c>
      <c r="AI3" s="498" t="s">
        <v>307</v>
      </c>
      <c r="AJ3" s="498" t="s">
        <v>308</v>
      </c>
      <c r="AK3" s="498" t="s">
        <v>309</v>
      </c>
      <c r="AL3" s="498" t="s">
        <v>310</v>
      </c>
      <c r="AM3" s="668" t="s">
        <v>307</v>
      </c>
      <c r="AN3" s="498" t="s">
        <v>308</v>
      </c>
      <c r="AO3" s="498" t="s">
        <v>309</v>
      </c>
      <c r="AP3" s="669" t="s">
        <v>310</v>
      </c>
      <c r="AQ3" s="498" t="s">
        <v>307</v>
      </c>
      <c r="AR3" s="498" t="s">
        <v>308</v>
      </c>
      <c r="AS3" s="498" t="s">
        <v>309</v>
      </c>
      <c r="AT3" s="669" t="s">
        <v>310</v>
      </c>
      <c r="AU3" s="498" t="s">
        <v>307</v>
      </c>
      <c r="AV3" s="498" t="s">
        <v>308</v>
      </c>
      <c r="AW3" s="498" t="s">
        <v>309</v>
      </c>
      <c r="AX3" s="669" t="s">
        <v>310</v>
      </c>
    </row>
    <row r="4" spans="1:487" s="503" customFormat="1" ht="39.950000000000003" customHeight="1">
      <c r="A4" s="500"/>
      <c r="B4" s="690"/>
      <c r="C4" s="501" t="s">
        <v>311</v>
      </c>
      <c r="D4" s="501" t="s">
        <v>312</v>
      </c>
      <c r="E4" s="501" t="s">
        <v>313</v>
      </c>
      <c r="F4" s="501" t="s">
        <v>314</v>
      </c>
      <c r="G4" s="670" t="s">
        <v>311</v>
      </c>
      <c r="H4" s="501" t="s">
        <v>312</v>
      </c>
      <c r="I4" s="501" t="s">
        <v>313</v>
      </c>
      <c r="J4" s="671" t="s">
        <v>314</v>
      </c>
      <c r="K4" s="501" t="s">
        <v>311</v>
      </c>
      <c r="L4" s="501" t="s">
        <v>312</v>
      </c>
      <c r="M4" s="501" t="s">
        <v>313</v>
      </c>
      <c r="N4" s="501" t="s">
        <v>314</v>
      </c>
      <c r="O4" s="670" t="s">
        <v>311</v>
      </c>
      <c r="P4" s="501" t="s">
        <v>312</v>
      </c>
      <c r="Q4" s="501" t="s">
        <v>313</v>
      </c>
      <c r="R4" s="671" t="s">
        <v>314</v>
      </c>
      <c r="S4" s="501" t="s">
        <v>311</v>
      </c>
      <c r="T4" s="501" t="s">
        <v>312</v>
      </c>
      <c r="U4" s="501" t="s">
        <v>313</v>
      </c>
      <c r="V4" s="501" t="s">
        <v>314</v>
      </c>
      <c r="W4" s="670" t="s">
        <v>311</v>
      </c>
      <c r="X4" s="501" t="s">
        <v>312</v>
      </c>
      <c r="Y4" s="501" t="s">
        <v>313</v>
      </c>
      <c r="Z4" s="671" t="s">
        <v>314</v>
      </c>
      <c r="AA4" s="501" t="s">
        <v>311</v>
      </c>
      <c r="AB4" s="501" t="s">
        <v>312</v>
      </c>
      <c r="AC4" s="501" t="s">
        <v>313</v>
      </c>
      <c r="AD4" s="501" t="s">
        <v>314</v>
      </c>
      <c r="AE4" s="670" t="s">
        <v>311</v>
      </c>
      <c r="AF4" s="501" t="s">
        <v>312</v>
      </c>
      <c r="AG4" s="501" t="s">
        <v>313</v>
      </c>
      <c r="AH4" s="671" t="s">
        <v>314</v>
      </c>
      <c r="AI4" s="501" t="s">
        <v>311</v>
      </c>
      <c r="AJ4" s="501" t="s">
        <v>312</v>
      </c>
      <c r="AK4" s="501" t="s">
        <v>313</v>
      </c>
      <c r="AL4" s="501" t="s">
        <v>314</v>
      </c>
      <c r="AM4" s="670" t="s">
        <v>311</v>
      </c>
      <c r="AN4" s="501" t="s">
        <v>312</v>
      </c>
      <c r="AO4" s="501" t="s">
        <v>313</v>
      </c>
      <c r="AP4" s="671" t="s">
        <v>314</v>
      </c>
      <c r="AQ4" s="501" t="s">
        <v>311</v>
      </c>
      <c r="AR4" s="501" t="s">
        <v>312</v>
      </c>
      <c r="AS4" s="501" t="s">
        <v>313</v>
      </c>
      <c r="AT4" s="671" t="s">
        <v>314</v>
      </c>
      <c r="AU4" s="501" t="s">
        <v>311</v>
      </c>
      <c r="AV4" s="501" t="s">
        <v>312</v>
      </c>
      <c r="AW4" s="501" t="s">
        <v>313</v>
      </c>
      <c r="AX4" s="671" t="s">
        <v>314</v>
      </c>
      <c r="AY4" s="502"/>
      <c r="AZ4" s="502"/>
      <c r="BA4" s="502"/>
      <c r="BB4" s="502"/>
    </row>
    <row r="5" spans="1:487" ht="20.100000000000001" customHeight="1" thickBot="1">
      <c r="A5" s="499" t="s">
        <v>315</v>
      </c>
      <c r="B5" s="691" t="s">
        <v>316</v>
      </c>
      <c r="C5" s="95">
        <v>205.10900000000001</v>
      </c>
      <c r="D5" s="95">
        <v>304.61200000000002</v>
      </c>
      <c r="E5" s="95">
        <v>476.67400000000004</v>
      </c>
      <c r="F5" s="95">
        <v>598.298</v>
      </c>
      <c r="G5" s="672">
        <v>95.105000000000004</v>
      </c>
      <c r="H5" s="95">
        <v>175.85</v>
      </c>
      <c r="I5" s="95">
        <v>352.30099999999999</v>
      </c>
      <c r="J5" s="673">
        <v>525.44500000000005</v>
      </c>
      <c r="K5" s="95">
        <v>98.171999999999997</v>
      </c>
      <c r="L5" s="95">
        <f>'P&amp;L'!M28+'P&amp;L'!N28</f>
        <v>230.29999999999967</v>
      </c>
      <c r="M5" s="95">
        <v>278.5</v>
      </c>
      <c r="N5" s="95">
        <v>292.5</v>
      </c>
      <c r="O5" s="672">
        <v>170.8</v>
      </c>
      <c r="P5" s="95">
        <v>475.29999999999984</v>
      </c>
      <c r="Q5" s="95">
        <f>SUM('P&amp;L'!R28:T28)</f>
        <v>977.7999999999995</v>
      </c>
      <c r="R5" s="673">
        <f>SUM('P&amp;L'!V28)</f>
        <v>1163.3999999999994</v>
      </c>
      <c r="S5" s="95">
        <f>'P&amp;L'!W28</f>
        <v>178.50000000000006</v>
      </c>
      <c r="T5" s="95">
        <f>'P&amp;L'!W28+'P&amp;L'!X28</f>
        <v>409.4000000000002</v>
      </c>
      <c r="U5" s="95">
        <f>T5+'P&amp;L'!Y28</f>
        <v>679.20000000000061</v>
      </c>
      <c r="V5" s="95">
        <f>'P&amp;L'!AA28</f>
        <v>1021.0000000000001</v>
      </c>
      <c r="W5" s="672">
        <v>271.40000000000032</v>
      </c>
      <c r="X5" s="95">
        <v>553.10000000000025</v>
      </c>
      <c r="Y5" s="95">
        <v>788</v>
      </c>
      <c r="Z5" s="673">
        <v>945.2</v>
      </c>
      <c r="AA5" s="95">
        <v>292.2</v>
      </c>
      <c r="AB5" s="95">
        <v>523.6</v>
      </c>
      <c r="AC5" s="95">
        <v>750.7</v>
      </c>
      <c r="AD5" s="95">
        <v>816.1</v>
      </c>
      <c r="AE5" s="672">
        <v>300.8</v>
      </c>
      <c r="AF5" s="95">
        <v>570.9</v>
      </c>
      <c r="AG5" s="95">
        <v>817.9</v>
      </c>
      <c r="AH5" s="673">
        <v>1126.3</v>
      </c>
      <c r="AI5" s="95">
        <v>297.3</v>
      </c>
      <c r="AJ5" s="95">
        <v>566.20000000000005</v>
      </c>
      <c r="AK5" s="95">
        <v>802.7</v>
      </c>
      <c r="AL5" s="95">
        <v>1114.5999999999999</v>
      </c>
      <c r="AM5" s="672">
        <f>'P&amp;L'!BB28</f>
        <v>183.78882651999987</v>
      </c>
      <c r="AN5" s="95">
        <v>474.5</v>
      </c>
      <c r="AO5" s="95">
        <v>819.5</v>
      </c>
      <c r="AP5" s="673">
        <v>1146.2</v>
      </c>
      <c r="AQ5" s="95">
        <f>'P&amp;L'!BG28</f>
        <v>390.4</v>
      </c>
      <c r="AR5" s="95">
        <f>'P&amp;L'!BH28+AQ5</f>
        <v>932.09999999999991</v>
      </c>
      <c r="AS5" s="95">
        <f>'P&amp;L'!BI28+AR5</f>
        <v>4080.8000000000006</v>
      </c>
      <c r="AT5" s="673">
        <f>'P&amp;L'!BK28</f>
        <v>4414.4999999999982</v>
      </c>
      <c r="AU5" s="95">
        <f>'P&amp;L'!BL28</f>
        <v>212.79999999999995</v>
      </c>
      <c r="AV5" s="802">
        <f>'P&amp;L'!BP28</f>
        <v>495.49999999999886</v>
      </c>
      <c r="AW5" s="95"/>
      <c r="AX5" s="673"/>
      <c r="AY5" s="4"/>
      <c r="AZ5" s="4"/>
      <c r="BA5" s="4"/>
      <c r="BB5" s="4"/>
    </row>
    <row r="6" spans="1:487" ht="20.100000000000001" customHeight="1" thickBot="1">
      <c r="A6" s="391" t="s">
        <v>317</v>
      </c>
      <c r="B6" s="692" t="s">
        <v>318</v>
      </c>
      <c r="C6" s="392">
        <f t="shared" ref="C6:AB6" si="0">SUM(C7:C30)</f>
        <v>27.58799999999999</v>
      </c>
      <c r="D6" s="392">
        <f t="shared" si="0"/>
        <v>110.99899999999997</v>
      </c>
      <c r="E6" s="392">
        <f t="shared" si="0"/>
        <v>152.09600000000003</v>
      </c>
      <c r="F6" s="393">
        <f t="shared" si="0"/>
        <v>244.9200000000001</v>
      </c>
      <c r="G6" s="674">
        <f t="shared" si="0"/>
        <v>70.556999999999988</v>
      </c>
      <c r="H6" s="393">
        <f t="shared" si="0"/>
        <v>176.07799999999997</v>
      </c>
      <c r="I6" s="393">
        <f t="shared" si="0"/>
        <v>195.94299999999996</v>
      </c>
      <c r="J6" s="675">
        <f t="shared" si="0"/>
        <v>334.28999999999991</v>
      </c>
      <c r="K6" s="393">
        <f t="shared" si="0"/>
        <v>86.532000000000011</v>
      </c>
      <c r="L6" s="393">
        <f t="shared" si="0"/>
        <v>505.40000000000015</v>
      </c>
      <c r="M6" s="393">
        <f t="shared" si="0"/>
        <v>1145.4000000000003</v>
      </c>
      <c r="N6" s="393">
        <f t="shared" si="0"/>
        <v>1825.2999999999997</v>
      </c>
      <c r="O6" s="674">
        <f t="shared" si="0"/>
        <v>282.2000000000001</v>
      </c>
      <c r="P6" s="393">
        <f t="shared" si="0"/>
        <v>852.69999999999982</v>
      </c>
      <c r="Q6" s="393">
        <f t="shared" si="0"/>
        <v>1195.6999999999994</v>
      </c>
      <c r="R6" s="675">
        <f t="shared" si="0"/>
        <v>1821.6999999999998</v>
      </c>
      <c r="S6" s="393">
        <f t="shared" si="0"/>
        <v>405.9</v>
      </c>
      <c r="T6" s="393">
        <f t="shared" si="0"/>
        <v>1140</v>
      </c>
      <c r="U6" s="393">
        <f t="shared" si="0"/>
        <v>1678.3000000000002</v>
      </c>
      <c r="V6" s="393">
        <f t="shared" si="0"/>
        <v>2130.5</v>
      </c>
      <c r="W6" s="674">
        <f t="shared" si="0"/>
        <v>509.29999999999995</v>
      </c>
      <c r="X6" s="393">
        <f t="shared" si="0"/>
        <v>1062.8</v>
      </c>
      <c r="Y6" s="393">
        <f t="shared" si="0"/>
        <v>1457.6999999999998</v>
      </c>
      <c r="Z6" s="675">
        <f t="shared" si="0"/>
        <v>2181.1000000000004</v>
      </c>
      <c r="AA6" s="393">
        <f t="shared" si="0"/>
        <v>340.90000000000009</v>
      </c>
      <c r="AB6" s="393">
        <f t="shared" si="0"/>
        <v>873.30000000000007</v>
      </c>
      <c r="AC6" s="393">
        <v>1470.1</v>
      </c>
      <c r="AD6" s="393">
        <f t="shared" ref="AD6:AP6" si="1">SUM(AD7:AD30)</f>
        <v>2416</v>
      </c>
      <c r="AE6" s="674">
        <f t="shared" si="1"/>
        <v>402.4</v>
      </c>
      <c r="AF6" s="393">
        <f t="shared" si="1"/>
        <v>983.40000000000032</v>
      </c>
      <c r="AG6" s="393">
        <f t="shared" si="1"/>
        <v>1588.9000000000003</v>
      </c>
      <c r="AH6" s="675">
        <f t="shared" si="1"/>
        <v>2265.5</v>
      </c>
      <c r="AI6" s="393">
        <f t="shared" si="1"/>
        <v>464.9</v>
      </c>
      <c r="AJ6" s="393">
        <f t="shared" si="1"/>
        <v>1143.1000000000001</v>
      </c>
      <c r="AK6" s="393">
        <f t="shared" si="1"/>
        <v>1857.2000000000003</v>
      </c>
      <c r="AL6" s="393">
        <f t="shared" si="1"/>
        <v>2663.2999999999997</v>
      </c>
      <c r="AM6" s="674">
        <f t="shared" si="1"/>
        <v>677.20000000000016</v>
      </c>
      <c r="AN6" s="393">
        <f t="shared" si="1"/>
        <v>1232.3000000000004</v>
      </c>
      <c r="AO6" s="393">
        <f t="shared" si="1"/>
        <v>1835.7999999999997</v>
      </c>
      <c r="AP6" s="675">
        <f t="shared" si="1"/>
        <v>2651.7</v>
      </c>
      <c r="AQ6" s="393">
        <f t="shared" ref="AQ6:AS6" si="2">SUM(AQ7:AQ30)</f>
        <v>603.90000000000009</v>
      </c>
      <c r="AR6" s="393">
        <f t="shared" si="2"/>
        <v>953.8</v>
      </c>
      <c r="AS6" s="393">
        <f t="shared" si="2"/>
        <v>-1284.9999999999998</v>
      </c>
      <c r="AT6" s="675">
        <f>SUM(AT7:AT30)</f>
        <v>-724.80000000000007</v>
      </c>
      <c r="AU6" s="393">
        <f t="shared" ref="AU6:AW6" si="3">SUM(AU7:AU30)</f>
        <v>454.00000000000011</v>
      </c>
      <c r="AV6" s="803">
        <f t="shared" si="3"/>
        <v>997.79999999999984</v>
      </c>
      <c r="AW6" s="393">
        <f t="shared" si="3"/>
        <v>0</v>
      </c>
      <c r="AX6" s="675">
        <f>SUM(AX7:AX30)</f>
        <v>0</v>
      </c>
      <c r="AY6" s="4"/>
      <c r="AZ6" s="4"/>
      <c r="BA6" s="4"/>
      <c r="BB6" s="4"/>
    </row>
    <row r="7" spans="1:487" ht="20.100000000000001" customHeight="1">
      <c r="A7" s="71" t="s">
        <v>42</v>
      </c>
      <c r="B7" s="693" t="s">
        <v>43</v>
      </c>
      <c r="C7" s="69">
        <v>54.433</v>
      </c>
      <c r="D7" s="69">
        <v>111.117</v>
      </c>
      <c r="E7" s="69">
        <v>171.35499999999999</v>
      </c>
      <c r="F7" s="69">
        <v>243.066</v>
      </c>
      <c r="G7" s="676">
        <v>60.698</v>
      </c>
      <c r="H7" s="69">
        <v>122.961</v>
      </c>
      <c r="I7" s="69">
        <v>187.82599999999999</v>
      </c>
      <c r="J7" s="677">
        <v>256.416</v>
      </c>
      <c r="K7" s="69">
        <v>62.434000000000005</v>
      </c>
      <c r="L7" s="69">
        <v>373.8</v>
      </c>
      <c r="M7" s="69">
        <v>852.1</v>
      </c>
      <c r="N7" s="69">
        <v>1295.9000000000001</v>
      </c>
      <c r="O7" s="676">
        <v>467.9</v>
      </c>
      <c r="P7" s="69">
        <v>861.4</v>
      </c>
      <c r="Q7" s="69">
        <v>1262.5999999999999</v>
      </c>
      <c r="R7" s="677">
        <v>1699.3</v>
      </c>
      <c r="S7" s="69">
        <v>423.7</v>
      </c>
      <c r="T7" s="69">
        <v>951.2</v>
      </c>
      <c r="U7" s="69">
        <v>1459.1</v>
      </c>
      <c r="V7" s="69">
        <v>1971.5</v>
      </c>
      <c r="W7" s="676">
        <v>472.3</v>
      </c>
      <c r="X7" s="69">
        <v>919</v>
      </c>
      <c r="Y7" s="69">
        <v>1348.2</v>
      </c>
      <c r="Z7" s="677">
        <v>1783</v>
      </c>
      <c r="AA7" s="69">
        <v>454.5</v>
      </c>
      <c r="AB7" s="69">
        <v>925.3</v>
      </c>
      <c r="AC7" s="69">
        <v>1448.8</v>
      </c>
      <c r="AD7" s="69">
        <v>1970.7</v>
      </c>
      <c r="AE7" s="676">
        <v>440.1</v>
      </c>
      <c r="AF7" s="69">
        <v>884.7</v>
      </c>
      <c r="AG7" s="69">
        <v>1333.2</v>
      </c>
      <c r="AH7" s="677">
        <v>1786.4</v>
      </c>
      <c r="AI7" s="69">
        <v>547.1</v>
      </c>
      <c r="AJ7" s="69">
        <v>1100.7</v>
      </c>
      <c r="AK7" s="69">
        <v>1662.2</v>
      </c>
      <c r="AL7" s="69">
        <v>2229.6999999999998</v>
      </c>
      <c r="AM7" s="676">
        <v>564.5</v>
      </c>
      <c r="AN7" s="69">
        <v>1130.4000000000001</v>
      </c>
      <c r="AO7" s="69">
        <v>1703.4</v>
      </c>
      <c r="AP7" s="677">
        <v>2305.6999999999998</v>
      </c>
      <c r="AQ7" s="69">
        <v>521.20000000000005</v>
      </c>
      <c r="AR7" s="69">
        <v>978.4</v>
      </c>
      <c r="AS7" s="69">
        <v>1442</v>
      </c>
      <c r="AT7" s="677">
        <v>1903.2</v>
      </c>
      <c r="AU7" s="69">
        <v>446.3</v>
      </c>
      <c r="AV7" s="264">
        <v>913.8</v>
      </c>
      <c r="AW7" s="69"/>
      <c r="AX7" s="677"/>
      <c r="AY7" s="4"/>
      <c r="AZ7" s="4"/>
      <c r="BA7" s="4"/>
      <c r="BB7" s="4"/>
    </row>
    <row r="8" spans="1:487" ht="20.100000000000001" customHeight="1">
      <c r="A8" s="71" t="s">
        <v>319</v>
      </c>
      <c r="B8" s="693" t="s">
        <v>320</v>
      </c>
      <c r="C8" s="69">
        <v>-29.711000000000002</v>
      </c>
      <c r="D8" s="69">
        <v>-88.683000000000007</v>
      </c>
      <c r="E8" s="69">
        <v>-140.589</v>
      </c>
      <c r="F8" s="69">
        <v>-177.86799999999999</v>
      </c>
      <c r="G8" s="676">
        <v>-44.32</v>
      </c>
      <c r="H8" s="69">
        <v>-122.45100000000001</v>
      </c>
      <c r="I8" s="69">
        <v>-189.477</v>
      </c>
      <c r="J8" s="677">
        <v>-222.45600000000002</v>
      </c>
      <c r="K8" s="69">
        <v>-109.42100000000001</v>
      </c>
      <c r="L8" s="69">
        <v>-148.9</v>
      </c>
      <c r="M8" s="69">
        <v>-224.7</v>
      </c>
      <c r="N8" s="69">
        <v>-306.8</v>
      </c>
      <c r="O8" s="676">
        <v>-41.5</v>
      </c>
      <c r="P8" s="69">
        <v>-115.2</v>
      </c>
      <c r="Q8" s="69">
        <v>-195.4</v>
      </c>
      <c r="R8" s="677">
        <v>-238.1</v>
      </c>
      <c r="S8" s="69">
        <v>-58.1</v>
      </c>
      <c r="T8" s="69">
        <v>-119</v>
      </c>
      <c r="U8" s="69">
        <v>-189.6</v>
      </c>
      <c r="V8" s="69">
        <v>-246.5</v>
      </c>
      <c r="W8" s="676">
        <v>-33.299999999999997</v>
      </c>
      <c r="X8" s="69">
        <v>-94.2</v>
      </c>
      <c r="Y8" s="69">
        <v>-246.2</v>
      </c>
      <c r="Z8" s="677">
        <v>-305.10000000000002</v>
      </c>
      <c r="AA8" s="69">
        <v>-62.4</v>
      </c>
      <c r="AB8" s="69">
        <v>-124.7</v>
      </c>
      <c r="AC8" s="69">
        <v>-411.2</v>
      </c>
      <c r="AD8" s="69">
        <v>-363.5</v>
      </c>
      <c r="AE8" s="676">
        <v>-156.30000000000001</v>
      </c>
      <c r="AF8" s="69">
        <v>-343.1</v>
      </c>
      <c r="AG8" s="69">
        <v>-534</v>
      </c>
      <c r="AH8" s="677">
        <v>-617.29999999999995</v>
      </c>
      <c r="AI8" s="69">
        <v>-156.30000000000001</v>
      </c>
      <c r="AJ8" s="69">
        <v>-343.1</v>
      </c>
      <c r="AK8" s="69">
        <v>-534</v>
      </c>
      <c r="AL8" s="69">
        <v>-617.29999999999995</v>
      </c>
      <c r="AM8" s="676">
        <v>-160.5</v>
      </c>
      <c r="AN8" s="69">
        <v>-223.3</v>
      </c>
      <c r="AO8" s="69">
        <v>-311.39999999999998</v>
      </c>
      <c r="AP8" s="677">
        <v>-511.9</v>
      </c>
      <c r="AQ8" s="69">
        <v>-175.1</v>
      </c>
      <c r="AR8" s="69">
        <v>-411.4</v>
      </c>
      <c r="AS8" s="69">
        <v>-557.1</v>
      </c>
      <c r="AT8" s="677">
        <v>-645</v>
      </c>
      <c r="AU8" s="69">
        <v>-178</v>
      </c>
      <c r="AV8" s="264">
        <v>-268.5</v>
      </c>
      <c r="AW8" s="69"/>
      <c r="AX8" s="677"/>
      <c r="AY8" s="4"/>
      <c r="AZ8" s="4"/>
      <c r="BA8" s="4"/>
      <c r="BB8" s="4"/>
    </row>
    <row r="9" spans="1:487" ht="20.100000000000001" customHeight="1">
      <c r="A9" s="71" t="s">
        <v>321</v>
      </c>
      <c r="B9" s="693" t="s">
        <v>322</v>
      </c>
      <c r="C9" s="69">
        <v>46.908999999999999</v>
      </c>
      <c r="D9" s="69">
        <v>99.832000000000008</v>
      </c>
      <c r="E9" s="69">
        <v>145.40600000000001</v>
      </c>
      <c r="F9" s="69">
        <v>194.52100000000002</v>
      </c>
      <c r="G9" s="676">
        <v>46.048999999999999</v>
      </c>
      <c r="H9" s="69">
        <v>102.423</v>
      </c>
      <c r="I9" s="69">
        <v>162.63200000000001</v>
      </c>
      <c r="J9" s="677">
        <v>220.37100000000001</v>
      </c>
      <c r="K9" s="69">
        <v>40.084000000000003</v>
      </c>
      <c r="L9" s="69">
        <v>85.1</v>
      </c>
      <c r="M9" s="69">
        <v>162.19999999999999</v>
      </c>
      <c r="N9" s="69">
        <v>224.4</v>
      </c>
      <c r="O9" s="676">
        <v>43.7</v>
      </c>
      <c r="P9" s="69">
        <v>90.5</v>
      </c>
      <c r="Q9" s="69">
        <v>149.9</v>
      </c>
      <c r="R9" s="677">
        <v>212.6</v>
      </c>
      <c r="S9" s="69">
        <v>49.1</v>
      </c>
      <c r="T9" s="69">
        <v>125.3</v>
      </c>
      <c r="U9" s="69">
        <v>173.5</v>
      </c>
      <c r="V9" s="69">
        <v>230.7</v>
      </c>
      <c r="W9" s="676">
        <v>48.5</v>
      </c>
      <c r="X9" s="69">
        <v>102.7</v>
      </c>
      <c r="Y9" s="69">
        <v>166.1</v>
      </c>
      <c r="Z9" s="677">
        <v>228.6</v>
      </c>
      <c r="AA9" s="69">
        <v>45.7</v>
      </c>
      <c r="AB9" s="69">
        <v>103.8</v>
      </c>
      <c r="AC9" s="69">
        <v>100.5</v>
      </c>
      <c r="AD9" s="69">
        <v>337</v>
      </c>
      <c r="AE9" s="676">
        <v>123.3</v>
      </c>
      <c r="AF9" s="69">
        <v>262.39999999999998</v>
      </c>
      <c r="AG9" s="69">
        <v>411</v>
      </c>
      <c r="AH9" s="677">
        <v>543.6</v>
      </c>
      <c r="AI9" s="69">
        <v>123.3</v>
      </c>
      <c r="AJ9" s="69">
        <v>262.39999999999998</v>
      </c>
      <c r="AK9" s="69">
        <v>411</v>
      </c>
      <c r="AL9" s="69">
        <v>543.6</v>
      </c>
      <c r="AM9" s="676">
        <v>125.1</v>
      </c>
      <c r="AN9" s="69">
        <v>246.4</v>
      </c>
      <c r="AO9" s="69">
        <v>372.4</v>
      </c>
      <c r="AP9" s="677">
        <v>519.6</v>
      </c>
      <c r="AQ9" s="69">
        <v>136.80000000000001</v>
      </c>
      <c r="AR9" s="69">
        <v>267.39999999999998</v>
      </c>
      <c r="AS9" s="69">
        <v>394.1</v>
      </c>
      <c r="AT9" s="677">
        <v>558.79999999999995</v>
      </c>
      <c r="AU9" s="69">
        <v>149.80000000000001</v>
      </c>
      <c r="AV9" s="264">
        <v>323</v>
      </c>
      <c r="AW9" s="69"/>
      <c r="AX9" s="677"/>
      <c r="AY9" s="4"/>
      <c r="AZ9" s="4"/>
      <c r="BA9" s="4"/>
      <c r="BB9" s="4"/>
    </row>
    <row r="10" spans="1:487" ht="25.5">
      <c r="A10" s="71" t="s">
        <v>323</v>
      </c>
      <c r="B10" s="693" t="s">
        <v>324</v>
      </c>
      <c r="C10" s="69">
        <v>-1.0999999999999999E-2</v>
      </c>
      <c r="D10" s="69">
        <v>-0.25700000000000001</v>
      </c>
      <c r="E10" s="69">
        <v>-0.48299999999999998</v>
      </c>
      <c r="F10" s="69">
        <v>-0.111</v>
      </c>
      <c r="G10" s="676">
        <v>5.8000000000000003E-2</v>
      </c>
      <c r="H10" s="69">
        <v>7.2999999999999995E-2</v>
      </c>
      <c r="I10" s="69">
        <v>-38.896000000000001</v>
      </c>
      <c r="J10" s="677">
        <v>-35.765000000000001</v>
      </c>
      <c r="K10" s="69">
        <v>-5.2999999999999999E-2</v>
      </c>
      <c r="L10" s="69">
        <v>-0.7</v>
      </c>
      <c r="M10" s="69">
        <v>-2.4</v>
      </c>
      <c r="N10" s="69">
        <v>-2.9</v>
      </c>
      <c r="O10" s="676">
        <v>-0.4</v>
      </c>
      <c r="P10" s="69">
        <v>-4.8</v>
      </c>
      <c r="Q10" s="69">
        <v>-5.7</v>
      </c>
      <c r="R10" s="677">
        <v>-6.9</v>
      </c>
      <c r="S10" s="94" t="s">
        <v>283</v>
      </c>
      <c r="T10" s="94" t="s">
        <v>283</v>
      </c>
      <c r="U10" s="94" t="s">
        <v>283</v>
      </c>
      <c r="V10" s="94" t="s">
        <v>283</v>
      </c>
      <c r="W10" s="678" t="s">
        <v>283</v>
      </c>
      <c r="X10" s="94" t="s">
        <v>283</v>
      </c>
      <c r="Y10" s="94" t="s">
        <v>283</v>
      </c>
      <c r="Z10" s="679" t="s">
        <v>283</v>
      </c>
      <c r="AA10" s="94" t="s">
        <v>283</v>
      </c>
      <c r="AB10" s="94" t="s">
        <v>283</v>
      </c>
      <c r="AC10" s="94" t="s">
        <v>283</v>
      </c>
      <c r="AD10" s="94" t="s">
        <v>283</v>
      </c>
      <c r="AE10" s="678" t="s">
        <v>283</v>
      </c>
      <c r="AF10" s="94" t="s">
        <v>283</v>
      </c>
      <c r="AG10" s="94" t="s">
        <v>283</v>
      </c>
      <c r="AH10" s="679" t="s">
        <v>283</v>
      </c>
      <c r="AI10" s="94" t="s">
        <v>283</v>
      </c>
      <c r="AJ10" s="94" t="s">
        <v>283</v>
      </c>
      <c r="AK10" s="94" t="s">
        <v>283</v>
      </c>
      <c r="AL10" s="94" t="s">
        <v>283</v>
      </c>
      <c r="AM10" s="678" t="s">
        <v>283</v>
      </c>
      <c r="AN10" s="94" t="s">
        <v>283</v>
      </c>
      <c r="AO10" s="94" t="s">
        <v>283</v>
      </c>
      <c r="AP10" s="679" t="s">
        <v>283</v>
      </c>
      <c r="AQ10" s="94" t="s">
        <v>283</v>
      </c>
      <c r="AR10" s="94" t="s">
        <v>283</v>
      </c>
      <c r="AS10" s="94" t="s">
        <v>283</v>
      </c>
      <c r="AT10" s="679" t="s">
        <v>283</v>
      </c>
      <c r="AU10" s="94" t="s">
        <v>283</v>
      </c>
      <c r="AV10" s="266" t="s">
        <v>283</v>
      </c>
      <c r="AW10" s="94" t="s">
        <v>283</v>
      </c>
      <c r="AX10" s="679" t="s">
        <v>283</v>
      </c>
      <c r="AY10" s="4"/>
      <c r="AZ10" s="4"/>
      <c r="BA10" s="4"/>
      <c r="BB10" s="4"/>
    </row>
    <row r="11" spans="1:487" ht="20.100000000000001" customHeight="1">
      <c r="A11" s="71" t="s">
        <v>325</v>
      </c>
      <c r="B11" s="693" t="s">
        <v>326</v>
      </c>
      <c r="C11" s="69">
        <v>2.3109999999999999</v>
      </c>
      <c r="D11" s="69">
        <v>4.6020000000000003</v>
      </c>
      <c r="E11" s="69">
        <v>6.1379999999999999</v>
      </c>
      <c r="F11" s="69">
        <v>9.2439999999999998</v>
      </c>
      <c r="G11" s="676">
        <v>3.504</v>
      </c>
      <c r="H11" s="69">
        <v>5.843</v>
      </c>
      <c r="I11" s="69">
        <v>6.3049999999999997</v>
      </c>
      <c r="J11" s="677">
        <v>6.407</v>
      </c>
      <c r="K11" s="69">
        <v>4.1000000000000002E-2</v>
      </c>
      <c r="L11" s="69">
        <v>0.1</v>
      </c>
      <c r="M11" s="69">
        <v>30.4</v>
      </c>
      <c r="N11" s="69">
        <v>30.5</v>
      </c>
      <c r="O11" s="676">
        <v>0.1</v>
      </c>
      <c r="P11" s="69">
        <v>0.5</v>
      </c>
      <c r="Q11" s="69">
        <v>0.5</v>
      </c>
      <c r="R11" s="677">
        <v>1.4</v>
      </c>
      <c r="S11" s="94" t="s">
        <v>283</v>
      </c>
      <c r="T11" s="94" t="s">
        <v>283</v>
      </c>
      <c r="U11" s="94" t="s">
        <v>283</v>
      </c>
      <c r="V11" s="94" t="s">
        <v>283</v>
      </c>
      <c r="W11" s="678" t="s">
        <v>283</v>
      </c>
      <c r="X11" s="94" t="s">
        <v>283</v>
      </c>
      <c r="Y11" s="94" t="s">
        <v>283</v>
      </c>
      <c r="Z11" s="679" t="s">
        <v>283</v>
      </c>
      <c r="AA11" s="94" t="s">
        <v>283</v>
      </c>
      <c r="AB11" s="94" t="s">
        <v>283</v>
      </c>
      <c r="AC11" s="94" t="s">
        <v>283</v>
      </c>
      <c r="AD11" s="94" t="s">
        <v>283</v>
      </c>
      <c r="AE11" s="678" t="s">
        <v>283</v>
      </c>
      <c r="AF11" s="94" t="s">
        <v>283</v>
      </c>
      <c r="AG11" s="94" t="s">
        <v>283</v>
      </c>
      <c r="AH11" s="679" t="s">
        <v>283</v>
      </c>
      <c r="AI11" s="94" t="s">
        <v>283</v>
      </c>
      <c r="AJ11" s="94" t="s">
        <v>283</v>
      </c>
      <c r="AK11" s="94" t="s">
        <v>283</v>
      </c>
      <c r="AL11" s="94" t="s">
        <v>283</v>
      </c>
      <c r="AM11" s="678" t="s">
        <v>283</v>
      </c>
      <c r="AN11" s="94" t="s">
        <v>283</v>
      </c>
      <c r="AO11" s="94" t="s">
        <v>283</v>
      </c>
      <c r="AP11" s="679" t="s">
        <v>283</v>
      </c>
      <c r="AQ11" s="94" t="s">
        <v>283</v>
      </c>
      <c r="AR11" s="94" t="s">
        <v>283</v>
      </c>
      <c r="AS11" s="94" t="s">
        <v>283</v>
      </c>
      <c r="AT11" s="679" t="s">
        <v>283</v>
      </c>
      <c r="AU11" s="94" t="s">
        <v>283</v>
      </c>
      <c r="AV11" s="266" t="s">
        <v>283</v>
      </c>
      <c r="AW11" s="94" t="s">
        <v>283</v>
      </c>
      <c r="AX11" s="679" t="s">
        <v>283</v>
      </c>
      <c r="AY11" s="4"/>
      <c r="AZ11" s="4"/>
      <c r="BA11" s="4"/>
      <c r="BB11" s="4"/>
    </row>
    <row r="12" spans="1:487" ht="20.100000000000001" customHeight="1">
      <c r="A12" s="71" t="s">
        <v>327</v>
      </c>
      <c r="B12" s="693" t="s">
        <v>328</v>
      </c>
      <c r="C12" s="69">
        <v>52.017000000000003</v>
      </c>
      <c r="D12" s="69">
        <v>105.822</v>
      </c>
      <c r="E12" s="69">
        <v>156.893</v>
      </c>
      <c r="F12" s="69">
        <v>205.185</v>
      </c>
      <c r="G12" s="676">
        <v>46.368000000000002</v>
      </c>
      <c r="H12" s="69">
        <v>93.388999999999996</v>
      </c>
      <c r="I12" s="69">
        <v>140.42699999999999</v>
      </c>
      <c r="J12" s="677">
        <v>183.81100000000001</v>
      </c>
      <c r="K12" s="69">
        <v>90.381</v>
      </c>
      <c r="L12" s="69">
        <v>248.5</v>
      </c>
      <c r="M12" s="69">
        <v>421.4</v>
      </c>
      <c r="N12" s="69">
        <v>603.70000000000005</v>
      </c>
      <c r="O12" s="676">
        <v>177.4</v>
      </c>
      <c r="P12" s="69">
        <v>348.5</v>
      </c>
      <c r="Q12" s="69">
        <v>581.29999999999995</v>
      </c>
      <c r="R12" s="677">
        <v>763.6</v>
      </c>
      <c r="S12" s="69">
        <v>144.69999999999999</v>
      </c>
      <c r="T12" s="69">
        <v>285.89999999999998</v>
      </c>
      <c r="U12" s="69">
        <v>417.4</v>
      </c>
      <c r="V12" s="69">
        <v>541.9</v>
      </c>
      <c r="W12" s="676">
        <v>114.5</v>
      </c>
      <c r="X12" s="69">
        <v>228.7</v>
      </c>
      <c r="Y12" s="69">
        <v>331.1</v>
      </c>
      <c r="Z12" s="677">
        <v>432.3</v>
      </c>
      <c r="AA12" s="69">
        <v>68.5</v>
      </c>
      <c r="AB12" s="69">
        <v>166.7</v>
      </c>
      <c r="AC12" s="69">
        <v>269</v>
      </c>
      <c r="AD12" s="69">
        <v>401.6</v>
      </c>
      <c r="AE12" s="676">
        <v>94.5</v>
      </c>
      <c r="AF12" s="69">
        <v>189.2</v>
      </c>
      <c r="AG12" s="69">
        <v>291</v>
      </c>
      <c r="AH12" s="677">
        <v>388.2</v>
      </c>
      <c r="AI12" s="69">
        <v>107.2</v>
      </c>
      <c r="AJ12" s="69">
        <v>214.3</v>
      </c>
      <c r="AK12" s="69">
        <v>327.5</v>
      </c>
      <c r="AL12" s="69">
        <v>437.8</v>
      </c>
      <c r="AM12" s="676">
        <v>111.9</v>
      </c>
      <c r="AN12" s="69">
        <v>206.1</v>
      </c>
      <c r="AO12" s="69">
        <v>285.7</v>
      </c>
      <c r="AP12" s="677">
        <v>364.8</v>
      </c>
      <c r="AQ12" s="69">
        <v>78</v>
      </c>
      <c r="AR12" s="69">
        <v>154.9</v>
      </c>
      <c r="AS12" s="69">
        <v>223</v>
      </c>
      <c r="AT12" s="677">
        <v>299.39999999999998</v>
      </c>
      <c r="AU12" s="69">
        <v>112.3</v>
      </c>
      <c r="AV12" s="264">
        <v>271.2</v>
      </c>
      <c r="AW12" s="69"/>
      <c r="AX12" s="677"/>
      <c r="AY12" s="4"/>
      <c r="AZ12" s="4"/>
      <c r="BA12" s="4"/>
      <c r="BB12" s="4"/>
    </row>
    <row r="13" spans="1:487" ht="20.100000000000001" customHeight="1">
      <c r="A13" s="71" t="s">
        <v>329</v>
      </c>
      <c r="B13" s="693" t="s">
        <v>330</v>
      </c>
      <c r="C13" s="69">
        <v>-7.2490000000000006</v>
      </c>
      <c r="D13" s="69">
        <v>-7.3810000000000002</v>
      </c>
      <c r="E13" s="69">
        <v>1.093</v>
      </c>
      <c r="F13" s="69">
        <v>16.173000000000002</v>
      </c>
      <c r="G13" s="676">
        <v>11.273</v>
      </c>
      <c r="H13" s="69">
        <v>4.4740000000000002</v>
      </c>
      <c r="I13" s="69">
        <v>5.9119999999999999</v>
      </c>
      <c r="J13" s="677">
        <v>14.839</v>
      </c>
      <c r="K13" s="69">
        <v>-16.302</v>
      </c>
      <c r="L13" s="69">
        <v>-41.8</v>
      </c>
      <c r="M13" s="69">
        <v>-14.7</v>
      </c>
      <c r="N13" s="69">
        <v>0.5</v>
      </c>
      <c r="O13" s="676">
        <v>48.6</v>
      </c>
      <c r="P13" s="69">
        <v>45.6</v>
      </c>
      <c r="Q13" s="69">
        <v>43.3</v>
      </c>
      <c r="R13" s="677">
        <v>26.4</v>
      </c>
      <c r="S13" s="69">
        <v>21.5</v>
      </c>
      <c r="T13" s="69">
        <v>11.7</v>
      </c>
      <c r="U13" s="69">
        <v>0.7</v>
      </c>
      <c r="V13" s="69">
        <v>3</v>
      </c>
      <c r="W13" s="676">
        <v>41.5</v>
      </c>
      <c r="X13" s="69">
        <v>-0.3</v>
      </c>
      <c r="Y13" s="69">
        <v>-16.899999999999999</v>
      </c>
      <c r="Z13" s="677">
        <v>-5</v>
      </c>
      <c r="AA13" s="69">
        <v>7.7</v>
      </c>
      <c r="AB13" s="69">
        <v>-45.1</v>
      </c>
      <c r="AC13" s="69">
        <v>-70.8</v>
      </c>
      <c r="AD13" s="69">
        <v>-77.2</v>
      </c>
      <c r="AE13" s="676">
        <v>60.3</v>
      </c>
      <c r="AF13" s="69">
        <v>51.4</v>
      </c>
      <c r="AG13" s="69">
        <v>36.299999999999997</v>
      </c>
      <c r="AH13" s="677">
        <v>89.1</v>
      </c>
      <c r="AI13" s="69">
        <v>60.3</v>
      </c>
      <c r="AJ13" s="69">
        <v>51.4</v>
      </c>
      <c r="AK13" s="69">
        <v>36.299999999999997</v>
      </c>
      <c r="AL13" s="69">
        <v>89.1</v>
      </c>
      <c r="AM13" s="676">
        <v>-85.7</v>
      </c>
      <c r="AN13" s="69">
        <v>-190.2</v>
      </c>
      <c r="AO13" s="69">
        <v>-96.4</v>
      </c>
      <c r="AP13" s="677">
        <v>13.2</v>
      </c>
      <c r="AQ13" s="69">
        <v>-5.4</v>
      </c>
      <c r="AR13" s="69">
        <v>-139.6</v>
      </c>
      <c r="AS13" s="69">
        <v>-215.3</v>
      </c>
      <c r="AT13" s="677">
        <v>-295.39999999999998</v>
      </c>
      <c r="AU13" s="69">
        <v>-1.8</v>
      </c>
      <c r="AV13" s="264">
        <v>-113.6</v>
      </c>
      <c r="AW13" s="69"/>
      <c r="AX13" s="677"/>
      <c r="AY13" s="4"/>
      <c r="AZ13" s="4"/>
      <c r="BA13" s="4"/>
      <c r="BB13" s="4"/>
    </row>
    <row r="14" spans="1:487" ht="20.100000000000001" customHeight="1">
      <c r="A14" s="71" t="s">
        <v>331</v>
      </c>
      <c r="B14" s="693" t="s">
        <v>332</v>
      </c>
      <c r="C14" s="69">
        <v>-48.496000000000002</v>
      </c>
      <c r="D14" s="69">
        <v>-85.073000000000008</v>
      </c>
      <c r="E14" s="69">
        <v>-90.59</v>
      </c>
      <c r="F14" s="69">
        <v>-106.816</v>
      </c>
      <c r="G14" s="676">
        <v>-18.654</v>
      </c>
      <c r="H14" s="69">
        <v>-16.358000000000001</v>
      </c>
      <c r="I14" s="69">
        <v>16.681000000000001</v>
      </c>
      <c r="J14" s="677">
        <v>60.908000000000001</v>
      </c>
      <c r="K14" s="69">
        <v>-5.1610000000000005</v>
      </c>
      <c r="L14" s="69">
        <v>-29.2</v>
      </c>
      <c r="M14" s="69">
        <v>-87.6</v>
      </c>
      <c r="N14" s="69">
        <v>-191.9</v>
      </c>
      <c r="O14" s="676">
        <v>-211.8</v>
      </c>
      <c r="P14" s="69">
        <v>-581.20000000000005</v>
      </c>
      <c r="Q14" s="69">
        <v>-349.3</v>
      </c>
      <c r="R14" s="677">
        <v>-478.2</v>
      </c>
      <c r="S14" s="69">
        <v>-33.9</v>
      </c>
      <c r="T14" s="69">
        <v>-105.3</v>
      </c>
      <c r="U14" s="69">
        <v>-164.6</v>
      </c>
      <c r="V14" s="69">
        <v>-329.9</v>
      </c>
      <c r="W14" s="676">
        <v>21.5</v>
      </c>
      <c r="X14" s="69">
        <v>-112.7</v>
      </c>
      <c r="Y14" s="69">
        <v>-224.5</v>
      </c>
      <c r="Z14" s="677">
        <v>-470.8</v>
      </c>
      <c r="AA14" s="69">
        <v>38.1</v>
      </c>
      <c r="AB14" s="69">
        <v>-516.5</v>
      </c>
      <c r="AC14" s="69">
        <v>-266.89999999999998</v>
      </c>
      <c r="AD14" s="69">
        <v>-289.10000000000002</v>
      </c>
      <c r="AE14" s="676">
        <v>155.9</v>
      </c>
      <c r="AF14" s="69">
        <v>8.1</v>
      </c>
      <c r="AG14" s="69">
        <v>-51.3</v>
      </c>
      <c r="AH14" s="677">
        <v>-312.5</v>
      </c>
      <c r="AI14" s="69">
        <v>158.4</v>
      </c>
      <c r="AJ14" s="69">
        <v>12.4</v>
      </c>
      <c r="AK14" s="69">
        <v>-48.3</v>
      </c>
      <c r="AL14" s="69">
        <v>-311.8</v>
      </c>
      <c r="AM14" s="676">
        <v>185.1</v>
      </c>
      <c r="AN14" s="69">
        <v>293.7</v>
      </c>
      <c r="AO14" s="69">
        <v>194.2</v>
      </c>
      <c r="AP14" s="677">
        <v>119.3</v>
      </c>
      <c r="AQ14" s="69">
        <v>-48.2</v>
      </c>
      <c r="AR14" s="69">
        <v>3.7</v>
      </c>
      <c r="AS14" s="69">
        <v>76.099999999999994</v>
      </c>
      <c r="AT14" s="677">
        <v>-25.7</v>
      </c>
      <c r="AU14" s="69">
        <v>41.7</v>
      </c>
      <c r="AV14" s="264">
        <v>-113.2</v>
      </c>
      <c r="AW14" s="69"/>
      <c r="AX14" s="677"/>
      <c r="AY14" s="4"/>
      <c r="AZ14" s="4"/>
      <c r="BA14" s="4"/>
      <c r="BB14" s="4"/>
    </row>
    <row r="15" spans="1:487" ht="20.100000000000001" customHeight="1">
      <c r="A15" s="199" t="s">
        <v>333</v>
      </c>
      <c r="B15" s="694" t="s">
        <v>334</v>
      </c>
      <c r="C15" s="69">
        <v>53.564</v>
      </c>
      <c r="D15" s="69">
        <v>51.881</v>
      </c>
      <c r="E15" s="69">
        <v>66.406999999999996</v>
      </c>
      <c r="F15" s="69">
        <v>67.872</v>
      </c>
      <c r="G15" s="676">
        <v>-36.840000000000003</v>
      </c>
      <c r="H15" s="69">
        <v>-56.231999999999999</v>
      </c>
      <c r="I15" s="69">
        <v>-85.896000000000001</v>
      </c>
      <c r="J15" s="677">
        <v>-104.93900000000001</v>
      </c>
      <c r="K15" s="69">
        <v>31.469000000000001</v>
      </c>
      <c r="L15" s="69">
        <v>-73.8</v>
      </c>
      <c r="M15" s="69">
        <v>-175.9</v>
      </c>
      <c r="N15" s="69">
        <v>-277.7</v>
      </c>
      <c r="O15" s="676">
        <v>-216.1</v>
      </c>
      <c r="P15" s="69">
        <v>69.3</v>
      </c>
      <c r="Q15" s="69">
        <v>-184.3</v>
      </c>
      <c r="R15" s="677">
        <v>-118</v>
      </c>
      <c r="S15" s="69">
        <v>-205.9</v>
      </c>
      <c r="T15" s="69">
        <v>-106.7</v>
      </c>
      <c r="U15" s="69">
        <v>-141.30000000000001</v>
      </c>
      <c r="V15" s="69">
        <v>-33.299999999999997</v>
      </c>
      <c r="W15" s="676">
        <v>-181.5</v>
      </c>
      <c r="X15" s="69">
        <v>-112.9</v>
      </c>
      <c r="Y15" s="69">
        <v>-90.1</v>
      </c>
      <c r="Z15" s="677">
        <v>183.1</v>
      </c>
      <c r="AA15" s="69">
        <v>-259.2</v>
      </c>
      <c r="AB15" s="69">
        <v>125.8</v>
      </c>
      <c r="AC15" s="69">
        <v>88</v>
      </c>
      <c r="AD15" s="69">
        <v>-44.2</v>
      </c>
      <c r="AE15" s="676">
        <v>-379.7</v>
      </c>
      <c r="AF15" s="69">
        <v>-183.1</v>
      </c>
      <c r="AG15" s="69">
        <v>-163.69999999999999</v>
      </c>
      <c r="AH15" s="677">
        <v>64.8</v>
      </c>
      <c r="AI15" s="69">
        <v>-439.5</v>
      </c>
      <c r="AJ15" s="69">
        <v>-264.7</v>
      </c>
      <c r="AK15" s="69">
        <v>-266.8</v>
      </c>
      <c r="AL15" s="69">
        <v>-25.7</v>
      </c>
      <c r="AM15" s="676">
        <v>-138.9</v>
      </c>
      <c r="AN15" s="69">
        <v>-265.5</v>
      </c>
      <c r="AO15" s="69">
        <v>-408.2</v>
      </c>
      <c r="AP15" s="677">
        <v>-401.3</v>
      </c>
      <c r="AQ15" s="69">
        <v>-2.1</v>
      </c>
      <c r="AR15" s="69">
        <v>-78.3</v>
      </c>
      <c r="AS15" s="69">
        <v>-92</v>
      </c>
      <c r="AT15" s="677">
        <v>-55</v>
      </c>
      <c r="AU15" s="69">
        <v>-143.80000000000001</v>
      </c>
      <c r="AV15" s="264">
        <v>-49.7</v>
      </c>
      <c r="AW15" s="69"/>
      <c r="AX15" s="677"/>
      <c r="AY15" s="4"/>
      <c r="AZ15" s="4"/>
      <c r="BA15" s="4"/>
      <c r="BB15" s="4"/>
    </row>
    <row r="16" spans="1:487" ht="20.100000000000001" customHeight="1">
      <c r="A16" s="71" t="s">
        <v>335</v>
      </c>
      <c r="B16" s="693" t="s">
        <v>336</v>
      </c>
      <c r="C16" s="69"/>
      <c r="D16" s="69"/>
      <c r="E16" s="69"/>
      <c r="F16" s="69"/>
      <c r="G16" s="676"/>
      <c r="H16" s="69"/>
      <c r="I16" s="69"/>
      <c r="J16" s="677"/>
      <c r="K16" s="69"/>
      <c r="L16" s="69"/>
      <c r="M16" s="69"/>
      <c r="N16" s="69"/>
      <c r="O16" s="676"/>
      <c r="P16" s="69"/>
      <c r="Q16" s="69"/>
      <c r="R16" s="677"/>
      <c r="S16" s="69"/>
      <c r="T16" s="69"/>
      <c r="U16" s="69"/>
      <c r="V16" s="69"/>
      <c r="W16" s="676"/>
      <c r="X16" s="69"/>
      <c r="Y16" s="69"/>
      <c r="Z16" s="677"/>
      <c r="AA16" s="69">
        <v>29.6</v>
      </c>
      <c r="AB16" s="69">
        <v>48.1</v>
      </c>
      <c r="AC16" s="69">
        <v>55.2</v>
      </c>
      <c r="AD16" s="69">
        <v>47.8</v>
      </c>
      <c r="AE16" s="676">
        <v>-9.1999999999999993</v>
      </c>
      <c r="AF16" s="69">
        <v>-3.3</v>
      </c>
      <c r="AG16" s="69">
        <v>9.1999999999999993</v>
      </c>
      <c r="AH16" s="677">
        <v>9.6999999999999993</v>
      </c>
      <c r="AI16" s="69">
        <v>-9.1999999999999993</v>
      </c>
      <c r="AJ16" s="69">
        <v>-3.3</v>
      </c>
      <c r="AK16" s="69">
        <v>9.1999999999999993</v>
      </c>
      <c r="AL16" s="69">
        <v>9.6999999999999993</v>
      </c>
      <c r="AM16" s="676">
        <v>10.6</v>
      </c>
      <c r="AN16" s="69">
        <v>46.2</v>
      </c>
      <c r="AO16" s="69">
        <v>71.2</v>
      </c>
      <c r="AP16" s="677">
        <v>101</v>
      </c>
      <c r="AQ16" s="69">
        <v>32.1</v>
      </c>
      <c r="AR16" s="69">
        <v>61.5</v>
      </c>
      <c r="AS16" s="69">
        <v>99</v>
      </c>
      <c r="AT16" s="677">
        <v>119.7</v>
      </c>
      <c r="AU16" s="69">
        <v>24.2</v>
      </c>
      <c r="AV16" s="69">
        <v>43.9</v>
      </c>
      <c r="AW16" s="69"/>
      <c r="AX16" s="677"/>
      <c r="AY16" s="4"/>
      <c r="AZ16" s="4"/>
      <c r="BA16" s="4"/>
      <c r="BB16" s="4"/>
    </row>
    <row r="17" spans="1:54" ht="20.100000000000001" customHeight="1">
      <c r="A17" s="71" t="s">
        <v>337</v>
      </c>
      <c r="B17" s="693" t="s">
        <v>338</v>
      </c>
      <c r="C17" s="69"/>
      <c r="D17" s="69"/>
      <c r="E17" s="69"/>
      <c r="F17" s="69"/>
      <c r="G17" s="676"/>
      <c r="H17" s="69"/>
      <c r="I17" s="69"/>
      <c r="J17" s="677"/>
      <c r="K17" s="69"/>
      <c r="L17" s="69"/>
      <c r="M17" s="69"/>
      <c r="N17" s="69"/>
      <c r="O17" s="676"/>
      <c r="P17" s="69"/>
      <c r="Q17" s="69"/>
      <c r="R17" s="677"/>
      <c r="S17" s="69"/>
      <c r="T17" s="69"/>
      <c r="U17" s="69"/>
      <c r="V17" s="69"/>
      <c r="W17" s="676"/>
      <c r="X17" s="69"/>
      <c r="Y17" s="69"/>
      <c r="Z17" s="677"/>
      <c r="AA17" s="69">
        <v>-9.6</v>
      </c>
      <c r="AB17" s="69">
        <v>39.5</v>
      </c>
      <c r="AC17" s="69">
        <v>43.2</v>
      </c>
      <c r="AD17" s="69">
        <v>107.6</v>
      </c>
      <c r="AE17" s="676">
        <v>17.399999999999999</v>
      </c>
      <c r="AF17" s="69">
        <v>7</v>
      </c>
      <c r="AG17" s="69">
        <v>24.4</v>
      </c>
      <c r="AH17" s="677">
        <v>7.9</v>
      </c>
      <c r="AI17" s="69">
        <v>17.399999999999999</v>
      </c>
      <c r="AJ17" s="69">
        <v>7</v>
      </c>
      <c r="AK17" s="69">
        <v>24.4</v>
      </c>
      <c r="AL17" s="69">
        <v>7.9</v>
      </c>
      <c r="AM17" s="676">
        <v>12</v>
      </c>
      <c r="AN17" s="69">
        <v>-26.7</v>
      </c>
      <c r="AO17" s="69">
        <v>-41.4</v>
      </c>
      <c r="AP17" s="677">
        <v>-37.5</v>
      </c>
      <c r="AQ17" s="69">
        <v>-12.5</v>
      </c>
      <c r="AR17" s="69">
        <v>-28.9</v>
      </c>
      <c r="AS17" s="69">
        <v>-7.3</v>
      </c>
      <c r="AT17" s="677">
        <v>-30.6</v>
      </c>
      <c r="AU17" s="69">
        <v>-13.3</v>
      </c>
      <c r="AV17" s="69">
        <v>-28.1</v>
      </c>
      <c r="AW17" s="69"/>
      <c r="AX17" s="677"/>
      <c r="AY17" s="4"/>
      <c r="AZ17" s="4"/>
      <c r="BA17" s="4"/>
      <c r="BB17" s="4"/>
    </row>
    <row r="18" spans="1:54" ht="25.5">
      <c r="A18" s="71" t="s">
        <v>339</v>
      </c>
      <c r="B18" s="693" t="s">
        <v>340</v>
      </c>
      <c r="C18" s="69">
        <v>-0.186</v>
      </c>
      <c r="D18" s="69">
        <v>4.0730000000000004</v>
      </c>
      <c r="E18" s="69">
        <v>0.502</v>
      </c>
      <c r="F18" s="69">
        <v>2.093</v>
      </c>
      <c r="G18" s="676">
        <v>-1.048</v>
      </c>
      <c r="H18" s="69">
        <v>2.4170000000000003</v>
      </c>
      <c r="I18" s="69">
        <v>-3.5390000000000001</v>
      </c>
      <c r="J18" s="677">
        <v>6.4770000000000003</v>
      </c>
      <c r="K18" s="69">
        <v>-13.309000000000001</v>
      </c>
      <c r="L18" s="69">
        <v>-1.5</v>
      </c>
      <c r="M18" s="69">
        <v>-17.399999999999999</v>
      </c>
      <c r="N18" s="69">
        <v>-4.9000000000000004</v>
      </c>
      <c r="O18" s="676">
        <v>-11.7</v>
      </c>
      <c r="P18" s="69">
        <v>-7.6</v>
      </c>
      <c r="Q18" s="69">
        <v>-17.7</v>
      </c>
      <c r="R18" s="677">
        <v>-3.9</v>
      </c>
      <c r="S18" s="69">
        <v>-11.1</v>
      </c>
      <c r="T18" s="69">
        <v>1</v>
      </c>
      <c r="U18" s="69">
        <v>-5.6</v>
      </c>
      <c r="V18" s="69">
        <v>-6.1</v>
      </c>
      <c r="W18" s="678" t="s">
        <v>283</v>
      </c>
      <c r="X18" s="69">
        <v>9.4</v>
      </c>
      <c r="Y18" s="69">
        <v>1.4</v>
      </c>
      <c r="Z18" s="677">
        <v>3.9</v>
      </c>
      <c r="AA18" s="94" t="s">
        <v>283</v>
      </c>
      <c r="AB18" s="94" t="s">
        <v>283</v>
      </c>
      <c r="AC18" s="94" t="s">
        <v>283</v>
      </c>
      <c r="AD18" s="94" t="s">
        <v>283</v>
      </c>
      <c r="AE18" s="678" t="s">
        <v>283</v>
      </c>
      <c r="AF18" s="94" t="s">
        <v>283</v>
      </c>
      <c r="AG18" s="94" t="s">
        <v>283</v>
      </c>
      <c r="AH18" s="679" t="s">
        <v>283</v>
      </c>
      <c r="AI18" s="94" t="s">
        <v>283</v>
      </c>
      <c r="AJ18" s="94" t="s">
        <v>283</v>
      </c>
      <c r="AK18" s="94" t="s">
        <v>283</v>
      </c>
      <c r="AL18" s="94" t="s">
        <v>283</v>
      </c>
      <c r="AM18" s="678" t="s">
        <v>283</v>
      </c>
      <c r="AN18" s="94" t="s">
        <v>283</v>
      </c>
      <c r="AO18" s="94" t="s">
        <v>283</v>
      </c>
      <c r="AP18" s="679" t="s">
        <v>283</v>
      </c>
      <c r="AQ18" s="94" t="s">
        <v>283</v>
      </c>
      <c r="AR18" s="94" t="s">
        <v>283</v>
      </c>
      <c r="AS18" s="94" t="s">
        <v>283</v>
      </c>
      <c r="AT18" s="679" t="s">
        <v>283</v>
      </c>
      <c r="AU18" s="94" t="s">
        <v>283</v>
      </c>
      <c r="AV18" s="94" t="s">
        <v>283</v>
      </c>
      <c r="AW18" s="94" t="s">
        <v>283</v>
      </c>
      <c r="AX18" s="679" t="s">
        <v>283</v>
      </c>
      <c r="AY18" s="4"/>
      <c r="AZ18" s="4"/>
      <c r="BA18" s="4"/>
      <c r="BB18" s="4"/>
    </row>
    <row r="19" spans="1:54" ht="20.100000000000001" customHeight="1">
      <c r="A19" s="71" t="s">
        <v>341</v>
      </c>
      <c r="B19" s="693" t="s">
        <v>342</v>
      </c>
      <c r="C19" s="69">
        <v>-9.7880000000000003</v>
      </c>
      <c r="D19" s="69">
        <v>-10.354000000000001</v>
      </c>
      <c r="E19" s="69">
        <v>-21.978000000000002</v>
      </c>
      <c r="F19" s="69">
        <v>-31.345000000000002</v>
      </c>
      <c r="G19" s="676">
        <v>3.66</v>
      </c>
      <c r="H19" s="69">
        <v>9.0690000000000008</v>
      </c>
      <c r="I19" s="69">
        <v>11.329000000000001</v>
      </c>
      <c r="J19" s="677">
        <v>14.404</v>
      </c>
      <c r="K19" s="69">
        <v>11.066000000000001</v>
      </c>
      <c r="L19" s="69">
        <v>11.1</v>
      </c>
      <c r="M19" s="69">
        <v>-0.2</v>
      </c>
      <c r="N19" s="69">
        <v>-3.9</v>
      </c>
      <c r="O19" s="676">
        <v>-0.6</v>
      </c>
      <c r="P19" s="69">
        <v>5.3</v>
      </c>
      <c r="Q19" s="69">
        <v>4.8</v>
      </c>
      <c r="R19" s="677">
        <v>6.6</v>
      </c>
      <c r="S19" s="69">
        <v>2.5</v>
      </c>
      <c r="T19" s="69">
        <v>4.7</v>
      </c>
      <c r="U19" s="69">
        <v>7.3</v>
      </c>
      <c r="V19" s="69">
        <v>9.8000000000000007</v>
      </c>
      <c r="W19" s="678" t="s">
        <v>283</v>
      </c>
      <c r="X19" s="94" t="s">
        <v>283</v>
      </c>
      <c r="Y19" s="94" t="s">
        <v>283</v>
      </c>
      <c r="Z19" s="679" t="s">
        <v>283</v>
      </c>
      <c r="AA19" s="94" t="s">
        <v>283</v>
      </c>
      <c r="AB19" s="94" t="s">
        <v>283</v>
      </c>
      <c r="AC19" s="94" t="s">
        <v>283</v>
      </c>
      <c r="AD19" s="94" t="s">
        <v>283</v>
      </c>
      <c r="AE19" s="678" t="s">
        <v>283</v>
      </c>
      <c r="AF19" s="94" t="s">
        <v>283</v>
      </c>
      <c r="AG19" s="94" t="s">
        <v>283</v>
      </c>
      <c r="AH19" s="679" t="s">
        <v>283</v>
      </c>
      <c r="AI19" s="94" t="s">
        <v>283</v>
      </c>
      <c r="AJ19" s="94" t="s">
        <v>283</v>
      </c>
      <c r="AK19" s="94" t="s">
        <v>283</v>
      </c>
      <c r="AL19" s="94" t="s">
        <v>283</v>
      </c>
      <c r="AM19" s="678" t="s">
        <v>283</v>
      </c>
      <c r="AN19" s="94" t="s">
        <v>283</v>
      </c>
      <c r="AO19" s="94" t="s">
        <v>283</v>
      </c>
      <c r="AP19" s="679" t="s">
        <v>283</v>
      </c>
      <c r="AQ19" s="94" t="s">
        <v>283</v>
      </c>
      <c r="AR19" s="94" t="s">
        <v>283</v>
      </c>
      <c r="AS19" s="94" t="s">
        <v>283</v>
      </c>
      <c r="AT19" s="679" t="s">
        <v>283</v>
      </c>
      <c r="AU19" s="94" t="s">
        <v>283</v>
      </c>
      <c r="AV19" s="94" t="s">
        <v>283</v>
      </c>
      <c r="AW19" s="94" t="s">
        <v>283</v>
      </c>
      <c r="AX19" s="679" t="s">
        <v>283</v>
      </c>
      <c r="AY19" s="4"/>
      <c r="AZ19" s="4"/>
      <c r="BA19" s="4"/>
      <c r="BB19" s="4"/>
    </row>
    <row r="20" spans="1:54" ht="25.5">
      <c r="A20" s="71" t="s">
        <v>343</v>
      </c>
      <c r="B20" s="693" t="s">
        <v>344</v>
      </c>
      <c r="C20" s="69">
        <v>-0.73</v>
      </c>
      <c r="D20" s="69">
        <v>-1.5010000000000001</v>
      </c>
      <c r="E20" s="69">
        <v>-2.044</v>
      </c>
      <c r="F20" s="69">
        <v>-2.8970000000000002</v>
      </c>
      <c r="G20" s="676">
        <v>-0.76200000000000001</v>
      </c>
      <c r="H20" s="69">
        <v>-1.58</v>
      </c>
      <c r="I20" s="69">
        <v>-2.3290000000000002</v>
      </c>
      <c r="J20" s="677">
        <v>-2.9239999999999999</v>
      </c>
      <c r="K20" s="69">
        <v>-0.63300000000000001</v>
      </c>
      <c r="L20" s="69">
        <v>-1.3</v>
      </c>
      <c r="M20" s="69">
        <v>-2</v>
      </c>
      <c r="N20" s="69">
        <v>-2.6</v>
      </c>
      <c r="O20" s="676">
        <v>-0.5</v>
      </c>
      <c r="P20" s="69">
        <v>-1.4</v>
      </c>
      <c r="Q20" s="69">
        <v>-1.9</v>
      </c>
      <c r="R20" s="677">
        <v>-2.6</v>
      </c>
      <c r="S20" s="69">
        <v>-0.8</v>
      </c>
      <c r="T20" s="69">
        <v>0</v>
      </c>
      <c r="U20" s="69">
        <v>0</v>
      </c>
      <c r="V20" s="69">
        <v>0</v>
      </c>
      <c r="W20" s="678" t="s">
        <v>283</v>
      </c>
      <c r="X20" s="94" t="s">
        <v>283</v>
      </c>
      <c r="Y20" s="94" t="s">
        <v>283</v>
      </c>
      <c r="Z20" s="679" t="s">
        <v>283</v>
      </c>
      <c r="AA20" s="94" t="s">
        <v>283</v>
      </c>
      <c r="AB20" s="94" t="s">
        <v>283</v>
      </c>
      <c r="AC20" s="94" t="s">
        <v>283</v>
      </c>
      <c r="AD20" s="94" t="s">
        <v>283</v>
      </c>
      <c r="AE20" s="678" t="s">
        <v>283</v>
      </c>
      <c r="AF20" s="94" t="s">
        <v>283</v>
      </c>
      <c r="AG20" s="94" t="s">
        <v>283</v>
      </c>
      <c r="AH20" s="679" t="s">
        <v>283</v>
      </c>
      <c r="AI20" s="94" t="s">
        <v>283</v>
      </c>
      <c r="AJ20" s="94" t="s">
        <v>283</v>
      </c>
      <c r="AK20" s="94" t="s">
        <v>283</v>
      </c>
      <c r="AL20" s="94" t="s">
        <v>283</v>
      </c>
      <c r="AM20" s="678" t="s">
        <v>283</v>
      </c>
      <c r="AN20" s="94" t="s">
        <v>283</v>
      </c>
      <c r="AO20" s="94" t="s">
        <v>283</v>
      </c>
      <c r="AP20" s="679" t="s">
        <v>283</v>
      </c>
      <c r="AQ20" s="94" t="s">
        <v>283</v>
      </c>
      <c r="AR20" s="94" t="s">
        <v>283</v>
      </c>
      <c r="AS20" s="94" t="s">
        <v>283</v>
      </c>
      <c r="AT20" s="679" t="s">
        <v>283</v>
      </c>
      <c r="AU20" s="94" t="s">
        <v>283</v>
      </c>
      <c r="AV20" s="94" t="s">
        <v>283</v>
      </c>
      <c r="AW20" s="94" t="s">
        <v>283</v>
      </c>
      <c r="AX20" s="679" t="s">
        <v>283</v>
      </c>
      <c r="AY20" s="4"/>
      <c r="AZ20" s="4"/>
      <c r="BA20" s="4"/>
      <c r="BB20" s="4"/>
    </row>
    <row r="21" spans="1:54" ht="25.5">
      <c r="A21" s="199" t="s">
        <v>345</v>
      </c>
      <c r="B21" s="694" t="s">
        <v>346</v>
      </c>
      <c r="C21" s="69">
        <v>-0.73</v>
      </c>
      <c r="D21" s="69"/>
      <c r="E21" s="69"/>
      <c r="F21" s="69"/>
      <c r="G21" s="676"/>
      <c r="H21" s="69"/>
      <c r="I21" s="69"/>
      <c r="J21" s="677"/>
      <c r="K21" s="69"/>
      <c r="L21" s="69"/>
      <c r="M21" s="69"/>
      <c r="N21" s="69"/>
      <c r="O21" s="676"/>
      <c r="P21" s="69"/>
      <c r="Q21" s="69"/>
      <c r="R21" s="677"/>
      <c r="S21" s="69"/>
      <c r="T21" s="69"/>
      <c r="U21" s="69"/>
      <c r="V21" s="69">
        <v>0</v>
      </c>
      <c r="W21" s="678"/>
      <c r="X21" s="94"/>
      <c r="Y21" s="94"/>
      <c r="Z21" s="677">
        <v>-2.8</v>
      </c>
      <c r="AA21" s="69">
        <v>-5.2</v>
      </c>
      <c r="AB21" s="69">
        <v>-5.0999999999999996</v>
      </c>
      <c r="AC21" s="69">
        <v>-1.6</v>
      </c>
      <c r="AD21" s="69">
        <v>1.2</v>
      </c>
      <c r="AE21" s="676">
        <v>1.7</v>
      </c>
      <c r="AF21" s="69">
        <v>3.6</v>
      </c>
      <c r="AG21" s="69">
        <v>4.9000000000000004</v>
      </c>
      <c r="AH21" s="677">
        <v>6.5</v>
      </c>
      <c r="AI21" s="69">
        <v>1.7</v>
      </c>
      <c r="AJ21" s="69">
        <v>3.6</v>
      </c>
      <c r="AK21" s="69">
        <v>4.9000000000000004</v>
      </c>
      <c r="AL21" s="69">
        <v>6.5</v>
      </c>
      <c r="AM21" s="676">
        <v>-16.3</v>
      </c>
      <c r="AN21" s="69">
        <v>-34.1</v>
      </c>
      <c r="AO21" s="69">
        <v>-47.6</v>
      </c>
      <c r="AP21" s="677">
        <v>-2</v>
      </c>
      <c r="AQ21" s="69">
        <v>-16.5</v>
      </c>
      <c r="AR21" s="69">
        <v>-41.5</v>
      </c>
      <c r="AS21" s="69">
        <v>-64</v>
      </c>
      <c r="AT21" s="677">
        <v>-75.400000000000006</v>
      </c>
      <c r="AU21" s="69">
        <v>-14.7</v>
      </c>
      <c r="AV21" s="69">
        <v>-38.9</v>
      </c>
      <c r="AW21" s="69"/>
      <c r="AX21" s="677"/>
      <c r="AY21" s="4"/>
      <c r="AZ21" s="4"/>
      <c r="BA21" s="4"/>
      <c r="BB21" s="4"/>
    </row>
    <row r="22" spans="1:54" ht="20.100000000000001" customHeight="1">
      <c r="A22" s="71" t="s">
        <v>347</v>
      </c>
      <c r="B22" s="693" t="s">
        <v>348</v>
      </c>
      <c r="C22" s="69">
        <v>-87.786000000000001</v>
      </c>
      <c r="D22" s="69">
        <v>-51.798000000000002</v>
      </c>
      <c r="E22" s="69">
        <v>-102.06700000000001</v>
      </c>
      <c r="F22" s="69">
        <v>-111.07600000000001</v>
      </c>
      <c r="G22" s="676">
        <v>25.975999999999999</v>
      </c>
      <c r="H22" s="69">
        <v>77.412999999999997</v>
      </c>
      <c r="I22" s="69">
        <v>39.252000000000002</v>
      </c>
      <c r="J22" s="677">
        <v>16.294</v>
      </c>
      <c r="K22" s="69">
        <v>10.337</v>
      </c>
      <c r="L22" s="69">
        <v>8.8000000000000007</v>
      </c>
      <c r="M22" s="69">
        <v>164.9</v>
      </c>
      <c r="N22" s="69">
        <v>369.9</v>
      </c>
      <c r="O22" s="676">
        <v>37.1</v>
      </c>
      <c r="P22" s="69">
        <v>99.2</v>
      </c>
      <c r="Q22" s="69">
        <v>135.80000000000001</v>
      </c>
      <c r="R22" s="677">
        <v>222</v>
      </c>
      <c r="S22" s="69">
        <v>250.2</v>
      </c>
      <c r="T22" s="69">
        <v>276.10000000000002</v>
      </c>
      <c r="U22" s="69">
        <v>258.3</v>
      </c>
      <c r="V22" s="69">
        <v>270.89999999999998</v>
      </c>
      <c r="W22" s="676">
        <v>-28.4</v>
      </c>
      <c r="X22" s="69">
        <v>-27.4</v>
      </c>
      <c r="Y22" s="69">
        <v>-15.1</v>
      </c>
      <c r="Z22" s="677">
        <v>-31.1</v>
      </c>
      <c r="AA22" s="69">
        <v>4.5999999999999996</v>
      </c>
      <c r="AB22" s="69">
        <v>24.1</v>
      </c>
      <c r="AC22" s="69">
        <v>11.1</v>
      </c>
      <c r="AD22" s="69">
        <v>15.8</v>
      </c>
      <c r="AE22" s="676">
        <v>1.1000000000000001</v>
      </c>
      <c r="AF22" s="69">
        <v>-3.3</v>
      </c>
      <c r="AG22" s="69">
        <v>5.7</v>
      </c>
      <c r="AH22" s="677">
        <v>-2.2999999999999998</v>
      </c>
      <c r="AI22" s="69">
        <v>1.9</v>
      </c>
      <c r="AJ22" s="69">
        <v>-6.3</v>
      </c>
      <c r="AK22" s="69">
        <v>12.2</v>
      </c>
      <c r="AL22" s="69">
        <v>-4.8</v>
      </c>
      <c r="AM22" s="676">
        <v>41.2</v>
      </c>
      <c r="AN22" s="69">
        <v>29.4</v>
      </c>
      <c r="AO22" s="69">
        <v>35.9</v>
      </c>
      <c r="AP22" s="677">
        <v>45.8</v>
      </c>
      <c r="AQ22" s="69">
        <v>8.3000000000000007</v>
      </c>
      <c r="AR22" s="69">
        <v>-9.1</v>
      </c>
      <c r="AS22" s="69">
        <v>0.2</v>
      </c>
      <c r="AT22" s="677">
        <v>-1.9</v>
      </c>
      <c r="AU22" s="69">
        <v>2.6</v>
      </c>
      <c r="AV22" s="69">
        <v>6.9</v>
      </c>
      <c r="AW22" s="69"/>
      <c r="AX22" s="677"/>
      <c r="AY22" s="4"/>
      <c r="AZ22" s="4"/>
      <c r="BA22" s="4"/>
      <c r="BB22" s="4"/>
    </row>
    <row r="23" spans="1:54" ht="20.100000000000001" customHeight="1">
      <c r="A23" s="71" t="s">
        <v>349</v>
      </c>
      <c r="B23" s="693" t="s">
        <v>73</v>
      </c>
      <c r="C23" s="69">
        <v>41.158999999999999</v>
      </c>
      <c r="D23" s="69">
        <v>54.56</v>
      </c>
      <c r="E23" s="69">
        <v>80.768000000000001</v>
      </c>
      <c r="F23" s="69">
        <v>97.349000000000004</v>
      </c>
      <c r="G23" s="676">
        <v>14.031000000000001</v>
      </c>
      <c r="H23" s="69">
        <v>27.457000000000001</v>
      </c>
      <c r="I23" s="69">
        <v>51.835000000000001</v>
      </c>
      <c r="J23" s="677">
        <v>67.376000000000005</v>
      </c>
      <c r="K23" s="69">
        <v>14.384</v>
      </c>
      <c r="L23" s="69">
        <v>31.1</v>
      </c>
      <c r="M23" s="69">
        <v>32.200000000000003</v>
      </c>
      <c r="N23" s="69">
        <v>21.7</v>
      </c>
      <c r="O23" s="676">
        <v>26</v>
      </c>
      <c r="P23" s="69">
        <v>71.900000000000006</v>
      </c>
      <c r="Q23" s="69">
        <v>182.7</v>
      </c>
      <c r="R23" s="677">
        <v>169</v>
      </c>
      <c r="S23" s="69">
        <v>27.2</v>
      </c>
      <c r="T23" s="69">
        <v>48.4</v>
      </c>
      <c r="U23" s="69">
        <v>113.5</v>
      </c>
      <c r="V23" s="69">
        <v>12.4</v>
      </c>
      <c r="W23" s="676">
        <v>30.8</v>
      </c>
      <c r="X23" s="69">
        <v>138.4</v>
      </c>
      <c r="Y23" s="69">
        <v>192.6</v>
      </c>
      <c r="Z23" s="677">
        <v>389.8</v>
      </c>
      <c r="AA23" s="69">
        <v>72.5</v>
      </c>
      <c r="AB23" s="69">
        <v>171.8</v>
      </c>
      <c r="AC23" s="69">
        <v>247.8</v>
      </c>
      <c r="AD23" s="69">
        <v>490</v>
      </c>
      <c r="AE23" s="676">
        <v>78</v>
      </c>
      <c r="AF23" s="69">
        <v>164.9</v>
      </c>
      <c r="AG23" s="69">
        <v>236.9</v>
      </c>
      <c r="AH23" s="677">
        <v>355.8</v>
      </c>
      <c r="AI23" s="69">
        <v>77.3</v>
      </c>
      <c r="AJ23" s="69">
        <v>163.80000000000001</v>
      </c>
      <c r="AK23" s="69">
        <v>233.3</v>
      </c>
      <c r="AL23" s="69">
        <v>353</v>
      </c>
      <c r="AM23" s="676">
        <v>66.7</v>
      </c>
      <c r="AN23" s="69">
        <v>139</v>
      </c>
      <c r="AO23" s="69">
        <v>220.6</v>
      </c>
      <c r="AP23" s="677">
        <v>295.89999999999998</v>
      </c>
      <c r="AQ23" s="69">
        <v>108.1</v>
      </c>
      <c r="AR23" s="69">
        <v>222.4</v>
      </c>
      <c r="AS23" s="69">
        <v>1156.4000000000001</v>
      </c>
      <c r="AT23" s="677">
        <v>1251.5999999999999</v>
      </c>
      <c r="AU23" s="69">
        <v>52.3</v>
      </c>
      <c r="AV23" s="69">
        <v>94.6</v>
      </c>
      <c r="AW23" s="69"/>
      <c r="AX23" s="677"/>
      <c r="AY23" s="4"/>
      <c r="AZ23" s="4"/>
      <c r="BA23" s="4"/>
      <c r="BB23" s="4"/>
    </row>
    <row r="24" spans="1:54" ht="20.100000000000001" customHeight="1">
      <c r="A24" s="71" t="s">
        <v>350</v>
      </c>
      <c r="B24" s="694" t="s">
        <v>351</v>
      </c>
      <c r="C24" s="69">
        <v>-38.363</v>
      </c>
      <c r="D24" s="69">
        <v>-76.626000000000005</v>
      </c>
      <c r="E24" s="69">
        <v>-120.02500000000001</v>
      </c>
      <c r="F24" s="69">
        <v>-164.00800000000001</v>
      </c>
      <c r="G24" s="676">
        <v>-40.92</v>
      </c>
      <c r="H24" s="69">
        <v>-81.858999999999995</v>
      </c>
      <c r="I24" s="69">
        <v>-116.813</v>
      </c>
      <c r="J24" s="677">
        <v>-158.85900000000001</v>
      </c>
      <c r="K24" s="69">
        <v>-30.564</v>
      </c>
      <c r="L24" s="69">
        <v>-65.3</v>
      </c>
      <c r="M24" s="69">
        <v>-142.1</v>
      </c>
      <c r="N24" s="69">
        <v>-193.1</v>
      </c>
      <c r="O24" s="676">
        <v>-43.6</v>
      </c>
      <c r="P24" s="69">
        <v>-72.2</v>
      </c>
      <c r="Q24" s="69">
        <v>-96.7</v>
      </c>
      <c r="R24" s="677">
        <v>-134.69999999999999</v>
      </c>
      <c r="S24" s="69">
        <v>-31.1</v>
      </c>
      <c r="T24" s="69">
        <v>-71.2</v>
      </c>
      <c r="U24" s="69">
        <v>-111</v>
      </c>
      <c r="V24" s="69">
        <v>-153</v>
      </c>
      <c r="W24" s="676">
        <v>-33.1</v>
      </c>
      <c r="X24" s="69">
        <v>-65.599999999999994</v>
      </c>
      <c r="Y24" s="69">
        <v>-97.4</v>
      </c>
      <c r="Z24" s="677">
        <v>-137.5</v>
      </c>
      <c r="AA24" s="69">
        <v>-25.7</v>
      </c>
      <c r="AB24" s="69">
        <v>-42.9</v>
      </c>
      <c r="AC24" s="69">
        <v>-61.2</v>
      </c>
      <c r="AD24" s="69">
        <v>-83.9</v>
      </c>
      <c r="AE24" s="676">
        <v>-25.8</v>
      </c>
      <c r="AF24" s="69">
        <v>-48.8</v>
      </c>
      <c r="AG24" s="69">
        <v>-79.5</v>
      </c>
      <c r="AH24" s="677">
        <v>-122.8</v>
      </c>
      <c r="AI24" s="69">
        <v>-25.8</v>
      </c>
      <c r="AJ24" s="69">
        <v>-48.8</v>
      </c>
      <c r="AK24" s="69">
        <v>-79.5</v>
      </c>
      <c r="AL24" s="69">
        <v>-122.8</v>
      </c>
      <c r="AM24" s="676">
        <v>-33.1</v>
      </c>
      <c r="AN24" s="69">
        <v>-71</v>
      </c>
      <c r="AO24" s="69">
        <v>-112.2</v>
      </c>
      <c r="AP24" s="677">
        <v>-147.1</v>
      </c>
      <c r="AQ24" s="69">
        <v>-33.9</v>
      </c>
      <c r="AR24" s="69">
        <v>-55.5</v>
      </c>
      <c r="AS24" s="69">
        <v>-78.099999999999994</v>
      </c>
      <c r="AT24" s="677">
        <v>-110</v>
      </c>
      <c r="AU24" s="69">
        <v>-37.700000000000003</v>
      </c>
      <c r="AV24" s="69">
        <v>-66.400000000000006</v>
      </c>
      <c r="AW24" s="69"/>
      <c r="AX24" s="677"/>
      <c r="AY24" s="4"/>
      <c r="AZ24" s="4"/>
      <c r="BA24" s="4"/>
      <c r="BB24" s="4"/>
    </row>
    <row r="25" spans="1:54" ht="38.25">
      <c r="A25" s="71" t="s">
        <v>352</v>
      </c>
      <c r="B25" s="693" t="s">
        <v>353</v>
      </c>
      <c r="C25" s="70">
        <v>0</v>
      </c>
      <c r="D25" s="70">
        <v>0</v>
      </c>
      <c r="E25" s="70">
        <v>0</v>
      </c>
      <c r="F25" s="70">
        <v>0</v>
      </c>
      <c r="G25" s="697">
        <v>0</v>
      </c>
      <c r="H25" s="70">
        <v>0</v>
      </c>
      <c r="I25" s="70">
        <v>0</v>
      </c>
      <c r="J25" s="698">
        <v>0</v>
      </c>
      <c r="K25" s="70">
        <v>0</v>
      </c>
      <c r="L25" s="69">
        <v>82.1</v>
      </c>
      <c r="M25" s="69">
        <v>82.1</v>
      </c>
      <c r="N25" s="69">
        <v>82.1</v>
      </c>
      <c r="O25" s="676">
        <v>0</v>
      </c>
      <c r="P25" s="69">
        <v>0</v>
      </c>
      <c r="Q25" s="69">
        <v>-371.4</v>
      </c>
      <c r="R25" s="677">
        <v>-371.4</v>
      </c>
      <c r="S25" s="69">
        <v>0</v>
      </c>
      <c r="T25" s="69">
        <v>0</v>
      </c>
      <c r="U25" s="69">
        <v>0</v>
      </c>
      <c r="V25" s="69">
        <v>0</v>
      </c>
      <c r="W25" s="676">
        <v>0</v>
      </c>
      <c r="X25" s="69">
        <v>0</v>
      </c>
      <c r="Y25" s="69">
        <v>0</v>
      </c>
      <c r="Z25" s="677">
        <v>0</v>
      </c>
      <c r="AA25" s="69">
        <v>0</v>
      </c>
      <c r="AB25" s="69">
        <v>0</v>
      </c>
      <c r="AC25" s="69">
        <v>0</v>
      </c>
      <c r="AD25" s="69">
        <v>0</v>
      </c>
      <c r="AE25" s="676">
        <v>0</v>
      </c>
      <c r="AF25" s="69">
        <v>0</v>
      </c>
      <c r="AG25" s="69">
        <v>0</v>
      </c>
      <c r="AH25" s="677">
        <v>0</v>
      </c>
      <c r="AI25" s="69">
        <v>0</v>
      </c>
      <c r="AJ25" s="69">
        <v>0</v>
      </c>
      <c r="AK25" s="69">
        <v>0</v>
      </c>
      <c r="AL25" s="69">
        <v>0</v>
      </c>
      <c r="AM25" s="676">
        <v>0</v>
      </c>
      <c r="AN25" s="69">
        <v>0</v>
      </c>
      <c r="AO25" s="69">
        <v>0</v>
      </c>
      <c r="AP25" s="677">
        <v>0</v>
      </c>
      <c r="AQ25" s="69">
        <v>0</v>
      </c>
      <c r="AR25" s="69">
        <v>0</v>
      </c>
      <c r="AS25" s="69">
        <v>0</v>
      </c>
      <c r="AT25" s="677">
        <v>0</v>
      </c>
      <c r="AU25" s="69">
        <v>0</v>
      </c>
      <c r="AV25" s="69">
        <v>0</v>
      </c>
      <c r="AW25" s="69"/>
      <c r="AX25" s="677"/>
      <c r="AY25" s="4"/>
      <c r="AZ25" s="4"/>
      <c r="BA25" s="4"/>
      <c r="BB25" s="4"/>
    </row>
    <row r="26" spans="1:54" ht="20.100000000000001" customHeight="1">
      <c r="A26" s="71" t="s">
        <v>354</v>
      </c>
      <c r="B26" s="693" t="s">
        <v>355</v>
      </c>
      <c r="C26" s="70"/>
      <c r="D26" s="70"/>
      <c r="E26" s="70"/>
      <c r="F26" s="70"/>
      <c r="G26" s="697"/>
      <c r="H26" s="70"/>
      <c r="I26" s="70"/>
      <c r="J26" s="698"/>
      <c r="K26" s="70"/>
      <c r="L26" s="69"/>
      <c r="M26" s="69"/>
      <c r="N26" s="69"/>
      <c r="O26" s="676"/>
      <c r="P26" s="69"/>
      <c r="Q26" s="69"/>
      <c r="R26" s="677"/>
      <c r="S26" s="69"/>
      <c r="T26" s="69"/>
      <c r="U26" s="69"/>
      <c r="V26" s="69">
        <v>0</v>
      </c>
      <c r="W26" s="676">
        <v>58.7</v>
      </c>
      <c r="X26" s="69">
        <v>58.7</v>
      </c>
      <c r="Y26" s="69">
        <v>58.7</v>
      </c>
      <c r="Z26" s="677">
        <v>58.7</v>
      </c>
      <c r="AA26" s="69">
        <v>0</v>
      </c>
      <c r="AB26" s="69">
        <v>0</v>
      </c>
      <c r="AC26" s="263">
        <v>0</v>
      </c>
      <c r="AD26" s="69">
        <v>0</v>
      </c>
      <c r="AE26" s="676">
        <v>0</v>
      </c>
      <c r="AF26" s="69">
        <v>0</v>
      </c>
      <c r="AG26" s="263">
        <v>0</v>
      </c>
      <c r="AH26" s="677">
        <v>0</v>
      </c>
      <c r="AI26" s="69">
        <v>0</v>
      </c>
      <c r="AJ26" s="69">
        <v>0</v>
      </c>
      <c r="AK26" s="263">
        <v>0</v>
      </c>
      <c r="AL26" s="69">
        <v>0</v>
      </c>
      <c r="AM26" s="676">
        <v>0</v>
      </c>
      <c r="AN26" s="69">
        <v>0</v>
      </c>
      <c r="AO26" s="263">
        <v>0</v>
      </c>
      <c r="AP26" s="677">
        <v>0</v>
      </c>
      <c r="AQ26" s="69">
        <v>0</v>
      </c>
      <c r="AR26" s="69">
        <v>0</v>
      </c>
      <c r="AS26" s="263">
        <v>0</v>
      </c>
      <c r="AT26" s="677">
        <v>0</v>
      </c>
      <c r="AU26" s="69">
        <v>0</v>
      </c>
      <c r="AV26" s="69">
        <v>0</v>
      </c>
      <c r="AW26" s="263"/>
      <c r="AX26" s="677"/>
      <c r="AY26" s="4"/>
      <c r="AZ26" s="4"/>
      <c r="BA26" s="4"/>
      <c r="BB26" s="4"/>
    </row>
    <row r="27" spans="1:54" ht="20.100000000000001" customHeight="1">
      <c r="A27" s="71" t="s">
        <v>356</v>
      </c>
      <c r="B27" s="693" t="s">
        <v>357</v>
      </c>
      <c r="C27" s="70">
        <v>0</v>
      </c>
      <c r="D27" s="70">
        <v>0</v>
      </c>
      <c r="E27" s="70">
        <v>0</v>
      </c>
      <c r="F27" s="70">
        <v>0</v>
      </c>
      <c r="G27" s="697">
        <v>0</v>
      </c>
      <c r="H27" s="70">
        <v>0</v>
      </c>
      <c r="I27" s="70">
        <v>0</v>
      </c>
      <c r="J27" s="698">
        <v>0</v>
      </c>
      <c r="K27" s="70">
        <v>0</v>
      </c>
      <c r="L27" s="69">
        <v>16.5</v>
      </c>
      <c r="M27" s="69">
        <v>55.4</v>
      </c>
      <c r="N27" s="69">
        <v>84.3</v>
      </c>
      <c r="O27" s="676">
        <v>10.6</v>
      </c>
      <c r="P27" s="69">
        <v>33.9</v>
      </c>
      <c r="Q27" s="69">
        <v>37.6</v>
      </c>
      <c r="R27" s="677">
        <v>53</v>
      </c>
      <c r="S27" s="69">
        <v>-174.6</v>
      </c>
      <c r="T27" s="69">
        <v>-160.19999999999999</v>
      </c>
      <c r="U27" s="69">
        <v>-161.9</v>
      </c>
      <c r="V27" s="69">
        <v>-164.9</v>
      </c>
      <c r="W27" s="676">
        <v>-0.1</v>
      </c>
      <c r="X27" s="69">
        <v>0.9</v>
      </c>
      <c r="Y27" s="69">
        <v>-1.3</v>
      </c>
      <c r="Z27" s="677">
        <v>-1.5</v>
      </c>
      <c r="AA27" s="94" t="s">
        <v>283</v>
      </c>
      <c r="AB27" s="94" t="s">
        <v>283</v>
      </c>
      <c r="AC27" s="94" t="s">
        <v>283</v>
      </c>
      <c r="AD27" s="94" t="s">
        <v>283</v>
      </c>
      <c r="AE27" s="678" t="s">
        <v>283</v>
      </c>
      <c r="AF27" s="94" t="s">
        <v>283</v>
      </c>
      <c r="AG27" s="94" t="s">
        <v>283</v>
      </c>
      <c r="AH27" s="679" t="s">
        <v>283</v>
      </c>
      <c r="AI27" s="94" t="s">
        <v>283</v>
      </c>
      <c r="AJ27" s="94" t="s">
        <v>283</v>
      </c>
      <c r="AK27" s="94" t="s">
        <v>283</v>
      </c>
      <c r="AL27" s="94" t="s">
        <v>283</v>
      </c>
      <c r="AM27" s="678" t="s">
        <v>283</v>
      </c>
      <c r="AN27" s="94" t="s">
        <v>283</v>
      </c>
      <c r="AO27" s="94" t="s">
        <v>283</v>
      </c>
      <c r="AP27" s="679" t="s">
        <v>283</v>
      </c>
      <c r="AQ27" s="94" t="s">
        <v>283</v>
      </c>
      <c r="AR27" s="94" t="s">
        <v>283</v>
      </c>
      <c r="AS27" s="94" t="s">
        <v>283</v>
      </c>
      <c r="AT27" s="679" t="s">
        <v>283</v>
      </c>
      <c r="AU27" s="94" t="s">
        <v>283</v>
      </c>
      <c r="AV27" s="94" t="s">
        <v>283</v>
      </c>
      <c r="AW27" s="94" t="s">
        <v>283</v>
      </c>
      <c r="AX27" s="679" t="s">
        <v>283</v>
      </c>
      <c r="AY27" s="4"/>
      <c r="AZ27" s="4"/>
      <c r="BA27" s="4"/>
      <c r="BB27" s="4"/>
    </row>
    <row r="28" spans="1:54" ht="20.100000000000001" customHeight="1">
      <c r="A28" s="71" t="s">
        <v>56</v>
      </c>
      <c r="B28" s="693" t="s">
        <v>358</v>
      </c>
      <c r="C28" s="70"/>
      <c r="D28" s="70"/>
      <c r="E28" s="70"/>
      <c r="F28" s="70"/>
      <c r="G28" s="697"/>
      <c r="H28" s="70"/>
      <c r="I28" s="70"/>
      <c r="J28" s="698"/>
      <c r="K28" s="70"/>
      <c r="L28" s="69"/>
      <c r="M28" s="69"/>
      <c r="N28" s="69"/>
      <c r="O28" s="676"/>
      <c r="P28" s="69"/>
      <c r="Q28" s="69"/>
      <c r="R28" s="677"/>
      <c r="S28" s="69"/>
      <c r="T28" s="69"/>
      <c r="U28" s="69"/>
      <c r="V28" s="69"/>
      <c r="W28" s="676"/>
      <c r="X28" s="69"/>
      <c r="Y28" s="69"/>
      <c r="Z28" s="677"/>
      <c r="AA28" s="94"/>
      <c r="AB28" s="94"/>
      <c r="AC28" s="94"/>
      <c r="AD28" s="94"/>
      <c r="AE28" s="678"/>
      <c r="AF28" s="94"/>
      <c r="AG28" s="94"/>
      <c r="AH28" s="679"/>
      <c r="AI28" s="94"/>
      <c r="AJ28" s="94"/>
      <c r="AK28" s="94"/>
      <c r="AL28" s="94"/>
      <c r="AM28" s="678"/>
      <c r="AN28" s="94"/>
      <c r="AO28" s="94"/>
      <c r="AP28" s="679"/>
      <c r="AQ28" s="94"/>
      <c r="AR28" s="94"/>
      <c r="AS28" s="69">
        <v>-3690.8</v>
      </c>
      <c r="AT28" s="677">
        <v>-3680.6</v>
      </c>
      <c r="AU28" s="94">
        <v>0</v>
      </c>
      <c r="AV28" s="94">
        <v>0</v>
      </c>
      <c r="AW28" s="69"/>
      <c r="AX28" s="677"/>
      <c r="AY28" s="4"/>
      <c r="AZ28" s="4"/>
      <c r="BA28" s="4"/>
      <c r="BB28" s="4"/>
    </row>
    <row r="29" spans="1:54" ht="25.5">
      <c r="A29" s="71" t="s">
        <v>359</v>
      </c>
      <c r="B29" s="693" t="s">
        <v>360</v>
      </c>
      <c r="C29" s="70"/>
      <c r="D29" s="70"/>
      <c r="E29" s="70"/>
      <c r="F29" s="70"/>
      <c r="G29" s="697"/>
      <c r="H29" s="70"/>
      <c r="I29" s="70"/>
      <c r="J29" s="698"/>
      <c r="K29" s="70"/>
      <c r="L29" s="69"/>
      <c r="M29" s="69"/>
      <c r="N29" s="69"/>
      <c r="O29" s="676"/>
      <c r="P29" s="69"/>
      <c r="Q29" s="69"/>
      <c r="R29" s="677"/>
      <c r="S29" s="69"/>
      <c r="T29" s="69"/>
      <c r="U29" s="69"/>
      <c r="V29" s="69"/>
      <c r="W29" s="676"/>
      <c r="X29" s="69"/>
      <c r="Y29" s="69"/>
      <c r="Z29" s="677"/>
      <c r="AA29" s="94"/>
      <c r="AB29" s="94"/>
      <c r="AC29" s="94"/>
      <c r="AD29" s="94"/>
      <c r="AE29" s="678"/>
      <c r="AF29" s="94"/>
      <c r="AG29" s="94"/>
      <c r="AH29" s="679"/>
      <c r="AI29" s="94"/>
      <c r="AJ29" s="94"/>
      <c r="AK29" s="94"/>
      <c r="AL29" s="94"/>
      <c r="AM29" s="678">
        <v>0</v>
      </c>
      <c r="AN29" s="69">
        <v>-44.8</v>
      </c>
      <c r="AO29" s="69">
        <v>-44.8</v>
      </c>
      <c r="AP29" s="680">
        <v>-44.8</v>
      </c>
      <c r="AQ29" s="94">
        <v>0</v>
      </c>
      <c r="AR29" s="69">
        <v>0</v>
      </c>
      <c r="AS29" s="69">
        <v>0</v>
      </c>
      <c r="AT29" s="680">
        <v>0</v>
      </c>
      <c r="AU29" s="94">
        <v>0</v>
      </c>
      <c r="AV29" s="69">
        <v>0</v>
      </c>
      <c r="AW29" s="69"/>
      <c r="AX29" s="680"/>
      <c r="AY29" s="4"/>
      <c r="AZ29" s="4"/>
      <c r="BA29" s="4"/>
      <c r="BB29" s="4"/>
    </row>
    <row r="30" spans="1:54" ht="20.100000000000001" customHeight="1" thickBot="1">
      <c r="A30" s="71" t="s">
        <v>361</v>
      </c>
      <c r="B30" s="693" t="s">
        <v>362</v>
      </c>
      <c r="C30" s="69">
        <v>0.245</v>
      </c>
      <c r="D30" s="69">
        <v>0.78500000000000003</v>
      </c>
      <c r="E30" s="69">
        <v>1.31</v>
      </c>
      <c r="F30" s="69">
        <v>3.5380000000000003</v>
      </c>
      <c r="G30" s="676">
        <v>1.484</v>
      </c>
      <c r="H30" s="69">
        <f>4.197+4.842</f>
        <v>9.0389999999999997</v>
      </c>
      <c r="I30" s="69">
        <f>5.852+4.842</f>
        <v>10.693999999999999</v>
      </c>
      <c r="J30" s="677">
        <v>11.93</v>
      </c>
      <c r="K30" s="69">
        <v>1.7790000000000001</v>
      </c>
      <c r="L30" s="69">
        <v>10.8</v>
      </c>
      <c r="M30" s="69">
        <v>11.7</v>
      </c>
      <c r="N30" s="69">
        <v>96.1</v>
      </c>
      <c r="O30" s="676">
        <v>-3</v>
      </c>
      <c r="P30" s="69">
        <v>9</v>
      </c>
      <c r="Q30" s="69">
        <v>19.600000000000001</v>
      </c>
      <c r="R30" s="677">
        <v>21.6</v>
      </c>
      <c r="S30" s="69">
        <v>2.5</v>
      </c>
      <c r="T30" s="69">
        <v>-1.9</v>
      </c>
      <c r="U30" s="69">
        <v>22.5</v>
      </c>
      <c r="V30" s="69">
        <v>24</v>
      </c>
      <c r="W30" s="676">
        <v>-2.1</v>
      </c>
      <c r="X30" s="69">
        <v>18.100000000000001</v>
      </c>
      <c r="Y30" s="69">
        <v>51.1</v>
      </c>
      <c r="Z30" s="677">
        <v>55.5</v>
      </c>
      <c r="AA30" s="69">
        <v>-18.2</v>
      </c>
      <c r="AB30" s="69">
        <v>2.5</v>
      </c>
      <c r="AC30" s="69">
        <v>18.2</v>
      </c>
      <c r="AD30" s="69">
        <v>-97.8</v>
      </c>
      <c r="AE30" s="676">
        <v>1.1000000000000001</v>
      </c>
      <c r="AF30" s="69">
        <v>-6.3</v>
      </c>
      <c r="AG30" s="69">
        <v>64.8</v>
      </c>
      <c r="AH30" s="677">
        <v>68.400000000000006</v>
      </c>
      <c r="AI30" s="69">
        <v>1.1000000000000001</v>
      </c>
      <c r="AJ30" s="69">
        <v>-6.3</v>
      </c>
      <c r="AK30" s="69">
        <v>64.8</v>
      </c>
      <c r="AL30" s="69">
        <v>68.400000000000006</v>
      </c>
      <c r="AM30" s="676">
        <v>-5.4</v>
      </c>
      <c r="AN30" s="69">
        <v>-3.3</v>
      </c>
      <c r="AO30" s="69">
        <v>14.4</v>
      </c>
      <c r="AP30" s="677">
        <v>31</v>
      </c>
      <c r="AQ30" s="69">
        <v>13.1</v>
      </c>
      <c r="AR30" s="69">
        <v>29.8</v>
      </c>
      <c r="AS30" s="69">
        <v>28.8</v>
      </c>
      <c r="AT30" s="677">
        <v>62.1</v>
      </c>
      <c r="AU30" s="69">
        <v>14.1</v>
      </c>
      <c r="AV30" s="69">
        <v>22.8</v>
      </c>
      <c r="AW30" s="69"/>
      <c r="AX30" s="677"/>
      <c r="AY30" s="4"/>
      <c r="AZ30" s="4"/>
      <c r="BA30" s="4"/>
      <c r="BB30" s="4"/>
    </row>
    <row r="31" spans="1:54" ht="20.100000000000001" customHeight="1" thickBot="1">
      <c r="A31" s="391" t="s">
        <v>363</v>
      </c>
      <c r="B31" s="692" t="s">
        <v>364</v>
      </c>
      <c r="C31" s="392">
        <f t="shared" ref="C31:AB31" si="4">C5+C6</f>
        <v>232.697</v>
      </c>
      <c r="D31" s="392">
        <f t="shared" si="4"/>
        <v>415.61099999999999</v>
      </c>
      <c r="E31" s="392">
        <f t="shared" si="4"/>
        <v>628.7700000000001</v>
      </c>
      <c r="F31" s="393">
        <f t="shared" si="4"/>
        <v>843.21800000000007</v>
      </c>
      <c r="G31" s="674">
        <f t="shared" si="4"/>
        <v>165.66199999999998</v>
      </c>
      <c r="H31" s="393">
        <f t="shared" si="4"/>
        <v>351.928</v>
      </c>
      <c r="I31" s="393">
        <f t="shared" si="4"/>
        <v>548.24399999999991</v>
      </c>
      <c r="J31" s="675">
        <f t="shared" si="4"/>
        <v>859.7349999999999</v>
      </c>
      <c r="K31" s="393">
        <f t="shared" si="4"/>
        <v>184.70400000000001</v>
      </c>
      <c r="L31" s="393">
        <f t="shared" si="4"/>
        <v>735.69999999999982</v>
      </c>
      <c r="M31" s="393">
        <f t="shared" si="4"/>
        <v>1423.9000000000003</v>
      </c>
      <c r="N31" s="393">
        <f t="shared" si="4"/>
        <v>2117.7999999999997</v>
      </c>
      <c r="O31" s="674">
        <f t="shared" si="4"/>
        <v>453.00000000000011</v>
      </c>
      <c r="P31" s="393">
        <f t="shared" si="4"/>
        <v>1327.9999999999995</v>
      </c>
      <c r="Q31" s="393">
        <f t="shared" si="4"/>
        <v>2173.4999999999991</v>
      </c>
      <c r="R31" s="675">
        <f t="shared" si="4"/>
        <v>2985.0999999999995</v>
      </c>
      <c r="S31" s="393">
        <f t="shared" si="4"/>
        <v>584.40000000000009</v>
      </c>
      <c r="T31" s="393">
        <f t="shared" si="4"/>
        <v>1549.4</v>
      </c>
      <c r="U31" s="393">
        <f t="shared" si="4"/>
        <v>2357.5000000000009</v>
      </c>
      <c r="V31" s="393">
        <f t="shared" si="4"/>
        <v>3151.5</v>
      </c>
      <c r="W31" s="674">
        <f t="shared" si="4"/>
        <v>780.70000000000027</v>
      </c>
      <c r="X31" s="393">
        <f t="shared" si="4"/>
        <v>1615.9</v>
      </c>
      <c r="Y31" s="393">
        <f t="shared" si="4"/>
        <v>2245.6999999999998</v>
      </c>
      <c r="Z31" s="675">
        <f t="shared" si="4"/>
        <v>3126.3</v>
      </c>
      <c r="AA31" s="393">
        <f t="shared" si="4"/>
        <v>633.10000000000014</v>
      </c>
      <c r="AB31" s="393">
        <f t="shared" si="4"/>
        <v>1396.9</v>
      </c>
      <c r="AC31" s="393">
        <v>2220.8000000000002</v>
      </c>
      <c r="AD31" s="393">
        <f t="shared" ref="AD31:AP31" si="5">AD5+AD6</f>
        <v>3232.1</v>
      </c>
      <c r="AE31" s="674">
        <f t="shared" si="5"/>
        <v>703.2</v>
      </c>
      <c r="AF31" s="393">
        <f t="shared" si="5"/>
        <v>1554.3000000000002</v>
      </c>
      <c r="AG31" s="393">
        <f t="shared" si="5"/>
        <v>2406.8000000000002</v>
      </c>
      <c r="AH31" s="675">
        <f t="shared" si="5"/>
        <v>3391.8</v>
      </c>
      <c r="AI31" s="393">
        <f t="shared" si="5"/>
        <v>762.2</v>
      </c>
      <c r="AJ31" s="393">
        <f t="shared" si="5"/>
        <v>1709.3000000000002</v>
      </c>
      <c r="AK31" s="393">
        <f t="shared" si="5"/>
        <v>2659.9000000000005</v>
      </c>
      <c r="AL31" s="393">
        <f t="shared" si="5"/>
        <v>3777.8999999999996</v>
      </c>
      <c r="AM31" s="674">
        <f t="shared" si="5"/>
        <v>860.98882651999998</v>
      </c>
      <c r="AN31" s="393">
        <f t="shared" si="5"/>
        <v>1706.8000000000004</v>
      </c>
      <c r="AO31" s="393">
        <f t="shared" si="5"/>
        <v>2655.2999999999997</v>
      </c>
      <c r="AP31" s="675">
        <f t="shared" si="5"/>
        <v>3797.8999999999996</v>
      </c>
      <c r="AQ31" s="393">
        <f t="shared" ref="AQ31:AS31" si="6">AQ5+AQ6</f>
        <v>994.30000000000007</v>
      </c>
      <c r="AR31" s="393">
        <f t="shared" si="6"/>
        <v>1885.8999999999999</v>
      </c>
      <c r="AS31" s="393">
        <f t="shared" si="6"/>
        <v>2795.8000000000011</v>
      </c>
      <c r="AT31" s="675">
        <f>AT5+AT6</f>
        <v>3689.699999999998</v>
      </c>
      <c r="AU31" s="393">
        <f t="shared" ref="AU31:AW31" si="7">AU5+AU6</f>
        <v>666.80000000000007</v>
      </c>
      <c r="AV31" s="786">
        <f t="shared" si="7"/>
        <v>1493.2999999999988</v>
      </c>
      <c r="AW31" s="393">
        <f t="shared" si="7"/>
        <v>0</v>
      </c>
      <c r="AX31" s="675">
        <f>AX5+AX6</f>
        <v>0</v>
      </c>
      <c r="AY31" s="4"/>
      <c r="AZ31" s="4"/>
      <c r="BA31" s="4"/>
      <c r="BB31" s="4"/>
    </row>
    <row r="32" spans="1:54" ht="20.100000000000001" customHeight="1">
      <c r="A32" s="71" t="s">
        <v>365</v>
      </c>
      <c r="B32" s="693" t="s">
        <v>366</v>
      </c>
      <c r="C32" s="69">
        <v>-12.561</v>
      </c>
      <c r="D32" s="69">
        <v>-47.188000000000002</v>
      </c>
      <c r="E32" s="69">
        <v>-59.765999999999998</v>
      </c>
      <c r="F32" s="69">
        <v>-78.733000000000004</v>
      </c>
      <c r="G32" s="676">
        <v>-13.763</v>
      </c>
      <c r="H32" s="69">
        <v>-26.318999999999999</v>
      </c>
      <c r="I32" s="69">
        <v>-37.451999999999998</v>
      </c>
      <c r="J32" s="677">
        <v>-67.486000000000004</v>
      </c>
      <c r="K32" s="69">
        <v>-17.809000000000001</v>
      </c>
      <c r="L32" s="69">
        <v>-99.5</v>
      </c>
      <c r="M32" s="69">
        <v>-135.19999999999999</v>
      </c>
      <c r="N32" s="69">
        <v>-189.1</v>
      </c>
      <c r="O32" s="676">
        <v>-48.5</v>
      </c>
      <c r="P32" s="69">
        <v>-44.2</v>
      </c>
      <c r="Q32" s="69">
        <v>-94.2</v>
      </c>
      <c r="R32" s="677">
        <v>-136.19999999999999</v>
      </c>
      <c r="S32" s="69">
        <v>-145.69999999999999</v>
      </c>
      <c r="T32" s="69">
        <v>-186.5</v>
      </c>
      <c r="U32" s="69">
        <v>-236.1</v>
      </c>
      <c r="V32" s="69">
        <v>-292.7</v>
      </c>
      <c r="W32" s="676">
        <v>-43.5</v>
      </c>
      <c r="X32" s="69">
        <v>-112.5</v>
      </c>
      <c r="Y32" s="69">
        <v>-181.5</v>
      </c>
      <c r="Z32" s="677">
        <v>-216.2</v>
      </c>
      <c r="AA32" s="69">
        <v>-70.599999999999994</v>
      </c>
      <c r="AB32" s="69">
        <v>-191.3</v>
      </c>
      <c r="AC32" s="69">
        <v>-265.10000000000002</v>
      </c>
      <c r="AD32" s="69">
        <v>-343.2</v>
      </c>
      <c r="AE32" s="676">
        <v>-66.099999999999994</v>
      </c>
      <c r="AF32" s="69">
        <v>-163</v>
      </c>
      <c r="AG32" s="69">
        <v>-252.5</v>
      </c>
      <c r="AH32" s="677">
        <v>-328.5</v>
      </c>
      <c r="AI32" s="69">
        <v>-66.099999999999994</v>
      </c>
      <c r="AJ32" s="69">
        <v>-163</v>
      </c>
      <c r="AK32" s="69">
        <v>-252.5</v>
      </c>
      <c r="AL32" s="69">
        <v>-328.5</v>
      </c>
      <c r="AM32" s="676">
        <v>-87.1</v>
      </c>
      <c r="AN32" s="69">
        <v>-360.4</v>
      </c>
      <c r="AO32" s="69">
        <v>-438.9</v>
      </c>
      <c r="AP32" s="677">
        <v>-552.9</v>
      </c>
      <c r="AQ32" s="69">
        <v>-106</v>
      </c>
      <c r="AR32" s="69">
        <v>-269.89999999999998</v>
      </c>
      <c r="AS32" s="69">
        <v>-356.9</v>
      </c>
      <c r="AT32" s="677">
        <v>-463</v>
      </c>
      <c r="AU32" s="69">
        <v>-98.9</v>
      </c>
      <c r="AV32" s="69">
        <v>-1079.9000000000001</v>
      </c>
      <c r="AW32" s="69"/>
      <c r="AX32" s="677"/>
      <c r="AY32" s="4"/>
      <c r="AZ32" s="4"/>
      <c r="BA32" s="4"/>
      <c r="BB32" s="4"/>
    </row>
    <row r="33" spans="1:54" ht="20.100000000000001" customHeight="1">
      <c r="A33" s="71" t="s">
        <v>367</v>
      </c>
      <c r="B33" s="693" t="s">
        <v>368</v>
      </c>
      <c r="C33" s="69">
        <v>3.843</v>
      </c>
      <c r="D33" s="69">
        <v>8.1440000000000001</v>
      </c>
      <c r="E33" s="69">
        <v>12.96</v>
      </c>
      <c r="F33" s="69">
        <v>16.882000000000001</v>
      </c>
      <c r="G33" s="676">
        <v>3.544</v>
      </c>
      <c r="H33" s="69">
        <v>6.1040000000000001</v>
      </c>
      <c r="I33" s="69">
        <v>8.5630000000000006</v>
      </c>
      <c r="J33" s="677">
        <v>10.41</v>
      </c>
      <c r="K33" s="69">
        <v>2.165</v>
      </c>
      <c r="L33" s="69">
        <v>13.4</v>
      </c>
      <c r="M33" s="69">
        <v>33.1</v>
      </c>
      <c r="N33" s="69">
        <v>45.2</v>
      </c>
      <c r="O33" s="676">
        <v>13.2</v>
      </c>
      <c r="P33" s="69">
        <v>20.5</v>
      </c>
      <c r="Q33" s="69">
        <v>30.5</v>
      </c>
      <c r="R33" s="677">
        <v>38.799999999999997</v>
      </c>
      <c r="S33" s="69">
        <v>8.1</v>
      </c>
      <c r="T33" s="69">
        <v>13.1</v>
      </c>
      <c r="U33" s="69">
        <v>19.5</v>
      </c>
      <c r="V33" s="69">
        <v>25.9</v>
      </c>
      <c r="W33" s="676">
        <v>14.5</v>
      </c>
      <c r="X33" s="69">
        <v>16</v>
      </c>
      <c r="Y33" s="69">
        <v>23.5</v>
      </c>
      <c r="Z33" s="677">
        <v>31.3</v>
      </c>
      <c r="AA33" s="69">
        <v>7.5</v>
      </c>
      <c r="AB33" s="69">
        <v>14.6</v>
      </c>
      <c r="AC33" s="69">
        <v>20.5</v>
      </c>
      <c r="AD33" s="69">
        <v>26.2</v>
      </c>
      <c r="AE33" s="676">
        <v>4.8</v>
      </c>
      <c r="AF33" s="69">
        <v>11.8</v>
      </c>
      <c r="AG33" s="69">
        <v>18.3</v>
      </c>
      <c r="AH33" s="677">
        <v>24</v>
      </c>
      <c r="AI33" s="69">
        <v>4.8</v>
      </c>
      <c r="AJ33" s="69">
        <v>11.8</v>
      </c>
      <c r="AK33" s="69">
        <v>18.3</v>
      </c>
      <c r="AL33" s="69">
        <v>24</v>
      </c>
      <c r="AM33" s="676">
        <v>4.9000000000000004</v>
      </c>
      <c r="AN33" s="69">
        <v>6.8</v>
      </c>
      <c r="AO33" s="69">
        <v>6.7</v>
      </c>
      <c r="AP33" s="677">
        <v>6.7</v>
      </c>
      <c r="AQ33" s="69">
        <v>0.7</v>
      </c>
      <c r="AR33" s="69">
        <v>2.7</v>
      </c>
      <c r="AS33" s="69">
        <v>3.8</v>
      </c>
      <c r="AT33" s="677">
        <v>7.6</v>
      </c>
      <c r="AU33" s="69">
        <v>10.9</v>
      </c>
      <c r="AV33" s="69">
        <v>32.4</v>
      </c>
      <c r="AW33" s="69"/>
      <c r="AX33" s="677"/>
      <c r="AY33" s="4"/>
      <c r="AZ33" s="4"/>
      <c r="BA33" s="4"/>
      <c r="BB33" s="4"/>
    </row>
    <row r="34" spans="1:54" s="269" customFormat="1" ht="24.95" customHeight="1">
      <c r="A34" s="389" t="s">
        <v>369</v>
      </c>
      <c r="B34" s="695" t="s">
        <v>370</v>
      </c>
      <c r="C34" s="390">
        <f t="shared" ref="C34:R34" si="8">SUM(C31:C33)</f>
        <v>223.97899999999998</v>
      </c>
      <c r="D34" s="390">
        <f t="shared" si="8"/>
        <v>376.56700000000001</v>
      </c>
      <c r="E34" s="390">
        <f t="shared" si="8"/>
        <v>581.96400000000017</v>
      </c>
      <c r="F34" s="390">
        <f t="shared" si="8"/>
        <v>781.36700000000008</v>
      </c>
      <c r="G34" s="681">
        <f t="shared" si="8"/>
        <v>155.44299999999998</v>
      </c>
      <c r="H34" s="390">
        <f t="shared" si="8"/>
        <v>331.71299999999997</v>
      </c>
      <c r="I34" s="390">
        <f t="shared" si="8"/>
        <v>519.3549999999999</v>
      </c>
      <c r="J34" s="682">
        <f t="shared" si="8"/>
        <v>802.65899999999988</v>
      </c>
      <c r="K34" s="390">
        <f t="shared" si="8"/>
        <v>169.06</v>
      </c>
      <c r="L34" s="390">
        <f t="shared" si="8"/>
        <v>649.5999999999998</v>
      </c>
      <c r="M34" s="390">
        <f t="shared" si="8"/>
        <v>1321.8000000000002</v>
      </c>
      <c r="N34" s="390">
        <f t="shared" si="8"/>
        <v>1973.8999999999999</v>
      </c>
      <c r="O34" s="681">
        <f t="shared" si="8"/>
        <v>417.7000000000001</v>
      </c>
      <c r="P34" s="390">
        <f t="shared" si="8"/>
        <v>1304.2999999999995</v>
      </c>
      <c r="Q34" s="390">
        <f t="shared" si="8"/>
        <v>2109.7999999999993</v>
      </c>
      <c r="R34" s="682">
        <f t="shared" si="8"/>
        <v>2887.7</v>
      </c>
      <c r="S34" s="390">
        <f t="shared" ref="S34" si="9">SUM(S31:S33)</f>
        <v>446.80000000000013</v>
      </c>
      <c r="T34" s="390">
        <f t="shared" ref="T34:U34" si="10">SUM(T31:T33)</f>
        <v>1376</v>
      </c>
      <c r="U34" s="390">
        <f t="shared" si="10"/>
        <v>2140.900000000001</v>
      </c>
      <c r="V34" s="390">
        <f t="shared" ref="V34:Z34" si="11">SUM(V31:V33)</f>
        <v>2884.7000000000003</v>
      </c>
      <c r="W34" s="681">
        <f t="shared" si="11"/>
        <v>751.70000000000027</v>
      </c>
      <c r="X34" s="390">
        <f t="shared" si="11"/>
        <v>1519.4</v>
      </c>
      <c r="Y34" s="390">
        <f t="shared" si="11"/>
        <v>2087.6999999999998</v>
      </c>
      <c r="Z34" s="682">
        <f t="shared" si="11"/>
        <v>2941.4000000000005</v>
      </c>
      <c r="AA34" s="390">
        <f t="shared" ref="AA34:AD34" si="12">SUM(AA31:AA33)</f>
        <v>570.00000000000011</v>
      </c>
      <c r="AB34" s="390">
        <f>SUM(AB31:AB33)</f>
        <v>1220.2</v>
      </c>
      <c r="AC34" s="390">
        <f>SUM(AC31:AC33)</f>
        <v>1976.2000000000003</v>
      </c>
      <c r="AD34" s="390">
        <f t="shared" si="12"/>
        <v>2915.1</v>
      </c>
      <c r="AE34" s="681">
        <f t="shared" ref="AE34:AH34" si="13">SUM(AE31:AE33)</f>
        <v>641.9</v>
      </c>
      <c r="AF34" s="390">
        <f t="shared" si="13"/>
        <v>1403.1000000000001</v>
      </c>
      <c r="AG34" s="390">
        <f t="shared" si="13"/>
        <v>2172.6000000000004</v>
      </c>
      <c r="AH34" s="682">
        <f t="shared" si="13"/>
        <v>3087.3</v>
      </c>
      <c r="AI34" s="390">
        <f t="shared" ref="AI34:AL34" si="14">SUM(AI31:AI33)</f>
        <v>700.9</v>
      </c>
      <c r="AJ34" s="390">
        <f t="shared" si="14"/>
        <v>1558.1000000000001</v>
      </c>
      <c r="AK34" s="390">
        <f t="shared" si="14"/>
        <v>2425.7000000000007</v>
      </c>
      <c r="AL34" s="390">
        <f t="shared" si="14"/>
        <v>3473.3999999999996</v>
      </c>
      <c r="AM34" s="681">
        <f t="shared" ref="AM34:AP34" si="15">SUM(AM31:AM33)</f>
        <v>778.78882651999993</v>
      </c>
      <c r="AN34" s="390">
        <f t="shared" si="15"/>
        <v>1353.2000000000005</v>
      </c>
      <c r="AO34" s="390">
        <v>2223.1</v>
      </c>
      <c r="AP34" s="682">
        <f t="shared" si="15"/>
        <v>3251.6999999999994</v>
      </c>
      <c r="AQ34" s="390">
        <f t="shared" ref="AQ34:AS34" si="16">SUM(AQ31:AQ33)</f>
        <v>889.00000000000011</v>
      </c>
      <c r="AR34" s="390">
        <f t="shared" si="16"/>
        <v>1618.7</v>
      </c>
      <c r="AS34" s="390">
        <f t="shared" si="16"/>
        <v>2442.7000000000012</v>
      </c>
      <c r="AT34" s="682">
        <f t="shared" ref="AT34:AW34" si="17">SUM(AT31:AT33)</f>
        <v>3234.2999999999979</v>
      </c>
      <c r="AU34" s="390">
        <f t="shared" si="17"/>
        <v>578.80000000000007</v>
      </c>
      <c r="AV34" s="390">
        <f>SUM(AV31:AV33)</f>
        <v>445.7999999999987</v>
      </c>
      <c r="AW34" s="390">
        <f t="shared" si="17"/>
        <v>0</v>
      </c>
      <c r="AX34" s="682">
        <f t="shared" ref="AX34" si="18">SUM(AX31:AX33)</f>
        <v>0</v>
      </c>
    </row>
    <row r="35" spans="1:54" ht="20.100000000000001" customHeight="1">
      <c r="A35" s="71" t="s">
        <v>371</v>
      </c>
      <c r="B35" s="693" t="s">
        <v>372</v>
      </c>
      <c r="C35" s="69">
        <v>-13.759</v>
      </c>
      <c r="D35" s="69">
        <v>-28.18</v>
      </c>
      <c r="E35" s="69">
        <v>-40.478000000000002</v>
      </c>
      <c r="F35" s="69">
        <v>-54.936999999999998</v>
      </c>
      <c r="G35" s="676">
        <v>-21.702999999999999</v>
      </c>
      <c r="H35" s="69">
        <v>-40.633000000000003</v>
      </c>
      <c r="I35" s="69">
        <v>-53.000999999999998</v>
      </c>
      <c r="J35" s="677">
        <v>-60.844999999999999</v>
      </c>
      <c r="K35" s="69">
        <v>-19.433</v>
      </c>
      <c r="L35" s="69">
        <v>-93</v>
      </c>
      <c r="M35" s="69">
        <v>-180</v>
      </c>
      <c r="N35" s="69">
        <v>-263.60000000000002</v>
      </c>
      <c r="O35" s="676">
        <v>-137.6</v>
      </c>
      <c r="P35" s="69">
        <v>-187</v>
      </c>
      <c r="Q35" s="69">
        <v>-323.2</v>
      </c>
      <c r="R35" s="677">
        <v>-417.8</v>
      </c>
      <c r="S35" s="69">
        <v>-98.4</v>
      </c>
      <c r="T35" s="69">
        <v>-179.5</v>
      </c>
      <c r="U35" s="69">
        <v>-301.2</v>
      </c>
      <c r="V35" s="69">
        <v>-436.2</v>
      </c>
      <c r="W35" s="676">
        <v>-138.9</v>
      </c>
      <c r="X35" s="69">
        <v>-268.8</v>
      </c>
      <c r="Y35" s="69">
        <v>-418.9</v>
      </c>
      <c r="Z35" s="677">
        <v>-524.79999999999995</v>
      </c>
      <c r="AA35" s="69">
        <v>-131.6</v>
      </c>
      <c r="AB35" s="69">
        <v>-266.7</v>
      </c>
      <c r="AC35" s="69">
        <v>-465</v>
      </c>
      <c r="AD35" s="69">
        <v>-624.29999999999995</v>
      </c>
      <c r="AE35" s="676">
        <v>-251.4</v>
      </c>
      <c r="AF35" s="69">
        <v>-433.6</v>
      </c>
      <c r="AG35" s="69">
        <v>-651.9</v>
      </c>
      <c r="AH35" s="677">
        <v>-852.6</v>
      </c>
      <c r="AI35" s="69">
        <v>-251.4</v>
      </c>
      <c r="AJ35" s="69">
        <v>-433.6</v>
      </c>
      <c r="AK35" s="69">
        <v>-651.9</v>
      </c>
      <c r="AL35" s="69">
        <v>-852.6</v>
      </c>
      <c r="AM35" s="676">
        <v>-255.9</v>
      </c>
      <c r="AN35" s="69">
        <v>-441.3</v>
      </c>
      <c r="AO35" s="69">
        <v>-648.29999999999995</v>
      </c>
      <c r="AP35" s="677">
        <v>-1006.4</v>
      </c>
      <c r="AQ35" s="69">
        <v>-270.10000000000002</v>
      </c>
      <c r="AR35" s="69">
        <v>-567.4</v>
      </c>
      <c r="AS35" s="69">
        <v>-728.5</v>
      </c>
      <c r="AT35" s="677">
        <v>-924.1</v>
      </c>
      <c r="AU35" s="69">
        <v>-222.5</v>
      </c>
      <c r="AV35" s="69">
        <v>-422.7</v>
      </c>
      <c r="AW35" s="69"/>
      <c r="AX35" s="677"/>
      <c r="AY35" s="701"/>
      <c r="AZ35" s="4"/>
      <c r="BA35" s="4"/>
      <c r="BB35" s="4"/>
    </row>
    <row r="36" spans="1:54" ht="20.100000000000001" customHeight="1">
      <c r="A36" s="71" t="s">
        <v>373</v>
      </c>
      <c r="B36" s="693" t="s">
        <v>374</v>
      </c>
      <c r="C36" s="69">
        <v>-7.0449999999999999</v>
      </c>
      <c r="D36" s="69">
        <v>-11.33</v>
      </c>
      <c r="E36" s="69">
        <v>-23.225000000000001</v>
      </c>
      <c r="F36" s="69">
        <v>-36.24</v>
      </c>
      <c r="G36" s="676">
        <v>-13.377000000000001</v>
      </c>
      <c r="H36" s="69">
        <v>-20.378</v>
      </c>
      <c r="I36" s="69">
        <v>-45.453000000000003</v>
      </c>
      <c r="J36" s="677">
        <v>-62.041000000000004</v>
      </c>
      <c r="K36" s="69">
        <v>-19.987000000000002</v>
      </c>
      <c r="L36" s="69">
        <v>-46.6</v>
      </c>
      <c r="M36" s="69">
        <v>-57.4</v>
      </c>
      <c r="N36" s="69">
        <v>-71.8</v>
      </c>
      <c r="O36" s="676">
        <v>-19.100000000000001</v>
      </c>
      <c r="P36" s="69">
        <v>-90.7</v>
      </c>
      <c r="Q36" s="69">
        <v>-111.1</v>
      </c>
      <c r="R36" s="677">
        <v>-165.3</v>
      </c>
      <c r="S36" s="69">
        <v>-20.3</v>
      </c>
      <c r="T36" s="69">
        <v>-61.3</v>
      </c>
      <c r="U36" s="69">
        <v>-94.6</v>
      </c>
      <c r="V36" s="69">
        <v>-154.19999999999999</v>
      </c>
      <c r="W36" s="676">
        <v>-33.200000000000003</v>
      </c>
      <c r="X36" s="69">
        <v>-114.2</v>
      </c>
      <c r="Y36" s="69">
        <v>-137.30000000000001</v>
      </c>
      <c r="Z36" s="677">
        <v>-214.3</v>
      </c>
      <c r="AA36" s="69">
        <v>-42.8</v>
      </c>
      <c r="AB36" s="69">
        <v>-83.9</v>
      </c>
      <c r="AC36" s="69">
        <v>-168.4</v>
      </c>
      <c r="AD36" s="69">
        <v>-304.10000000000002</v>
      </c>
      <c r="AE36" s="676">
        <v>-108.5</v>
      </c>
      <c r="AF36" s="69">
        <v>-202.7</v>
      </c>
      <c r="AG36" s="69">
        <v>-302.7</v>
      </c>
      <c r="AH36" s="677">
        <v>-379</v>
      </c>
      <c r="AI36" s="69">
        <v>-108.5</v>
      </c>
      <c r="AJ36" s="69">
        <v>-202.7</v>
      </c>
      <c r="AK36" s="69">
        <v>-302.7</v>
      </c>
      <c r="AL36" s="69">
        <v>-379</v>
      </c>
      <c r="AM36" s="676">
        <v>-51.5</v>
      </c>
      <c r="AN36" s="69">
        <v>-90.2</v>
      </c>
      <c r="AO36" s="69">
        <v>-139.4</v>
      </c>
      <c r="AP36" s="677">
        <v>-211.5</v>
      </c>
      <c r="AQ36" s="69">
        <v>-65.400000000000006</v>
      </c>
      <c r="AR36" s="69">
        <v>-102.6</v>
      </c>
      <c r="AS36" s="69">
        <v>-173.3</v>
      </c>
      <c r="AT36" s="677">
        <v>-234.7</v>
      </c>
      <c r="AU36" s="69">
        <v>-102.4</v>
      </c>
      <c r="AV36" s="69">
        <v>-164.2</v>
      </c>
      <c r="AW36" s="69"/>
      <c r="AX36" s="677"/>
      <c r="AY36" s="4"/>
      <c r="AZ36" s="4"/>
      <c r="BA36" s="4"/>
      <c r="BB36" s="4"/>
    </row>
    <row r="37" spans="1:54" ht="20.100000000000001" customHeight="1">
      <c r="A37" s="71" t="s">
        <v>375</v>
      </c>
      <c r="B37" s="693" t="s">
        <v>376</v>
      </c>
      <c r="C37" s="69"/>
      <c r="D37" s="69"/>
      <c r="E37" s="69"/>
      <c r="F37" s="69"/>
      <c r="G37" s="676"/>
      <c r="H37" s="69"/>
      <c r="I37" s="69"/>
      <c r="J37" s="677"/>
      <c r="K37" s="69"/>
      <c r="L37" s="69"/>
      <c r="M37" s="69"/>
      <c r="N37" s="69"/>
      <c r="O37" s="676"/>
      <c r="P37" s="69"/>
      <c r="Q37" s="69"/>
      <c r="R37" s="677"/>
      <c r="S37" s="69"/>
      <c r="T37" s="69"/>
      <c r="U37" s="69"/>
      <c r="V37" s="69">
        <v>0</v>
      </c>
      <c r="W37" s="676"/>
      <c r="X37" s="69"/>
      <c r="Y37" s="69"/>
      <c r="Z37" s="677">
        <v>-9.3000000000000007</v>
      </c>
      <c r="AA37" s="69">
        <v>0</v>
      </c>
      <c r="AB37" s="69">
        <v>0</v>
      </c>
      <c r="AC37" s="69">
        <v>0</v>
      </c>
      <c r="AD37" s="69">
        <v>-9.1999999999999993</v>
      </c>
      <c r="AE37" s="676">
        <v>0</v>
      </c>
      <c r="AF37" s="69"/>
      <c r="AG37" s="69">
        <v>0</v>
      </c>
      <c r="AH37" s="677">
        <v>0</v>
      </c>
      <c r="AI37" s="69">
        <v>0</v>
      </c>
      <c r="AJ37" s="69">
        <v>0</v>
      </c>
      <c r="AK37" s="69">
        <v>0</v>
      </c>
      <c r="AL37" s="69">
        <v>0</v>
      </c>
      <c r="AM37" s="676">
        <v>0</v>
      </c>
      <c r="AN37" s="69">
        <v>-8.3000000000000007</v>
      </c>
      <c r="AO37" s="69">
        <v>-8.3000000000000007</v>
      </c>
      <c r="AP37" s="677">
        <v>-8.3000000000000007</v>
      </c>
      <c r="AQ37" s="69">
        <v>-27.8</v>
      </c>
      <c r="AR37" s="69">
        <v>-27.8</v>
      </c>
      <c r="AS37" s="69">
        <v>-27.8</v>
      </c>
      <c r="AT37" s="677">
        <v>-27.8</v>
      </c>
      <c r="AU37" s="69">
        <v>0</v>
      </c>
      <c r="AV37" s="69">
        <v>0</v>
      </c>
      <c r="AW37" s="69"/>
      <c r="AX37" s="677"/>
      <c r="AY37" s="4"/>
      <c r="AZ37" s="4"/>
      <c r="BA37" s="4"/>
      <c r="BB37" s="4"/>
    </row>
    <row r="38" spans="1:54" ht="20.100000000000001" customHeight="1">
      <c r="A38" s="71" t="s">
        <v>377</v>
      </c>
      <c r="B38" s="693" t="s">
        <v>378</v>
      </c>
      <c r="C38" s="70">
        <v>0</v>
      </c>
      <c r="D38" s="70">
        <v>0</v>
      </c>
      <c r="E38" s="70">
        <v>0</v>
      </c>
      <c r="F38" s="70">
        <v>0</v>
      </c>
      <c r="G38" s="697">
        <v>0</v>
      </c>
      <c r="H38" s="70">
        <v>0</v>
      </c>
      <c r="I38" s="70">
        <v>0</v>
      </c>
      <c r="J38" s="698">
        <v>0</v>
      </c>
      <c r="K38" s="70">
        <v>0</v>
      </c>
      <c r="L38" s="69">
        <v>0</v>
      </c>
      <c r="M38" s="69">
        <v>-482.3</v>
      </c>
      <c r="N38" s="69">
        <v>-482.3</v>
      </c>
      <c r="O38" s="676">
        <v>0</v>
      </c>
      <c r="P38" s="69">
        <v>0</v>
      </c>
      <c r="Q38" s="69">
        <v>-118.7</v>
      </c>
      <c r="R38" s="677">
        <v>-118.7</v>
      </c>
      <c r="S38" s="69">
        <v>-147.69999999999999</v>
      </c>
      <c r="T38" s="69">
        <v>-147.69999999999999</v>
      </c>
      <c r="U38" s="69">
        <v>-268.5</v>
      </c>
      <c r="V38" s="69">
        <v>-268.5</v>
      </c>
      <c r="W38" s="676">
        <v>0</v>
      </c>
      <c r="X38" s="69">
        <v>0</v>
      </c>
      <c r="Y38" s="69">
        <v>-120.7</v>
      </c>
      <c r="Z38" s="677">
        <v>-120.7</v>
      </c>
      <c r="AA38" s="69">
        <v>0</v>
      </c>
      <c r="AB38" s="69">
        <v>0</v>
      </c>
      <c r="AC38" s="69">
        <v>-119.6</v>
      </c>
      <c r="AD38" s="69">
        <v>-119.6</v>
      </c>
      <c r="AE38" s="676">
        <v>0</v>
      </c>
      <c r="AF38" s="69"/>
      <c r="AG38" s="69">
        <v>-122.4</v>
      </c>
      <c r="AH38" s="677">
        <v>-122.4</v>
      </c>
      <c r="AI38" s="69">
        <v>0</v>
      </c>
      <c r="AJ38" s="69">
        <v>0</v>
      </c>
      <c r="AK38" s="69">
        <v>-122.4</v>
      </c>
      <c r="AL38" s="69">
        <v>-122.4</v>
      </c>
      <c r="AM38" s="676">
        <v>0</v>
      </c>
      <c r="AN38" s="69">
        <v>-4.2</v>
      </c>
      <c r="AO38" s="69">
        <v>-126.8</v>
      </c>
      <c r="AP38" s="677">
        <v>-126.8</v>
      </c>
      <c r="AQ38" s="69">
        <v>-21.6</v>
      </c>
      <c r="AR38" s="69">
        <v>-28.3</v>
      </c>
      <c r="AS38" s="69">
        <v>-159.4</v>
      </c>
      <c r="AT38" s="677">
        <v>-159.4</v>
      </c>
      <c r="AU38" s="69">
        <v>-6.4</v>
      </c>
      <c r="AV38" s="69">
        <v>-8.1</v>
      </c>
      <c r="AW38" s="69"/>
      <c r="AX38" s="677"/>
      <c r="AY38" s="4"/>
      <c r="AZ38" s="4"/>
      <c r="BA38" s="4"/>
      <c r="BB38" s="4"/>
    </row>
    <row r="39" spans="1:54" ht="20.100000000000001" customHeight="1">
      <c r="A39" s="71" t="s">
        <v>379</v>
      </c>
      <c r="B39" s="693" t="s">
        <v>380</v>
      </c>
      <c r="C39" s="70"/>
      <c r="D39" s="70"/>
      <c r="E39" s="70"/>
      <c r="F39" s="70"/>
      <c r="G39" s="697"/>
      <c r="H39" s="70"/>
      <c r="I39" s="70"/>
      <c r="J39" s="698"/>
      <c r="K39" s="70"/>
      <c r="L39" s="70"/>
      <c r="M39" s="70"/>
      <c r="N39" s="69"/>
      <c r="O39" s="676"/>
      <c r="P39" s="70"/>
      <c r="Q39" s="70"/>
      <c r="R39" s="677"/>
      <c r="S39" s="70">
        <v>0</v>
      </c>
      <c r="T39" s="70">
        <v>0</v>
      </c>
      <c r="U39" s="70">
        <v>0</v>
      </c>
      <c r="V39" s="69">
        <v>0</v>
      </c>
      <c r="W39" s="676">
        <v>0</v>
      </c>
      <c r="X39" s="69">
        <v>0</v>
      </c>
      <c r="Y39" s="69">
        <v>0</v>
      </c>
      <c r="Z39" s="677">
        <v>-662.5</v>
      </c>
      <c r="AA39" s="69">
        <v>-11.3</v>
      </c>
      <c r="AB39" s="69">
        <v>-15.7</v>
      </c>
      <c r="AC39" s="69">
        <v>-15.7</v>
      </c>
      <c r="AD39" s="69">
        <v>-16.100000000000001</v>
      </c>
      <c r="AE39" s="676">
        <v>0</v>
      </c>
      <c r="AF39" s="69">
        <v>-14.7</v>
      </c>
      <c r="AG39" s="69">
        <v>-14.7</v>
      </c>
      <c r="AH39" s="677">
        <v>-1232.5</v>
      </c>
      <c r="AI39" s="69">
        <v>0</v>
      </c>
      <c r="AJ39" s="69">
        <v>-14.7</v>
      </c>
      <c r="AK39" s="69">
        <v>-14.7</v>
      </c>
      <c r="AL39" s="69">
        <v>-1232.5</v>
      </c>
      <c r="AM39" s="676">
        <v>-7.4</v>
      </c>
      <c r="AN39" s="69">
        <v>-7.4</v>
      </c>
      <c r="AO39" s="69">
        <v>-18.8</v>
      </c>
      <c r="AP39" s="677">
        <v>-11.4</v>
      </c>
      <c r="AQ39" s="69">
        <v>0</v>
      </c>
      <c r="AR39" s="69">
        <v>-500</v>
      </c>
      <c r="AS39" s="69">
        <v>-500</v>
      </c>
      <c r="AT39" s="677">
        <v>-500</v>
      </c>
      <c r="AU39" s="69">
        <v>0</v>
      </c>
      <c r="AV39" s="69">
        <v>-4.9000000000000004</v>
      </c>
      <c r="AW39" s="69"/>
      <c r="AX39" s="677"/>
      <c r="AY39" s="4"/>
      <c r="AZ39" s="4"/>
      <c r="BA39" s="4"/>
      <c r="BB39" s="4"/>
    </row>
    <row r="40" spans="1:54" ht="25.5">
      <c r="A40" s="71" t="s">
        <v>381</v>
      </c>
      <c r="B40" s="693" t="s">
        <v>382</v>
      </c>
      <c r="C40" s="69">
        <v>-2.3290000000000002</v>
      </c>
      <c r="D40" s="69">
        <v>-45.099000000000004</v>
      </c>
      <c r="E40" s="69">
        <v>-45.329000000000001</v>
      </c>
      <c r="F40" s="69">
        <v>-45.710999999999999</v>
      </c>
      <c r="G40" s="676">
        <v>-0.153</v>
      </c>
      <c r="H40" s="69">
        <v>-0.26800000000000002</v>
      </c>
      <c r="I40" s="69">
        <v>-64.186999999999998</v>
      </c>
      <c r="J40" s="677">
        <v>-64.266000000000005</v>
      </c>
      <c r="K40" s="70">
        <v>0</v>
      </c>
      <c r="L40" s="69">
        <v>1800.4</v>
      </c>
      <c r="M40" s="69">
        <v>1800.4</v>
      </c>
      <c r="N40" s="69">
        <v>1800.4</v>
      </c>
      <c r="O40" s="676">
        <v>-4.2</v>
      </c>
      <c r="P40" s="69">
        <v>-29.5</v>
      </c>
      <c r="Q40" s="69">
        <v>-29.5</v>
      </c>
      <c r="R40" s="677">
        <v>-29.5</v>
      </c>
      <c r="S40" s="69">
        <v>262.2</v>
      </c>
      <c r="T40" s="69">
        <v>-145.30000000000001</v>
      </c>
      <c r="U40" s="69">
        <v>-144.4</v>
      </c>
      <c r="V40" s="69">
        <v>-144.4</v>
      </c>
      <c r="W40" s="676">
        <v>0</v>
      </c>
      <c r="X40" s="69">
        <v>0</v>
      </c>
      <c r="Y40" s="69">
        <v>1.6</v>
      </c>
      <c r="Z40" s="677">
        <v>-66.8</v>
      </c>
      <c r="AA40" s="69">
        <v>-16.7</v>
      </c>
      <c r="AB40" s="69">
        <v>-276.8</v>
      </c>
      <c r="AC40" s="69">
        <v>-453.7</v>
      </c>
      <c r="AD40" s="69">
        <v>-792.4</v>
      </c>
      <c r="AE40" s="676">
        <v>0</v>
      </c>
      <c r="AF40" s="69">
        <v>-63.8</v>
      </c>
      <c r="AG40" s="69">
        <v>-74.599999999999994</v>
      </c>
      <c r="AH40" s="677">
        <v>-108.5</v>
      </c>
      <c r="AI40" s="69">
        <v>0</v>
      </c>
      <c r="AJ40" s="69">
        <v>-63.8</v>
      </c>
      <c r="AK40" s="69">
        <v>-74.599999999999994</v>
      </c>
      <c r="AL40" s="69">
        <v>-108.5</v>
      </c>
      <c r="AM40" s="676">
        <v>-48.8</v>
      </c>
      <c r="AN40" s="69">
        <v>-48.8</v>
      </c>
      <c r="AO40" s="69">
        <v>-474.6</v>
      </c>
      <c r="AP40" s="677">
        <v>-479.2</v>
      </c>
      <c r="AQ40" s="69">
        <v>-0.7</v>
      </c>
      <c r="AR40" s="69">
        <v>-181.2</v>
      </c>
      <c r="AS40" s="69">
        <v>-938.2</v>
      </c>
      <c r="AT40" s="677">
        <v>-946.4</v>
      </c>
      <c r="AU40" s="69">
        <v>-13</v>
      </c>
      <c r="AV40" s="69">
        <v>-251.1</v>
      </c>
      <c r="AW40" s="69"/>
      <c r="AX40" s="677"/>
      <c r="AY40" s="4"/>
      <c r="AZ40" s="4"/>
      <c r="BA40" s="4"/>
      <c r="BB40" s="4"/>
    </row>
    <row r="41" spans="1:54" s="102" customFormat="1">
      <c r="A41" s="199" t="s">
        <v>383</v>
      </c>
      <c r="B41" s="694" t="s">
        <v>384</v>
      </c>
      <c r="C41" s="264"/>
      <c r="D41" s="264"/>
      <c r="E41" s="264"/>
      <c r="F41" s="264"/>
      <c r="G41" s="683"/>
      <c r="H41" s="264"/>
      <c r="I41" s="264"/>
      <c r="J41" s="684"/>
      <c r="K41" s="265"/>
      <c r="L41" s="264"/>
      <c r="M41" s="264"/>
      <c r="N41" s="264"/>
      <c r="O41" s="683"/>
      <c r="P41" s="264"/>
      <c r="Q41" s="264"/>
      <c r="R41" s="684"/>
      <c r="S41" s="264"/>
      <c r="T41" s="264"/>
      <c r="U41" s="264"/>
      <c r="V41" s="264"/>
      <c r="W41" s="683"/>
      <c r="X41" s="264"/>
      <c r="Y41" s="264"/>
      <c r="Z41" s="684"/>
      <c r="AA41" s="264"/>
      <c r="AB41" s="264"/>
      <c r="AC41" s="264"/>
      <c r="AD41" s="264"/>
      <c r="AE41" s="683"/>
      <c r="AF41" s="264">
        <v>-16.3</v>
      </c>
      <c r="AG41" s="264">
        <v>-16.3</v>
      </c>
      <c r="AH41" s="684">
        <v>-16.3</v>
      </c>
      <c r="AI41" s="264"/>
      <c r="AJ41" s="264">
        <v>-16.3</v>
      </c>
      <c r="AK41" s="264">
        <v>-16.3</v>
      </c>
      <c r="AL41" s="264">
        <v>-16.3</v>
      </c>
      <c r="AM41" s="683">
        <v>0</v>
      </c>
      <c r="AN41" s="264">
        <v>0</v>
      </c>
      <c r="AO41" s="264">
        <v>0</v>
      </c>
      <c r="AP41" s="684">
        <v>0</v>
      </c>
      <c r="AQ41" s="264">
        <v>0</v>
      </c>
      <c r="AR41" s="264">
        <v>0</v>
      </c>
      <c r="AS41" s="264">
        <v>0</v>
      </c>
      <c r="AT41" s="684">
        <v>0</v>
      </c>
      <c r="AU41" s="264">
        <v>0</v>
      </c>
      <c r="AV41" s="264">
        <v>-473.8</v>
      </c>
      <c r="AW41" s="264"/>
      <c r="AX41" s="684"/>
    </row>
    <row r="42" spans="1:54" ht="20.100000000000001" customHeight="1">
      <c r="A42" s="71" t="s">
        <v>385</v>
      </c>
      <c r="B42" s="693" t="s">
        <v>386</v>
      </c>
      <c r="C42" s="70">
        <v>0</v>
      </c>
      <c r="D42" s="70">
        <v>0</v>
      </c>
      <c r="E42" s="70">
        <v>0</v>
      </c>
      <c r="F42" s="70">
        <v>0</v>
      </c>
      <c r="G42" s="697">
        <v>0</v>
      </c>
      <c r="H42" s="70">
        <v>0</v>
      </c>
      <c r="I42" s="69">
        <v>48.219000000000001</v>
      </c>
      <c r="J42" s="677">
        <v>48.736000000000004</v>
      </c>
      <c r="K42" s="70">
        <v>0</v>
      </c>
      <c r="L42" s="69">
        <v>0</v>
      </c>
      <c r="M42" s="69">
        <v>0</v>
      </c>
      <c r="N42" s="69">
        <v>0</v>
      </c>
      <c r="O42" s="676">
        <v>0</v>
      </c>
      <c r="P42" s="69">
        <v>0</v>
      </c>
      <c r="Q42" s="69">
        <v>0</v>
      </c>
      <c r="R42" s="677">
        <v>0</v>
      </c>
      <c r="S42" s="69">
        <v>0</v>
      </c>
      <c r="T42" s="69">
        <v>0.2</v>
      </c>
      <c r="U42" s="69">
        <v>0.2</v>
      </c>
      <c r="V42" s="69">
        <v>0</v>
      </c>
      <c r="W42" s="676">
        <v>0</v>
      </c>
      <c r="X42" s="69">
        <v>0</v>
      </c>
      <c r="Y42" s="69">
        <v>0</v>
      </c>
      <c r="Z42" s="677">
        <v>0</v>
      </c>
      <c r="AA42" s="69">
        <v>0</v>
      </c>
      <c r="AB42" s="69">
        <v>0</v>
      </c>
      <c r="AC42" s="69">
        <v>0</v>
      </c>
      <c r="AD42" s="69">
        <v>0</v>
      </c>
      <c r="AE42" s="676">
        <v>0</v>
      </c>
      <c r="AF42" s="69">
        <v>0</v>
      </c>
      <c r="AG42" s="69"/>
      <c r="AH42" s="677">
        <v>0</v>
      </c>
      <c r="AI42" s="69">
        <v>0</v>
      </c>
      <c r="AJ42" s="69">
        <v>0</v>
      </c>
      <c r="AK42" s="69">
        <v>0</v>
      </c>
      <c r="AL42" s="69">
        <v>0</v>
      </c>
      <c r="AM42" s="676">
        <v>0</v>
      </c>
      <c r="AN42" s="69">
        <v>0</v>
      </c>
      <c r="AO42" s="69">
        <v>0</v>
      </c>
      <c r="AP42" s="677">
        <v>0</v>
      </c>
      <c r="AQ42" s="69">
        <v>0</v>
      </c>
      <c r="AR42" s="69">
        <v>0</v>
      </c>
      <c r="AS42" s="69">
        <v>7111.9</v>
      </c>
      <c r="AT42" s="677">
        <v>7111.9</v>
      </c>
      <c r="AU42" s="69">
        <v>0</v>
      </c>
      <c r="AV42" s="69">
        <v>0</v>
      </c>
      <c r="AW42" s="69"/>
      <c r="AX42" s="677"/>
      <c r="AY42" s="4"/>
      <c r="AZ42" s="4"/>
      <c r="BA42" s="4"/>
      <c r="BB42" s="4"/>
    </row>
    <row r="43" spans="1:54" ht="20.100000000000001" customHeight="1">
      <c r="A43" s="71" t="s">
        <v>387</v>
      </c>
      <c r="B43" s="693" t="s">
        <v>388</v>
      </c>
      <c r="C43" s="69">
        <v>0.09</v>
      </c>
      <c r="D43" s="69">
        <v>0.121</v>
      </c>
      <c r="E43" s="69">
        <v>0.69000000000000006</v>
      </c>
      <c r="F43" s="69">
        <v>0.751</v>
      </c>
      <c r="G43" s="676">
        <v>0.35000000000000003</v>
      </c>
      <c r="H43" s="69">
        <v>0.41000000000000003</v>
      </c>
      <c r="I43" s="69">
        <v>1.756</v>
      </c>
      <c r="J43" s="677">
        <v>2.0640000000000001</v>
      </c>
      <c r="K43" s="70">
        <v>0.33700000000000002</v>
      </c>
      <c r="L43" s="69">
        <v>1.6</v>
      </c>
      <c r="M43" s="69">
        <v>4</v>
      </c>
      <c r="N43" s="69">
        <v>4.0999999999999996</v>
      </c>
      <c r="O43" s="676">
        <v>0.2</v>
      </c>
      <c r="P43" s="69">
        <v>13.3</v>
      </c>
      <c r="Q43" s="69">
        <v>15.1</v>
      </c>
      <c r="R43" s="677">
        <v>16.899999999999999</v>
      </c>
      <c r="S43" s="69">
        <v>3.5</v>
      </c>
      <c r="T43" s="69">
        <v>5</v>
      </c>
      <c r="U43" s="69">
        <v>6.3</v>
      </c>
      <c r="V43" s="69">
        <v>9.5</v>
      </c>
      <c r="W43" s="676">
        <v>12.8</v>
      </c>
      <c r="X43" s="69">
        <v>16</v>
      </c>
      <c r="Y43" s="69">
        <v>15.8</v>
      </c>
      <c r="Z43" s="677">
        <v>19.3</v>
      </c>
      <c r="AA43" s="69">
        <v>3.4</v>
      </c>
      <c r="AB43" s="69">
        <v>10.6</v>
      </c>
      <c r="AC43" s="69">
        <v>11.6</v>
      </c>
      <c r="AD43" s="69">
        <v>11.6</v>
      </c>
      <c r="AE43" s="676">
        <v>2.5</v>
      </c>
      <c r="AF43" s="69">
        <v>4.2</v>
      </c>
      <c r="AG43" s="69">
        <v>4.8</v>
      </c>
      <c r="AH43" s="677">
        <v>6.8</v>
      </c>
      <c r="AI43" s="69">
        <v>2.5</v>
      </c>
      <c r="AJ43" s="69">
        <v>4.2</v>
      </c>
      <c r="AK43" s="69">
        <v>4.8</v>
      </c>
      <c r="AL43" s="69">
        <v>6.8</v>
      </c>
      <c r="AM43" s="676">
        <v>1.7</v>
      </c>
      <c r="AN43" s="69">
        <v>4.4000000000000004</v>
      </c>
      <c r="AO43" s="69">
        <v>5.5</v>
      </c>
      <c r="AP43" s="677">
        <v>8.4</v>
      </c>
      <c r="AQ43" s="69">
        <v>3.4</v>
      </c>
      <c r="AR43" s="69">
        <v>4</v>
      </c>
      <c r="AS43" s="69">
        <v>4.8</v>
      </c>
      <c r="AT43" s="677">
        <v>5.7</v>
      </c>
      <c r="AU43" s="69">
        <v>0.6</v>
      </c>
      <c r="AV43" s="69">
        <v>2.2999999999999998</v>
      </c>
      <c r="AW43" s="69"/>
      <c r="AX43" s="677"/>
      <c r="AY43" s="4"/>
      <c r="AZ43" s="4"/>
      <c r="BA43" s="4"/>
      <c r="BB43" s="4"/>
    </row>
    <row r="44" spans="1:54" ht="20.100000000000001" customHeight="1">
      <c r="A44" s="71" t="s">
        <v>389</v>
      </c>
      <c r="B44" s="693" t="s">
        <v>390</v>
      </c>
      <c r="C44" s="69"/>
      <c r="D44" s="69"/>
      <c r="E44" s="69"/>
      <c r="F44" s="69"/>
      <c r="G44" s="676"/>
      <c r="H44" s="69"/>
      <c r="I44" s="69"/>
      <c r="J44" s="677"/>
      <c r="K44" s="70"/>
      <c r="L44" s="69"/>
      <c r="M44" s="69"/>
      <c r="N44" s="69"/>
      <c r="O44" s="676"/>
      <c r="P44" s="69"/>
      <c r="Q44" s="69"/>
      <c r="R44" s="677"/>
      <c r="S44" s="69"/>
      <c r="T44" s="69"/>
      <c r="U44" s="69"/>
      <c r="V44" s="69"/>
      <c r="W44" s="676"/>
      <c r="X44" s="69"/>
      <c r="Y44" s="69"/>
      <c r="Z44" s="677"/>
      <c r="AA44" s="69">
        <v>-45</v>
      </c>
      <c r="AB44" s="69">
        <f>-50+50.3</f>
        <v>0.29999999999999716</v>
      </c>
      <c r="AC44" s="69">
        <f>-95+95.4</f>
        <v>0.40000000000000568</v>
      </c>
      <c r="AD44" s="69">
        <f>-130+130.5</f>
        <v>0.5</v>
      </c>
      <c r="AE44" s="676">
        <v>0.1</v>
      </c>
      <c r="AF44" s="69">
        <v>0.3</v>
      </c>
      <c r="AG44" s="69">
        <f>100.5-100</f>
        <v>0.5</v>
      </c>
      <c r="AH44" s="677">
        <v>0.69999999999998863</v>
      </c>
      <c r="AI44" s="69">
        <v>0.1</v>
      </c>
      <c r="AJ44" s="69">
        <v>0.3</v>
      </c>
      <c r="AK44" s="69">
        <v>0.5</v>
      </c>
      <c r="AL44" s="69">
        <v>0.69999999999998863</v>
      </c>
      <c r="AM44" s="676">
        <v>0</v>
      </c>
      <c r="AN44" s="69">
        <v>0</v>
      </c>
      <c r="AO44" s="69">
        <v>0</v>
      </c>
      <c r="AP44" s="677">
        <v>0</v>
      </c>
      <c r="AQ44" s="69">
        <v>0</v>
      </c>
      <c r="AR44" s="69">
        <v>0</v>
      </c>
      <c r="AS44" s="69">
        <v>0</v>
      </c>
      <c r="AT44" s="677">
        <v>0</v>
      </c>
      <c r="AU44" s="69">
        <v>0</v>
      </c>
      <c r="AV44" s="69">
        <v>0</v>
      </c>
      <c r="AW44" s="69"/>
      <c r="AX44" s="677"/>
      <c r="AY44" s="4"/>
      <c r="AZ44" s="4"/>
      <c r="BA44" s="4"/>
      <c r="BB44" s="4"/>
    </row>
    <row r="45" spans="1:54" ht="20.100000000000001" customHeight="1">
      <c r="A45" s="71" t="s">
        <v>391</v>
      </c>
      <c r="B45" s="693" t="s">
        <v>212</v>
      </c>
      <c r="C45" s="70">
        <v>0</v>
      </c>
      <c r="D45" s="70">
        <v>0</v>
      </c>
      <c r="E45" s="70">
        <v>0</v>
      </c>
      <c r="F45" s="70">
        <v>0</v>
      </c>
      <c r="G45" s="697">
        <v>0</v>
      </c>
      <c r="H45" s="70">
        <v>0</v>
      </c>
      <c r="I45" s="70">
        <v>0</v>
      </c>
      <c r="J45" s="698">
        <v>0</v>
      </c>
      <c r="K45" s="70">
        <v>0</v>
      </c>
      <c r="L45" s="69">
        <v>-270</v>
      </c>
      <c r="M45" s="69">
        <v>-30</v>
      </c>
      <c r="N45" s="69">
        <v>0</v>
      </c>
      <c r="O45" s="676">
        <v>-42.7</v>
      </c>
      <c r="P45" s="69">
        <v>-42.7</v>
      </c>
      <c r="Q45" s="69">
        <v>0</v>
      </c>
      <c r="R45" s="677">
        <v>0</v>
      </c>
      <c r="S45" s="69">
        <v>-12.4</v>
      </c>
      <c r="T45" s="69">
        <v>0</v>
      </c>
      <c r="U45" s="69">
        <v>0</v>
      </c>
      <c r="V45" s="69">
        <v>0</v>
      </c>
      <c r="W45" s="676">
        <v>0</v>
      </c>
      <c r="X45" s="69">
        <v>0</v>
      </c>
      <c r="Y45" s="69">
        <v>0</v>
      </c>
      <c r="Z45" s="677">
        <v>0</v>
      </c>
      <c r="AA45" s="69">
        <v>0</v>
      </c>
      <c r="AB45" s="69">
        <v>0</v>
      </c>
      <c r="AC45" s="69">
        <v>0</v>
      </c>
      <c r="AD45" s="69">
        <v>0</v>
      </c>
      <c r="AE45" s="676">
        <v>0</v>
      </c>
      <c r="AF45" s="69">
        <v>0</v>
      </c>
      <c r="AG45" s="69">
        <v>0</v>
      </c>
      <c r="AH45" s="677">
        <v>0</v>
      </c>
      <c r="AI45" s="69">
        <v>0</v>
      </c>
      <c r="AJ45" s="69">
        <v>0</v>
      </c>
      <c r="AK45" s="69">
        <v>0</v>
      </c>
      <c r="AL45" s="69">
        <v>0</v>
      </c>
      <c r="AM45" s="676">
        <v>0</v>
      </c>
      <c r="AN45" s="69">
        <v>0</v>
      </c>
      <c r="AO45" s="69">
        <v>0</v>
      </c>
      <c r="AP45" s="677">
        <v>0</v>
      </c>
      <c r="AQ45" s="69">
        <v>0</v>
      </c>
      <c r="AR45" s="69">
        <v>0</v>
      </c>
      <c r="AS45" s="69">
        <v>0</v>
      </c>
      <c r="AT45" s="677">
        <v>0</v>
      </c>
      <c r="AU45" s="69">
        <v>0</v>
      </c>
      <c r="AV45" s="69">
        <v>0</v>
      </c>
      <c r="AW45" s="69"/>
      <c r="AX45" s="677"/>
      <c r="AY45" s="4"/>
      <c r="AZ45" s="4"/>
      <c r="BA45" s="4"/>
      <c r="BB45" s="4"/>
    </row>
    <row r="46" spans="1:54" ht="20.100000000000001" customHeight="1">
      <c r="A46" s="71" t="s">
        <v>392</v>
      </c>
      <c r="B46" s="693" t="s">
        <v>393</v>
      </c>
      <c r="C46" s="69">
        <v>-1.1000000000000001</v>
      </c>
      <c r="D46" s="69">
        <v>-1.1000000000000001</v>
      </c>
      <c r="E46" s="69">
        <v>-1.1000000000000001</v>
      </c>
      <c r="F46" s="69">
        <v>-1.1000000000000001</v>
      </c>
      <c r="G46" s="697">
        <v>0</v>
      </c>
      <c r="H46" s="70">
        <v>0</v>
      </c>
      <c r="I46" s="70">
        <v>0</v>
      </c>
      <c r="J46" s="698">
        <v>0</v>
      </c>
      <c r="K46" s="70">
        <v>0</v>
      </c>
      <c r="L46" s="69">
        <v>-5.8</v>
      </c>
      <c r="M46" s="69">
        <v>-20.399999999999999</v>
      </c>
      <c r="N46" s="69">
        <v>-23.1</v>
      </c>
      <c r="O46" s="676">
        <v>-6</v>
      </c>
      <c r="P46" s="69">
        <v>-8.9</v>
      </c>
      <c r="Q46" s="69">
        <v>-12.1</v>
      </c>
      <c r="R46" s="677">
        <v>-16.100000000000001</v>
      </c>
      <c r="S46" s="69">
        <v>-6.8</v>
      </c>
      <c r="T46" s="69">
        <v>-9.5</v>
      </c>
      <c r="U46" s="69">
        <v>-10.5</v>
      </c>
      <c r="V46" s="69">
        <v>-11.6</v>
      </c>
      <c r="W46" s="676">
        <v>0</v>
      </c>
      <c r="X46" s="69">
        <v>0</v>
      </c>
      <c r="Y46" s="69">
        <v>-28.6</v>
      </c>
      <c r="Z46" s="677">
        <v>-31.1</v>
      </c>
      <c r="AA46" s="69">
        <v>-11</v>
      </c>
      <c r="AB46" s="69">
        <v>-11</v>
      </c>
      <c r="AC46" s="69">
        <v>-11</v>
      </c>
      <c r="AD46" s="69">
        <v>-12.4</v>
      </c>
      <c r="AE46" s="676">
        <v>-12.9</v>
      </c>
      <c r="AF46" s="69">
        <v>-14.6</v>
      </c>
      <c r="AG46" s="69">
        <v>-15.3</v>
      </c>
      <c r="AH46" s="677">
        <v>-21.4</v>
      </c>
      <c r="AI46" s="69">
        <v>-12.9</v>
      </c>
      <c r="AJ46" s="69">
        <v>-14.6</v>
      </c>
      <c r="AK46" s="69">
        <v>-15.3</v>
      </c>
      <c r="AL46" s="69">
        <v>-21.4</v>
      </c>
      <c r="AM46" s="676">
        <v>-5</v>
      </c>
      <c r="AN46" s="69">
        <v>-8.3000000000000007</v>
      </c>
      <c r="AO46" s="69">
        <v>-12.2</v>
      </c>
      <c r="AP46" s="677">
        <v>-13</v>
      </c>
      <c r="AQ46" s="69">
        <v>-2</v>
      </c>
      <c r="AR46" s="69">
        <v>-5.7</v>
      </c>
      <c r="AS46" s="69">
        <v>-13.8</v>
      </c>
      <c r="AT46" s="677">
        <v>-64.900000000000006</v>
      </c>
      <c r="AU46" s="69">
        <v>-192.7</v>
      </c>
      <c r="AV46" s="69">
        <v>-482.2</v>
      </c>
      <c r="AW46" s="69"/>
      <c r="AX46" s="677"/>
      <c r="AY46" s="4"/>
      <c r="AZ46" s="4"/>
      <c r="BA46" s="4"/>
      <c r="BB46" s="4"/>
    </row>
    <row r="47" spans="1:54" ht="20.100000000000001" customHeight="1">
      <c r="A47" s="71" t="s">
        <v>394</v>
      </c>
      <c r="B47" s="693" t="s">
        <v>395</v>
      </c>
      <c r="C47" s="69">
        <v>0</v>
      </c>
      <c r="D47" s="69">
        <v>1.1000000000000001</v>
      </c>
      <c r="E47" s="69">
        <v>1.1000000000000001</v>
      </c>
      <c r="F47" s="69">
        <v>1.1000000000000001</v>
      </c>
      <c r="G47" s="697">
        <v>0</v>
      </c>
      <c r="H47" s="70">
        <v>0</v>
      </c>
      <c r="I47" s="70">
        <v>0</v>
      </c>
      <c r="J47" s="698">
        <v>0</v>
      </c>
      <c r="K47" s="70">
        <v>0</v>
      </c>
      <c r="L47" s="69">
        <v>0</v>
      </c>
      <c r="M47" s="69">
        <v>0</v>
      </c>
      <c r="N47" s="69">
        <v>0</v>
      </c>
      <c r="O47" s="676">
        <v>0</v>
      </c>
      <c r="P47" s="69">
        <v>0</v>
      </c>
      <c r="Q47" s="69">
        <v>0</v>
      </c>
      <c r="R47" s="677">
        <v>0</v>
      </c>
      <c r="S47" s="69">
        <v>0</v>
      </c>
      <c r="T47" s="69">
        <v>0</v>
      </c>
      <c r="U47" s="69">
        <v>0</v>
      </c>
      <c r="V47" s="69">
        <v>0.1</v>
      </c>
      <c r="W47" s="676">
        <v>0</v>
      </c>
      <c r="X47" s="69">
        <v>0</v>
      </c>
      <c r="Y47" s="69">
        <v>25</v>
      </c>
      <c r="Z47" s="677">
        <v>30.5</v>
      </c>
      <c r="AA47" s="69">
        <v>0</v>
      </c>
      <c r="AB47" s="69">
        <v>6.4</v>
      </c>
      <c r="AC47" s="69">
        <v>30</v>
      </c>
      <c r="AD47" s="69">
        <v>29.3</v>
      </c>
      <c r="AE47" s="676">
        <v>0</v>
      </c>
      <c r="AF47" s="69">
        <v>0</v>
      </c>
      <c r="AG47" s="69">
        <v>0</v>
      </c>
      <c r="AH47" s="677">
        <v>0.7</v>
      </c>
      <c r="AI47" s="69">
        <v>0</v>
      </c>
      <c r="AJ47" s="69">
        <v>0</v>
      </c>
      <c r="AK47" s="69">
        <v>0</v>
      </c>
      <c r="AL47" s="69">
        <v>0.7</v>
      </c>
      <c r="AM47" s="676">
        <v>0</v>
      </c>
      <c r="AN47" s="69">
        <v>0</v>
      </c>
      <c r="AO47" s="69">
        <v>0</v>
      </c>
      <c r="AP47" s="677">
        <v>0</v>
      </c>
      <c r="AQ47" s="69">
        <v>0</v>
      </c>
      <c r="AR47" s="69">
        <v>0</v>
      </c>
      <c r="AS47" s="69">
        <v>0</v>
      </c>
      <c r="AT47" s="677">
        <v>0</v>
      </c>
      <c r="AU47" s="69">
        <v>0</v>
      </c>
      <c r="AV47" s="69">
        <v>56.2</v>
      </c>
      <c r="AW47" s="69"/>
      <c r="AX47" s="677"/>
      <c r="AY47" s="4"/>
      <c r="AZ47" s="4"/>
      <c r="BA47" s="4"/>
      <c r="BB47" s="4"/>
    </row>
    <row r="48" spans="1:54" ht="20.100000000000001" customHeight="1">
      <c r="A48" s="71" t="s">
        <v>396</v>
      </c>
      <c r="B48" s="693" t="s">
        <v>397</v>
      </c>
      <c r="C48" s="70">
        <v>0</v>
      </c>
      <c r="D48" s="70">
        <v>0</v>
      </c>
      <c r="E48" s="70">
        <v>0</v>
      </c>
      <c r="F48" s="70">
        <v>0</v>
      </c>
      <c r="G48" s="697">
        <v>0</v>
      </c>
      <c r="H48" s="70">
        <v>0</v>
      </c>
      <c r="I48" s="70">
        <v>0</v>
      </c>
      <c r="J48" s="698">
        <v>0</v>
      </c>
      <c r="K48" s="70">
        <v>0</v>
      </c>
      <c r="L48" s="69">
        <v>5</v>
      </c>
      <c r="M48" s="69">
        <v>5.5</v>
      </c>
      <c r="N48" s="69">
        <v>6.6</v>
      </c>
      <c r="O48" s="676">
        <v>1.2</v>
      </c>
      <c r="P48" s="69">
        <v>-2.1</v>
      </c>
      <c r="Q48" s="69">
        <v>3.2</v>
      </c>
      <c r="R48" s="677">
        <v>3.9</v>
      </c>
      <c r="S48" s="69">
        <v>-5</v>
      </c>
      <c r="T48" s="69">
        <v>-4</v>
      </c>
      <c r="U48" s="69">
        <v>-3.5</v>
      </c>
      <c r="V48" s="69">
        <v>-1.6</v>
      </c>
      <c r="W48" s="676">
        <v>-1.1000000000000001</v>
      </c>
      <c r="X48" s="69">
        <v>0</v>
      </c>
      <c r="Y48" s="94" t="s">
        <v>398</v>
      </c>
      <c r="Z48" s="679" t="s">
        <v>398</v>
      </c>
      <c r="AA48" s="69">
        <v>-1.5</v>
      </c>
      <c r="AB48" s="69">
        <v>0</v>
      </c>
      <c r="AC48" s="69">
        <v>0</v>
      </c>
      <c r="AD48" s="94">
        <v>0</v>
      </c>
      <c r="AE48" s="676">
        <v>0</v>
      </c>
      <c r="AF48" s="69">
        <v>0</v>
      </c>
      <c r="AG48" s="69">
        <v>0</v>
      </c>
      <c r="AH48" s="679">
        <v>0</v>
      </c>
      <c r="AI48" s="69">
        <v>0</v>
      </c>
      <c r="AJ48" s="69">
        <v>0</v>
      </c>
      <c r="AK48" s="69">
        <v>0</v>
      </c>
      <c r="AL48" s="94">
        <v>0</v>
      </c>
      <c r="AM48" s="676">
        <v>0</v>
      </c>
      <c r="AN48" s="69">
        <v>0</v>
      </c>
      <c r="AO48" s="69">
        <v>0</v>
      </c>
      <c r="AP48" s="679">
        <v>0</v>
      </c>
      <c r="AQ48" s="69">
        <v>0</v>
      </c>
      <c r="AR48" s="69">
        <v>0</v>
      </c>
      <c r="AS48" s="69">
        <v>0</v>
      </c>
      <c r="AT48" s="679">
        <v>0</v>
      </c>
      <c r="AU48" s="69">
        <v>0</v>
      </c>
      <c r="AV48" s="69">
        <v>0</v>
      </c>
      <c r="AW48" s="69"/>
      <c r="AX48" s="679"/>
      <c r="AY48" s="4"/>
      <c r="AZ48" s="4"/>
      <c r="BA48" s="4"/>
      <c r="BB48" s="4"/>
    </row>
    <row r="49" spans="1:54" ht="20.100000000000001" customHeight="1">
      <c r="A49" s="71" t="s">
        <v>399</v>
      </c>
      <c r="B49" s="693" t="s">
        <v>400</v>
      </c>
      <c r="C49" s="70">
        <v>0</v>
      </c>
      <c r="D49" s="69">
        <v>1.258</v>
      </c>
      <c r="E49" s="69">
        <v>1.258</v>
      </c>
      <c r="F49" s="69">
        <v>2.706</v>
      </c>
      <c r="G49" s="676">
        <v>0</v>
      </c>
      <c r="H49" s="69">
        <v>2.5150000000000001</v>
      </c>
      <c r="I49" s="69">
        <v>2.5150000000000001</v>
      </c>
      <c r="J49" s="677">
        <v>2.5150000000000001</v>
      </c>
      <c r="K49" s="69">
        <v>2.5300000000000002</v>
      </c>
      <c r="L49" s="69">
        <v>2.5</v>
      </c>
      <c r="M49" s="69">
        <v>2.5</v>
      </c>
      <c r="N49" s="69">
        <v>2.5</v>
      </c>
      <c r="O49" s="676">
        <v>0</v>
      </c>
      <c r="P49" s="69">
        <v>0</v>
      </c>
      <c r="Q49" s="69">
        <v>0</v>
      </c>
      <c r="R49" s="677">
        <v>0</v>
      </c>
      <c r="S49" s="69">
        <v>0</v>
      </c>
      <c r="T49" s="69">
        <v>0</v>
      </c>
      <c r="U49" s="69">
        <v>0</v>
      </c>
      <c r="V49" s="69">
        <v>0</v>
      </c>
      <c r="W49" s="676">
        <v>0</v>
      </c>
      <c r="X49" s="69">
        <v>0</v>
      </c>
      <c r="Y49" s="69">
        <v>0</v>
      </c>
      <c r="Z49" s="677">
        <v>0</v>
      </c>
      <c r="AA49" s="69">
        <v>0</v>
      </c>
      <c r="AB49" s="69">
        <v>0</v>
      </c>
      <c r="AC49" s="69">
        <v>0</v>
      </c>
      <c r="AD49" s="69">
        <v>0</v>
      </c>
      <c r="AE49" s="676">
        <v>0</v>
      </c>
      <c r="AF49" s="69">
        <v>0</v>
      </c>
      <c r="AG49" s="69">
        <v>0</v>
      </c>
      <c r="AH49" s="677">
        <v>0</v>
      </c>
      <c r="AI49" s="69">
        <v>0</v>
      </c>
      <c r="AJ49" s="69">
        <v>0</v>
      </c>
      <c r="AK49" s="69">
        <v>0</v>
      </c>
      <c r="AL49" s="69">
        <v>0</v>
      </c>
      <c r="AM49" s="676">
        <v>0</v>
      </c>
      <c r="AN49" s="69">
        <v>56.8</v>
      </c>
      <c r="AO49" s="69">
        <v>57.2</v>
      </c>
      <c r="AP49" s="677">
        <v>57.2</v>
      </c>
      <c r="AQ49" s="69">
        <v>0</v>
      </c>
      <c r="AR49" s="685">
        <v>59.2</v>
      </c>
      <c r="AS49" s="69">
        <v>59.2</v>
      </c>
      <c r="AT49" s="677">
        <v>59.2</v>
      </c>
      <c r="AU49" s="69">
        <v>0</v>
      </c>
      <c r="AV49" s="69">
        <v>64</v>
      </c>
      <c r="AW49" s="69"/>
      <c r="AX49" s="677"/>
      <c r="AY49" s="4"/>
      <c r="AZ49" s="4"/>
      <c r="BA49" s="4"/>
      <c r="BB49" s="4"/>
    </row>
    <row r="50" spans="1:54" s="102" customFormat="1" ht="20.100000000000001" customHeight="1">
      <c r="A50" s="199" t="s">
        <v>401</v>
      </c>
      <c r="B50" s="694" t="s">
        <v>402</v>
      </c>
      <c r="C50" s="265"/>
      <c r="D50" s="264"/>
      <c r="E50" s="264"/>
      <c r="F50" s="264"/>
      <c r="G50" s="683"/>
      <c r="H50" s="264"/>
      <c r="I50" s="264"/>
      <c r="J50" s="684"/>
      <c r="K50" s="264"/>
      <c r="L50" s="264"/>
      <c r="M50" s="264"/>
      <c r="N50" s="264"/>
      <c r="O50" s="683"/>
      <c r="P50" s="264"/>
      <c r="Q50" s="264"/>
      <c r="R50" s="684"/>
      <c r="S50" s="264"/>
      <c r="T50" s="264"/>
      <c r="U50" s="264"/>
      <c r="V50" s="264"/>
      <c r="W50" s="683"/>
      <c r="X50" s="264"/>
      <c r="Y50" s="264"/>
      <c r="Z50" s="684"/>
      <c r="AA50" s="264"/>
      <c r="AB50" s="264"/>
      <c r="AC50" s="264"/>
      <c r="AD50" s="264"/>
      <c r="AE50" s="683"/>
      <c r="AF50" s="264">
        <v>8.6999999999999993</v>
      </c>
      <c r="AG50" s="264">
        <v>8.6999999999999993</v>
      </c>
      <c r="AH50" s="684">
        <v>8.6999999999999993</v>
      </c>
      <c r="AI50" s="264"/>
      <c r="AJ50" s="264">
        <v>8.6999999999999993</v>
      </c>
      <c r="AK50" s="264">
        <v>8.6999999999999993</v>
      </c>
      <c r="AL50" s="264">
        <v>8.6999999999999993</v>
      </c>
      <c r="AM50" s="683">
        <v>0</v>
      </c>
      <c r="AN50" s="264">
        <v>1.4</v>
      </c>
      <c r="AO50" s="264">
        <v>1.4</v>
      </c>
      <c r="AP50" s="684">
        <v>1.4</v>
      </c>
      <c r="AQ50" s="264">
        <v>8.6</v>
      </c>
      <c r="AR50" s="685">
        <v>8.6</v>
      </c>
      <c r="AS50" s="264">
        <v>8.6</v>
      </c>
      <c r="AT50" s="684">
        <v>8.6</v>
      </c>
      <c r="AU50" s="264">
        <v>0</v>
      </c>
      <c r="AV50" s="69">
        <v>0</v>
      </c>
      <c r="AW50" s="264"/>
      <c r="AX50" s="684"/>
    </row>
    <row r="51" spans="1:54" ht="20.100000000000001" customHeight="1">
      <c r="A51" s="71" t="s">
        <v>403</v>
      </c>
      <c r="B51" s="693" t="s">
        <v>404</v>
      </c>
      <c r="C51" s="70">
        <v>0</v>
      </c>
      <c r="D51" s="70">
        <v>0</v>
      </c>
      <c r="E51" s="70">
        <v>0</v>
      </c>
      <c r="F51" s="70">
        <v>0</v>
      </c>
      <c r="G51" s="697">
        <v>0</v>
      </c>
      <c r="H51" s="70">
        <v>0</v>
      </c>
      <c r="I51" s="70">
        <v>0</v>
      </c>
      <c r="J51" s="698">
        <v>0</v>
      </c>
      <c r="K51" s="70">
        <v>0</v>
      </c>
      <c r="L51" s="69">
        <v>0</v>
      </c>
      <c r="M51" s="69">
        <v>0</v>
      </c>
      <c r="N51" s="69">
        <v>0</v>
      </c>
      <c r="O51" s="676">
        <v>0</v>
      </c>
      <c r="P51" s="69">
        <v>0</v>
      </c>
      <c r="Q51" s="69">
        <v>0</v>
      </c>
      <c r="R51" s="677">
        <v>0</v>
      </c>
      <c r="S51" s="69">
        <v>0</v>
      </c>
      <c r="T51" s="69">
        <v>1</v>
      </c>
      <c r="U51" s="69">
        <v>1</v>
      </c>
      <c r="V51" s="69">
        <v>3.5</v>
      </c>
      <c r="W51" s="676">
        <v>1.2</v>
      </c>
      <c r="X51" s="69">
        <v>-0.5</v>
      </c>
      <c r="Y51" s="69">
        <v>5.9</v>
      </c>
      <c r="Z51" s="677">
        <v>6.4</v>
      </c>
      <c r="AA51" s="69">
        <v>1.1000000000000001</v>
      </c>
      <c r="AB51" s="69">
        <v>-0.9</v>
      </c>
      <c r="AC51" s="69">
        <v>-5.9</v>
      </c>
      <c r="AD51" s="69">
        <v>1.2</v>
      </c>
      <c r="AE51" s="676">
        <v>3</v>
      </c>
      <c r="AF51" s="69">
        <v>0.5</v>
      </c>
      <c r="AG51" s="69">
        <v>2.4</v>
      </c>
      <c r="AH51" s="677">
        <v>0.7</v>
      </c>
      <c r="AI51" s="69">
        <v>3</v>
      </c>
      <c r="AJ51" s="69">
        <v>0.5</v>
      </c>
      <c r="AK51" s="69">
        <v>2.4</v>
      </c>
      <c r="AL51" s="69">
        <v>0.7</v>
      </c>
      <c r="AM51" s="676">
        <v>2.9</v>
      </c>
      <c r="AN51" s="69">
        <v>1.8</v>
      </c>
      <c r="AO51" s="69">
        <v>3.3</v>
      </c>
      <c r="AP51" s="677">
        <v>3.3</v>
      </c>
      <c r="AQ51" s="69">
        <v>1.4</v>
      </c>
      <c r="AR51" s="686">
        <v>2</v>
      </c>
      <c r="AS51" s="69">
        <v>2.5</v>
      </c>
      <c r="AT51" s="677">
        <v>-0.2</v>
      </c>
      <c r="AU51" s="69">
        <v>1.6</v>
      </c>
      <c r="AV51" s="686">
        <v>1.9</v>
      </c>
      <c r="AW51" s="69"/>
      <c r="AX51" s="677"/>
      <c r="AY51" s="4"/>
      <c r="AZ51" s="4"/>
      <c r="BA51" s="4"/>
      <c r="BB51" s="4"/>
    </row>
    <row r="52" spans="1:54" s="269" customFormat="1" ht="24.95" customHeight="1">
      <c r="A52" s="389" t="s">
        <v>405</v>
      </c>
      <c r="B52" s="695" t="s">
        <v>406</v>
      </c>
      <c r="C52" s="390">
        <f t="shared" ref="C52:AN52" si="19">SUM(C35:C51)</f>
        <v>-24.143000000000004</v>
      </c>
      <c r="D52" s="390">
        <f t="shared" si="19"/>
        <v>-83.230000000000018</v>
      </c>
      <c r="E52" s="390">
        <f t="shared" si="19"/>
        <v>-107.08400000000002</v>
      </c>
      <c r="F52" s="390">
        <f t="shared" si="19"/>
        <v>-133.43099999999998</v>
      </c>
      <c r="G52" s="681">
        <f t="shared" si="19"/>
        <v>-34.882999999999996</v>
      </c>
      <c r="H52" s="390">
        <f t="shared" si="19"/>
        <v>-58.354000000000006</v>
      </c>
      <c r="I52" s="390">
        <f t="shared" si="19"/>
        <v>-110.15100000000002</v>
      </c>
      <c r="J52" s="682">
        <f t="shared" si="19"/>
        <v>-133.83700000000002</v>
      </c>
      <c r="K52" s="390">
        <f t="shared" si="19"/>
        <v>-36.552999999999997</v>
      </c>
      <c r="L52" s="390">
        <f t="shared" si="19"/>
        <v>1394.1000000000001</v>
      </c>
      <c r="M52" s="390">
        <f t="shared" si="19"/>
        <v>1042.3</v>
      </c>
      <c r="N52" s="390">
        <f t="shared" si="19"/>
        <v>972.80000000000007</v>
      </c>
      <c r="O52" s="681">
        <f t="shared" si="19"/>
        <v>-208.2</v>
      </c>
      <c r="P52" s="390">
        <f t="shared" si="19"/>
        <v>-347.59999999999997</v>
      </c>
      <c r="Q52" s="390">
        <f t="shared" si="19"/>
        <v>-576.29999999999995</v>
      </c>
      <c r="R52" s="682">
        <f t="shared" si="19"/>
        <v>-726.60000000000014</v>
      </c>
      <c r="S52" s="390">
        <f t="shared" si="19"/>
        <v>-24.899999999999988</v>
      </c>
      <c r="T52" s="390">
        <f t="shared" si="19"/>
        <v>-541.09999999999991</v>
      </c>
      <c r="U52" s="390">
        <f t="shared" si="19"/>
        <v>-815.19999999999993</v>
      </c>
      <c r="V52" s="390">
        <f t="shared" si="19"/>
        <v>-1003.4</v>
      </c>
      <c r="W52" s="681">
        <f t="shared" si="19"/>
        <v>-159.20000000000002</v>
      </c>
      <c r="X52" s="390">
        <f t="shared" si="19"/>
        <v>-367.5</v>
      </c>
      <c r="Y52" s="390">
        <f t="shared" si="19"/>
        <v>-657.20000000000016</v>
      </c>
      <c r="Z52" s="682">
        <f t="shared" si="19"/>
        <v>-1573.2999999999997</v>
      </c>
      <c r="AA52" s="390">
        <f t="shared" si="19"/>
        <v>-255.4</v>
      </c>
      <c r="AB52" s="390">
        <f t="shared" si="19"/>
        <v>-637.70000000000005</v>
      </c>
      <c r="AC52" s="390">
        <f t="shared" si="19"/>
        <v>-1197.3000000000002</v>
      </c>
      <c r="AD52" s="390">
        <f t="shared" si="19"/>
        <v>-1835.5</v>
      </c>
      <c r="AE52" s="681">
        <f t="shared" si="19"/>
        <v>-367.19999999999993</v>
      </c>
      <c r="AF52" s="390">
        <f t="shared" si="19"/>
        <v>-731.99999999999989</v>
      </c>
      <c r="AG52" s="390">
        <f t="shared" si="19"/>
        <v>-1181.4999999999998</v>
      </c>
      <c r="AH52" s="682">
        <f t="shared" si="19"/>
        <v>-2715.1000000000008</v>
      </c>
      <c r="AI52" s="390">
        <f t="shared" si="19"/>
        <v>-367.19999999999993</v>
      </c>
      <c r="AJ52" s="390">
        <f t="shared" si="19"/>
        <v>-731.99999999999989</v>
      </c>
      <c r="AK52" s="390">
        <f t="shared" si="19"/>
        <v>-1181.4999999999998</v>
      </c>
      <c r="AL52" s="390">
        <f t="shared" si="19"/>
        <v>-2715.1000000000008</v>
      </c>
      <c r="AM52" s="681">
        <f t="shared" si="19"/>
        <v>-364</v>
      </c>
      <c r="AN52" s="390">
        <f t="shared" si="19"/>
        <v>-544.1</v>
      </c>
      <c r="AO52" s="390">
        <v>-1361</v>
      </c>
      <c r="AP52" s="682">
        <f t="shared" ref="AP52:AX52" si="20">SUM(AP35:AP51)</f>
        <v>-1786.3</v>
      </c>
      <c r="AQ52" s="390">
        <f t="shared" si="20"/>
        <v>-374.20000000000005</v>
      </c>
      <c r="AR52" s="390">
        <f t="shared" si="20"/>
        <v>-1339.2</v>
      </c>
      <c r="AS52" s="390">
        <f t="shared" si="20"/>
        <v>4646</v>
      </c>
      <c r="AT52" s="682">
        <f t="shared" si="20"/>
        <v>4327.9000000000005</v>
      </c>
      <c r="AU52" s="390">
        <f t="shared" si="20"/>
        <v>-534.79999999999984</v>
      </c>
      <c r="AV52" s="390">
        <f t="shared" si="20"/>
        <v>-1682.6</v>
      </c>
      <c r="AW52" s="390">
        <f t="shared" si="20"/>
        <v>0</v>
      </c>
      <c r="AX52" s="682">
        <f t="shared" si="20"/>
        <v>0</v>
      </c>
    </row>
    <row r="53" spans="1:54" ht="20.100000000000001" customHeight="1">
      <c r="A53" s="71" t="s">
        <v>407</v>
      </c>
      <c r="B53" s="693" t="s">
        <v>408</v>
      </c>
      <c r="C53" s="69">
        <v>-26.754999999999999</v>
      </c>
      <c r="D53" s="69">
        <v>-155.76300000000001</v>
      </c>
      <c r="E53" s="69">
        <v>-397.57499999999999</v>
      </c>
      <c r="F53" s="69">
        <v>-453.32400000000001</v>
      </c>
      <c r="G53" s="676">
        <v>-49.813000000000002</v>
      </c>
      <c r="H53" s="69">
        <v>-192.59</v>
      </c>
      <c r="I53" s="69">
        <v>-366.16200000000003</v>
      </c>
      <c r="J53" s="677">
        <v>-431.11700000000002</v>
      </c>
      <c r="K53" s="69">
        <v>-37.393999999999998</v>
      </c>
      <c r="L53" s="69">
        <v>-547.1</v>
      </c>
      <c r="M53" s="69">
        <v>-747.1</v>
      </c>
      <c r="N53" s="69">
        <v>-1087.0999999999999</v>
      </c>
      <c r="O53" s="676">
        <v>-157</v>
      </c>
      <c r="P53" s="69">
        <v>-954.2</v>
      </c>
      <c r="Q53" s="69">
        <v>-9222.2000000000007</v>
      </c>
      <c r="R53" s="677">
        <v>-9222.2000000000007</v>
      </c>
      <c r="S53" s="69">
        <v>-916.1</v>
      </c>
      <c r="T53" s="69">
        <v>-1498.9</v>
      </c>
      <c r="U53" s="69">
        <v>-1706.9</v>
      </c>
      <c r="V53" s="69">
        <v>-1940.9</v>
      </c>
      <c r="W53" s="676">
        <v>-234</v>
      </c>
      <c r="X53" s="69">
        <v>-568</v>
      </c>
      <c r="Y53" s="69">
        <v>-802</v>
      </c>
      <c r="Z53" s="677">
        <v>-1162.5</v>
      </c>
      <c r="AA53" s="69">
        <v>-550</v>
      </c>
      <c r="AB53" s="69">
        <v>-652</v>
      </c>
      <c r="AC53" s="69">
        <v>-1077.8</v>
      </c>
      <c r="AD53" s="69">
        <v>-1282.2</v>
      </c>
      <c r="AE53" s="676">
        <v>-584.4</v>
      </c>
      <c r="AF53" s="69">
        <v>-851.6</v>
      </c>
      <c r="AG53" s="69">
        <v>-1406</v>
      </c>
      <c r="AH53" s="677">
        <v>-1742.5</v>
      </c>
      <c r="AI53" s="69">
        <v>-584.4</v>
      </c>
      <c r="AJ53" s="69">
        <v>-851.6</v>
      </c>
      <c r="AK53" s="69">
        <v>-1406</v>
      </c>
      <c r="AL53" s="69">
        <v>-1742.5</v>
      </c>
      <c r="AM53" s="676">
        <v>-857.2</v>
      </c>
      <c r="AN53" s="69">
        <v>-857.9</v>
      </c>
      <c r="AO53" s="69">
        <v>-857.9</v>
      </c>
      <c r="AP53" s="677">
        <v>-857.9</v>
      </c>
      <c r="AQ53" s="69">
        <v>0</v>
      </c>
      <c r="AR53" s="69">
        <v>-200</v>
      </c>
      <c r="AS53" s="69">
        <v>-1472.4</v>
      </c>
      <c r="AT53" s="677">
        <v>-2682.8</v>
      </c>
      <c r="AU53" s="69">
        <v>-200</v>
      </c>
      <c r="AV53" s="69">
        <v>-645.1</v>
      </c>
      <c r="AW53" s="69"/>
      <c r="AX53" s="677"/>
      <c r="AY53" s="4"/>
      <c r="AZ53" s="4"/>
      <c r="BA53" s="4"/>
      <c r="BB53" s="4"/>
    </row>
    <row r="54" spans="1:54" ht="20.100000000000001" customHeight="1">
      <c r="A54" s="71" t="s">
        <v>409</v>
      </c>
      <c r="B54" s="693" t="s">
        <v>410</v>
      </c>
      <c r="C54" s="70">
        <v>0</v>
      </c>
      <c r="D54" s="70">
        <v>0</v>
      </c>
      <c r="E54" s="70">
        <v>0</v>
      </c>
      <c r="F54" s="70">
        <v>0</v>
      </c>
      <c r="G54" s="697">
        <v>0</v>
      </c>
      <c r="H54" s="70">
        <v>0</v>
      </c>
      <c r="I54" s="70">
        <v>0</v>
      </c>
      <c r="J54" s="698">
        <v>0</v>
      </c>
      <c r="K54" s="70">
        <v>0</v>
      </c>
      <c r="L54" s="69">
        <v>2800</v>
      </c>
      <c r="M54" s="69">
        <v>2800</v>
      </c>
      <c r="N54" s="69">
        <v>2800</v>
      </c>
      <c r="O54" s="676">
        <v>50</v>
      </c>
      <c r="P54" s="69">
        <v>120</v>
      </c>
      <c r="Q54" s="69">
        <v>6820</v>
      </c>
      <c r="R54" s="677">
        <v>6820</v>
      </c>
      <c r="S54" s="69">
        <v>5500</v>
      </c>
      <c r="T54" s="69">
        <v>5500</v>
      </c>
      <c r="U54" s="69">
        <v>5500</v>
      </c>
      <c r="V54" s="69">
        <v>5500</v>
      </c>
      <c r="W54" s="676">
        <v>0</v>
      </c>
      <c r="X54" s="69">
        <v>600</v>
      </c>
      <c r="Y54" s="69">
        <v>600</v>
      </c>
      <c r="Z54" s="677">
        <v>1200</v>
      </c>
      <c r="AA54" s="69">
        <v>0</v>
      </c>
      <c r="AB54" s="69">
        <v>18.100000000000001</v>
      </c>
      <c r="AC54" s="69">
        <v>635.29999999999995</v>
      </c>
      <c r="AD54" s="69">
        <v>635.29999999999995</v>
      </c>
      <c r="AE54" s="676">
        <v>0</v>
      </c>
      <c r="AF54" s="69">
        <v>0</v>
      </c>
      <c r="AG54" s="69">
        <v>780</v>
      </c>
      <c r="AH54" s="677">
        <v>2010</v>
      </c>
      <c r="AI54" s="69">
        <v>0</v>
      </c>
      <c r="AJ54" s="69">
        <v>0</v>
      </c>
      <c r="AK54" s="69">
        <v>780</v>
      </c>
      <c r="AL54" s="69">
        <v>2010</v>
      </c>
      <c r="AM54" s="676">
        <v>35</v>
      </c>
      <c r="AN54" s="69">
        <v>35</v>
      </c>
      <c r="AO54" s="69">
        <v>35</v>
      </c>
      <c r="AP54" s="677">
        <v>35</v>
      </c>
      <c r="AQ54" s="69">
        <v>0</v>
      </c>
      <c r="AR54" s="69">
        <v>110</v>
      </c>
      <c r="AS54" s="69">
        <v>1665</v>
      </c>
      <c r="AT54" s="677">
        <v>1665</v>
      </c>
      <c r="AU54" s="69">
        <v>0</v>
      </c>
      <c r="AV54" s="69">
        <v>7.1</v>
      </c>
      <c r="AW54" s="69"/>
      <c r="AX54" s="677"/>
      <c r="AY54" s="4"/>
      <c r="AZ54" s="4"/>
      <c r="BA54" s="4"/>
      <c r="BB54" s="4"/>
    </row>
    <row r="55" spans="1:54" s="102" customFormat="1" ht="20.100000000000001" customHeight="1">
      <c r="A55" s="199" t="s">
        <v>411</v>
      </c>
      <c r="B55" s="694" t="s">
        <v>412</v>
      </c>
      <c r="C55" s="265">
        <v>0</v>
      </c>
      <c r="D55" s="265">
        <v>0</v>
      </c>
      <c r="E55" s="265">
        <v>0</v>
      </c>
      <c r="F55" s="265">
        <v>0</v>
      </c>
      <c r="G55" s="699">
        <v>0</v>
      </c>
      <c r="H55" s="265">
        <v>0</v>
      </c>
      <c r="I55" s="265">
        <v>0</v>
      </c>
      <c r="J55" s="700">
        <v>0</v>
      </c>
      <c r="K55" s="265">
        <v>0</v>
      </c>
      <c r="L55" s="264">
        <v>-2275.9</v>
      </c>
      <c r="M55" s="264">
        <v>-2275.9</v>
      </c>
      <c r="N55" s="264">
        <v>-2275.9</v>
      </c>
      <c r="O55" s="683">
        <v>0</v>
      </c>
      <c r="P55" s="264">
        <v>0</v>
      </c>
      <c r="Q55" s="264">
        <v>1000</v>
      </c>
      <c r="R55" s="684">
        <v>1000</v>
      </c>
      <c r="S55" s="264">
        <v>-4483.8</v>
      </c>
      <c r="T55" s="264">
        <v>-4483.8</v>
      </c>
      <c r="U55" s="264">
        <v>-4483.8</v>
      </c>
      <c r="V55" s="264">
        <v>-4484</v>
      </c>
      <c r="W55" s="683">
        <v>0</v>
      </c>
      <c r="X55" s="264">
        <v>-886.7</v>
      </c>
      <c r="Y55" s="264">
        <v>-886.7</v>
      </c>
      <c r="Z55" s="684">
        <v>-886.7</v>
      </c>
      <c r="AA55" s="264">
        <v>0</v>
      </c>
      <c r="AB55" s="264">
        <v>0</v>
      </c>
      <c r="AC55" s="264">
        <v>0</v>
      </c>
      <c r="AD55" s="264">
        <v>0</v>
      </c>
      <c r="AE55" s="683">
        <v>0</v>
      </c>
      <c r="AF55" s="266" t="s">
        <v>413</v>
      </c>
      <c r="AG55" s="266" t="s">
        <v>413</v>
      </c>
      <c r="AH55" s="679" t="s">
        <v>413</v>
      </c>
      <c r="AI55" s="264">
        <v>0</v>
      </c>
      <c r="AJ55" s="266" t="s">
        <v>413</v>
      </c>
      <c r="AK55" s="266" t="s">
        <v>413</v>
      </c>
      <c r="AL55" s="94" t="s">
        <v>413</v>
      </c>
      <c r="AM55" s="683">
        <v>1000</v>
      </c>
      <c r="AN55" s="264">
        <v>1000</v>
      </c>
      <c r="AO55" s="264">
        <v>1000</v>
      </c>
      <c r="AP55" s="677">
        <v>1000</v>
      </c>
      <c r="AQ55" s="264">
        <v>0</v>
      </c>
      <c r="AR55" s="264">
        <v>0</v>
      </c>
      <c r="AS55" s="264">
        <v>0</v>
      </c>
      <c r="AT55" s="677">
        <v>0</v>
      </c>
      <c r="AU55" s="264">
        <v>0</v>
      </c>
      <c r="AV55" s="264">
        <v>0</v>
      </c>
      <c r="AW55" s="264"/>
      <c r="AX55" s="677"/>
    </row>
    <row r="56" spans="1:54" ht="20.100000000000001" customHeight="1">
      <c r="A56" s="71" t="s">
        <v>414</v>
      </c>
      <c r="B56" s="693" t="s">
        <v>415</v>
      </c>
      <c r="C56" s="70"/>
      <c r="D56" s="70"/>
      <c r="E56" s="70"/>
      <c r="F56" s="70"/>
      <c r="G56" s="697"/>
      <c r="H56" s="70"/>
      <c r="I56" s="70"/>
      <c r="J56" s="698"/>
      <c r="K56" s="70"/>
      <c r="L56" s="69"/>
      <c r="M56" s="69"/>
      <c r="N56" s="69"/>
      <c r="O56" s="676"/>
      <c r="P56" s="69"/>
      <c r="Q56" s="69"/>
      <c r="R56" s="677"/>
      <c r="S56" s="69">
        <v>-262.10000000000002</v>
      </c>
      <c r="T56" s="69">
        <v>-262.10000000000002</v>
      </c>
      <c r="U56" s="69">
        <v>-262.10000000000002</v>
      </c>
      <c r="V56" s="69">
        <v>-262.10000000000002</v>
      </c>
      <c r="W56" s="676">
        <v>0</v>
      </c>
      <c r="X56" s="69">
        <v>-58.7</v>
      </c>
      <c r="Y56" s="69">
        <v>-58.7</v>
      </c>
      <c r="Z56" s="677">
        <v>-58.7</v>
      </c>
      <c r="AA56" s="69">
        <v>0</v>
      </c>
      <c r="AB56" s="69">
        <v>0</v>
      </c>
      <c r="AC56" s="69">
        <v>0</v>
      </c>
      <c r="AD56" s="69">
        <v>0</v>
      </c>
      <c r="AE56" s="676">
        <v>0</v>
      </c>
      <c r="AF56" s="69">
        <v>0</v>
      </c>
      <c r="AG56" s="69">
        <v>0</v>
      </c>
      <c r="AH56" s="677">
        <v>0</v>
      </c>
      <c r="AI56" s="69">
        <v>0</v>
      </c>
      <c r="AJ56" s="69">
        <v>0</v>
      </c>
      <c r="AK56" s="69">
        <v>0</v>
      </c>
      <c r="AL56" s="69">
        <v>0</v>
      </c>
      <c r="AM56" s="676">
        <v>0</v>
      </c>
      <c r="AN56" s="69">
        <v>0</v>
      </c>
      <c r="AO56" s="69">
        <v>0</v>
      </c>
      <c r="AP56" s="677">
        <v>0</v>
      </c>
      <c r="AQ56" s="69">
        <v>0</v>
      </c>
      <c r="AR56" s="69">
        <v>0</v>
      </c>
      <c r="AS56" s="69">
        <v>0</v>
      </c>
      <c r="AT56" s="677">
        <v>0</v>
      </c>
      <c r="AU56" s="69">
        <v>0</v>
      </c>
      <c r="AV56" s="69">
        <v>0</v>
      </c>
      <c r="AW56" s="69"/>
      <c r="AX56" s="677"/>
      <c r="AY56" s="4"/>
      <c r="AZ56" s="4"/>
      <c r="BA56" s="4"/>
      <c r="BB56" s="4"/>
    </row>
    <row r="57" spans="1:54" ht="25.5" customHeight="1">
      <c r="A57" s="71" t="s">
        <v>416</v>
      </c>
      <c r="B57" s="693" t="s">
        <v>417</v>
      </c>
      <c r="C57" s="70"/>
      <c r="D57" s="70"/>
      <c r="E57" s="70"/>
      <c r="F57" s="70"/>
      <c r="G57" s="697"/>
      <c r="H57" s="70"/>
      <c r="I57" s="70"/>
      <c r="J57" s="698"/>
      <c r="K57" s="70"/>
      <c r="L57" s="69"/>
      <c r="M57" s="69"/>
      <c r="N57" s="69"/>
      <c r="O57" s="676"/>
      <c r="P57" s="69"/>
      <c r="Q57" s="69"/>
      <c r="R57" s="677"/>
      <c r="S57" s="69">
        <v>175.4</v>
      </c>
      <c r="T57" s="69">
        <v>175.4</v>
      </c>
      <c r="U57" s="69">
        <v>175.4</v>
      </c>
      <c r="V57" s="69">
        <v>175.4</v>
      </c>
      <c r="W57" s="676">
        <v>0</v>
      </c>
      <c r="X57" s="69">
        <v>0</v>
      </c>
      <c r="Y57" s="69">
        <v>0</v>
      </c>
      <c r="Z57" s="677">
        <v>0</v>
      </c>
      <c r="AA57" s="69">
        <v>0</v>
      </c>
      <c r="AB57" s="69">
        <v>0</v>
      </c>
      <c r="AC57" s="69">
        <v>0</v>
      </c>
      <c r="AD57" s="69">
        <v>0</v>
      </c>
      <c r="AE57" s="676">
        <v>0</v>
      </c>
      <c r="AF57" s="69">
        <v>0</v>
      </c>
      <c r="AG57" s="69">
        <v>0</v>
      </c>
      <c r="AH57" s="677">
        <v>0</v>
      </c>
      <c r="AI57" s="69">
        <v>0</v>
      </c>
      <c r="AJ57" s="69">
        <v>0</v>
      </c>
      <c r="AK57" s="69">
        <v>0</v>
      </c>
      <c r="AL57" s="69">
        <v>0</v>
      </c>
      <c r="AM57" s="676">
        <v>0</v>
      </c>
      <c r="AN57" s="69">
        <v>0</v>
      </c>
      <c r="AO57" s="69">
        <v>0</v>
      </c>
      <c r="AP57" s="677">
        <v>0</v>
      </c>
      <c r="AQ57" s="69">
        <v>0</v>
      </c>
      <c r="AR57" s="69">
        <v>0</v>
      </c>
      <c r="AS57" s="69">
        <v>0</v>
      </c>
      <c r="AT57" s="677">
        <v>0</v>
      </c>
      <c r="AU57" s="69">
        <v>0</v>
      </c>
      <c r="AV57" s="69">
        <v>0</v>
      </c>
      <c r="AW57" s="69"/>
      <c r="AX57" s="677"/>
      <c r="AY57" s="4"/>
      <c r="AZ57" s="4"/>
      <c r="BA57" s="4"/>
      <c r="BB57" s="4"/>
    </row>
    <row r="58" spans="1:54" s="102" customFormat="1" ht="27.75">
      <c r="A58" s="199" t="s">
        <v>418</v>
      </c>
      <c r="B58" s="694" t="s">
        <v>419</v>
      </c>
      <c r="C58" s="264">
        <v>-26.132999999999999</v>
      </c>
      <c r="D58" s="264">
        <f>(-103258-821)*0.001</f>
        <v>-104.07900000000001</v>
      </c>
      <c r="E58" s="264">
        <f>(-125824-2250)*0.001</f>
        <v>-128.07400000000001</v>
      </c>
      <c r="F58" s="264">
        <f>(-195934-3683)*0.001</f>
        <v>-199.61699999999999</v>
      </c>
      <c r="G58" s="683">
        <f>(-15811-1035)*0.001</f>
        <v>-16.846</v>
      </c>
      <c r="H58" s="264">
        <f>(-84439-1241)*0.001</f>
        <v>-85.68</v>
      </c>
      <c r="I58" s="264">
        <f>(-96215-1689)*0.001</f>
        <v>-97.903999999999996</v>
      </c>
      <c r="J58" s="684">
        <v>-165.017</v>
      </c>
      <c r="K58" s="264">
        <v>-9.0950000000000006</v>
      </c>
      <c r="L58" s="264">
        <v>-348.3</v>
      </c>
      <c r="M58" s="264">
        <v>-733.5</v>
      </c>
      <c r="N58" s="264">
        <v>-872.2</v>
      </c>
      <c r="O58" s="683">
        <v>-357.9</v>
      </c>
      <c r="P58" s="264">
        <v>-472.3</v>
      </c>
      <c r="Q58" s="264">
        <v>-804.1</v>
      </c>
      <c r="R58" s="684">
        <v>-978.9</v>
      </c>
      <c r="S58" s="264">
        <v>-383.2</v>
      </c>
      <c r="T58" s="264">
        <v>-507.9</v>
      </c>
      <c r="U58" s="264">
        <v>-631.70000000000005</v>
      </c>
      <c r="V58" s="264">
        <v>-729.6</v>
      </c>
      <c r="W58" s="683">
        <v>-112.5</v>
      </c>
      <c r="X58" s="264">
        <v>-206</v>
      </c>
      <c r="Y58" s="264">
        <v>-319.60000000000002</v>
      </c>
      <c r="Z58" s="684">
        <v>-409.9</v>
      </c>
      <c r="AA58" s="264">
        <v>-138</v>
      </c>
      <c r="AB58" s="264">
        <v>-230.9</v>
      </c>
      <c r="AC58" s="264">
        <v>-342.8</v>
      </c>
      <c r="AD58" s="264">
        <v>-419</v>
      </c>
      <c r="AE58" s="683">
        <v>-107.1</v>
      </c>
      <c r="AF58" s="264">
        <v>-205.5</v>
      </c>
      <c r="AG58" s="264">
        <v>-362</v>
      </c>
      <c r="AH58" s="684">
        <v>-465.4</v>
      </c>
      <c r="AI58" s="264">
        <v>-107.1</v>
      </c>
      <c r="AJ58" s="264">
        <v>-205.5</v>
      </c>
      <c r="AK58" s="264">
        <v>-362</v>
      </c>
      <c r="AL58" s="264">
        <v>-465.4</v>
      </c>
      <c r="AM58" s="683">
        <v>-84.6</v>
      </c>
      <c r="AN58" s="264">
        <f>-193.4</f>
        <v>-193.4</v>
      </c>
      <c r="AO58" s="264">
        <v>-256.2</v>
      </c>
      <c r="AP58" s="684">
        <v>-315.3</v>
      </c>
      <c r="AQ58" s="264">
        <v>-54.8</v>
      </c>
      <c r="AR58" s="264">
        <v>-111.3</v>
      </c>
      <c r="AS58" s="264">
        <v>-163.9</v>
      </c>
      <c r="AT58" s="684">
        <v>-213.3</v>
      </c>
      <c r="AU58" s="264">
        <v>-78.7</v>
      </c>
      <c r="AV58" s="264">
        <v>-217.6</v>
      </c>
      <c r="AW58" s="264"/>
      <c r="AX58" s="684"/>
    </row>
    <row r="59" spans="1:54" ht="20.100000000000001" customHeight="1">
      <c r="A59" s="71" t="s">
        <v>420</v>
      </c>
      <c r="B59" s="693" t="s">
        <v>421</v>
      </c>
      <c r="C59" s="69"/>
      <c r="D59" s="69"/>
      <c r="E59" s="69"/>
      <c r="F59" s="69"/>
      <c r="G59" s="676"/>
      <c r="H59" s="69"/>
      <c r="I59" s="69"/>
      <c r="J59" s="677"/>
      <c r="K59" s="69"/>
      <c r="L59" s="69"/>
      <c r="M59" s="69"/>
      <c r="N59" s="69"/>
      <c r="O59" s="676"/>
      <c r="P59" s="69"/>
      <c r="Q59" s="69"/>
      <c r="R59" s="677"/>
      <c r="S59" s="69"/>
      <c r="T59" s="69"/>
      <c r="U59" s="69"/>
      <c r="V59" s="69"/>
      <c r="W59" s="676"/>
      <c r="X59" s="69"/>
      <c r="Y59" s="69"/>
      <c r="Z59" s="677"/>
      <c r="AA59" s="69"/>
      <c r="AB59" s="69"/>
      <c r="AC59" s="69"/>
      <c r="AD59" s="69"/>
      <c r="AE59" s="676">
        <v>-0.2</v>
      </c>
      <c r="AF59" s="69">
        <v>-0.4</v>
      </c>
      <c r="AG59" s="69">
        <v>-0.6</v>
      </c>
      <c r="AH59" s="677">
        <v>-0.8</v>
      </c>
      <c r="AI59" s="69">
        <v>-7.8</v>
      </c>
      <c r="AJ59" s="69">
        <v>-18.8</v>
      </c>
      <c r="AK59" s="69">
        <v>-28.6</v>
      </c>
      <c r="AL59" s="69">
        <v>-47.6</v>
      </c>
      <c r="AM59" s="676">
        <v>-12.4</v>
      </c>
      <c r="AN59" s="69">
        <v>-21.1</v>
      </c>
      <c r="AO59" s="69">
        <v>-35.1</v>
      </c>
      <c r="AP59" s="677">
        <v>-46</v>
      </c>
      <c r="AQ59" s="69">
        <v>-11.4</v>
      </c>
      <c r="AR59" s="69">
        <v>-21</v>
      </c>
      <c r="AS59" s="69">
        <v>-27.6</v>
      </c>
      <c r="AT59" s="677">
        <v>-32.4</v>
      </c>
      <c r="AU59" s="69">
        <v>-5.4</v>
      </c>
      <c r="AV59" s="69">
        <v>-10.3</v>
      </c>
      <c r="AW59" s="69"/>
      <c r="AX59" s="677"/>
      <c r="AY59" s="4"/>
      <c r="AZ59" s="4"/>
      <c r="BA59" s="4"/>
      <c r="BB59" s="4"/>
    </row>
    <row r="60" spans="1:54" ht="20.100000000000001" customHeight="1">
      <c r="A60" s="71" t="s">
        <v>422</v>
      </c>
      <c r="B60" s="693" t="s">
        <v>423</v>
      </c>
      <c r="C60" s="69"/>
      <c r="D60" s="69"/>
      <c r="E60" s="69"/>
      <c r="F60" s="69"/>
      <c r="G60" s="676"/>
      <c r="H60" s="69"/>
      <c r="I60" s="69"/>
      <c r="J60" s="677"/>
      <c r="K60" s="69"/>
      <c r="L60" s="69"/>
      <c r="M60" s="69"/>
      <c r="N60" s="69"/>
      <c r="O60" s="676"/>
      <c r="P60" s="69"/>
      <c r="Q60" s="69"/>
      <c r="R60" s="677"/>
      <c r="S60" s="69"/>
      <c r="T60" s="69"/>
      <c r="U60" s="69"/>
      <c r="V60" s="69"/>
      <c r="W60" s="676"/>
      <c r="X60" s="69"/>
      <c r="Y60" s="69"/>
      <c r="Z60" s="677"/>
      <c r="AA60" s="69"/>
      <c r="AB60" s="69"/>
      <c r="AC60" s="69"/>
      <c r="AD60" s="69"/>
      <c r="AE60" s="676">
        <v>-3.1</v>
      </c>
      <c r="AF60" s="69">
        <v>-6.1</v>
      </c>
      <c r="AG60" s="69">
        <v>-8.9</v>
      </c>
      <c r="AH60" s="677">
        <v>-4.4000000000000004</v>
      </c>
      <c r="AI60" s="69">
        <v>-54.5</v>
      </c>
      <c r="AJ60" s="69">
        <v>-142.69999999999999</v>
      </c>
      <c r="AK60" s="69">
        <v>-234</v>
      </c>
      <c r="AL60" s="69">
        <v>-343.7</v>
      </c>
      <c r="AM60" s="676">
        <v>-106.3</v>
      </c>
      <c r="AN60" s="69">
        <v>-185.7</v>
      </c>
      <c r="AO60" s="69">
        <v>-304.39999999999998</v>
      </c>
      <c r="AP60" s="677">
        <v>-399.2</v>
      </c>
      <c r="AQ60" s="69">
        <v>-119</v>
      </c>
      <c r="AR60" s="69">
        <v>-222</v>
      </c>
      <c r="AS60" s="69">
        <v>-280.89999999999998</v>
      </c>
      <c r="AT60" s="677">
        <v>-335.4</v>
      </c>
      <c r="AU60" s="69">
        <v>-52.9</v>
      </c>
      <c r="AV60" s="69">
        <v>-100.7</v>
      </c>
      <c r="AW60" s="69"/>
      <c r="AX60" s="677"/>
      <c r="AY60" s="4"/>
      <c r="AZ60" s="4"/>
      <c r="BA60" s="4"/>
      <c r="BB60" s="4"/>
    </row>
    <row r="61" spans="1:54" ht="20.100000000000001" customHeight="1">
      <c r="A61" s="71" t="s">
        <v>424</v>
      </c>
      <c r="B61" s="693" t="s">
        <v>425</v>
      </c>
      <c r="C61" s="70">
        <v>0</v>
      </c>
      <c r="D61" s="70">
        <v>0</v>
      </c>
      <c r="E61" s="70">
        <v>0</v>
      </c>
      <c r="F61" s="70">
        <v>0</v>
      </c>
      <c r="G61" s="697">
        <v>0</v>
      </c>
      <c r="H61" s="70">
        <v>0</v>
      </c>
      <c r="I61" s="70">
        <v>0</v>
      </c>
      <c r="J61" s="698">
        <v>0</v>
      </c>
      <c r="K61" s="70">
        <v>0</v>
      </c>
      <c r="L61" s="69">
        <v>-102.9</v>
      </c>
      <c r="M61" s="69">
        <v>-102.9</v>
      </c>
      <c r="N61" s="69">
        <v>-102.9</v>
      </c>
      <c r="O61" s="676">
        <v>0</v>
      </c>
      <c r="P61" s="69">
        <v>0</v>
      </c>
      <c r="Q61" s="69">
        <v>0</v>
      </c>
      <c r="R61" s="677">
        <v>0</v>
      </c>
      <c r="S61" s="69">
        <v>0</v>
      </c>
      <c r="T61" s="69">
        <v>0</v>
      </c>
      <c r="U61" s="69">
        <v>0</v>
      </c>
      <c r="V61" s="69">
        <v>0</v>
      </c>
      <c r="W61" s="676">
        <v>0</v>
      </c>
      <c r="X61" s="69">
        <v>0</v>
      </c>
      <c r="Y61" s="69">
        <v>-204.7</v>
      </c>
      <c r="Z61" s="677">
        <v>-204.7</v>
      </c>
      <c r="AA61" s="69">
        <v>0</v>
      </c>
      <c r="AB61" s="69">
        <v>0</v>
      </c>
      <c r="AC61" s="69">
        <v>0</v>
      </c>
      <c r="AD61" s="69">
        <v>0</v>
      </c>
      <c r="AE61" s="676">
        <v>0</v>
      </c>
      <c r="AF61" s="69">
        <v>0</v>
      </c>
      <c r="AG61" s="69">
        <v>-287.8</v>
      </c>
      <c r="AH61" s="677">
        <v>-594.79999999999995</v>
      </c>
      <c r="AI61" s="69">
        <v>0</v>
      </c>
      <c r="AJ61" s="69">
        <v>0</v>
      </c>
      <c r="AK61" s="69">
        <v>-287.8</v>
      </c>
      <c r="AL61" s="69">
        <v>-594.79999999999995</v>
      </c>
      <c r="AM61" s="676">
        <v>0</v>
      </c>
      <c r="AN61" s="69">
        <v>-7.4</v>
      </c>
      <c r="AO61" s="69">
        <v>-7.4</v>
      </c>
      <c r="AP61" s="677">
        <v>-232.5</v>
      </c>
      <c r="AQ61" s="69">
        <v>-415.7</v>
      </c>
      <c r="AR61" s="69">
        <v>-415.7</v>
      </c>
      <c r="AS61" s="69">
        <v>-674.5</v>
      </c>
      <c r="AT61" s="677">
        <v>-1186.2</v>
      </c>
      <c r="AU61" s="69">
        <v>0</v>
      </c>
      <c r="AV61" s="69">
        <v>0</v>
      </c>
      <c r="AW61" s="69"/>
      <c r="AX61" s="677"/>
      <c r="AY61" s="4"/>
      <c r="AZ61" s="4"/>
      <c r="BA61" s="4"/>
      <c r="BB61" s="4"/>
    </row>
    <row r="62" spans="1:54" ht="20.100000000000001" customHeight="1">
      <c r="A62" s="71" t="s">
        <v>426</v>
      </c>
      <c r="B62" s="693" t="s">
        <v>427</v>
      </c>
      <c r="C62" s="70"/>
      <c r="D62" s="70"/>
      <c r="E62" s="70"/>
      <c r="F62" s="70"/>
      <c r="G62" s="697"/>
      <c r="H62" s="70"/>
      <c r="I62" s="70"/>
      <c r="J62" s="698"/>
      <c r="K62" s="70"/>
      <c r="L62" s="69"/>
      <c r="M62" s="69"/>
      <c r="N62" s="69"/>
      <c r="O62" s="676"/>
      <c r="P62" s="69"/>
      <c r="Q62" s="69"/>
      <c r="R62" s="677"/>
      <c r="S62" s="69"/>
      <c r="T62" s="69"/>
      <c r="U62" s="69"/>
      <c r="V62" s="69"/>
      <c r="W62" s="676"/>
      <c r="X62" s="69"/>
      <c r="Y62" s="69"/>
      <c r="Z62" s="677"/>
      <c r="AA62" s="69"/>
      <c r="AB62" s="69"/>
      <c r="AC62" s="69"/>
      <c r="AD62" s="69"/>
      <c r="AE62" s="676"/>
      <c r="AF62" s="69"/>
      <c r="AG62" s="69"/>
      <c r="AH62" s="677"/>
      <c r="AI62" s="69"/>
      <c r="AJ62" s="69"/>
      <c r="AK62" s="69"/>
      <c r="AL62" s="69"/>
      <c r="AM62" s="676"/>
      <c r="AN62" s="69"/>
      <c r="AO62" s="69"/>
      <c r="AP62" s="677"/>
      <c r="AQ62" s="69"/>
      <c r="AR62" s="69"/>
      <c r="AS62" s="69"/>
      <c r="AT62" s="677">
        <v>-2464</v>
      </c>
      <c r="AU62" s="69">
        <v>0</v>
      </c>
      <c r="AV62" s="69">
        <v>-393.9</v>
      </c>
      <c r="AW62" s="69"/>
      <c r="AX62" s="677"/>
      <c r="AY62" s="4"/>
      <c r="AZ62" s="4"/>
      <c r="BA62" s="4"/>
      <c r="BB62" s="4"/>
    </row>
    <row r="63" spans="1:54" ht="20.100000000000001" customHeight="1">
      <c r="A63" s="71" t="s">
        <v>428</v>
      </c>
      <c r="B63" s="693" t="s">
        <v>429</v>
      </c>
      <c r="C63" s="70"/>
      <c r="D63" s="70"/>
      <c r="E63" s="70"/>
      <c r="F63" s="70"/>
      <c r="G63" s="697"/>
      <c r="H63" s="70"/>
      <c r="I63" s="70"/>
      <c r="J63" s="698"/>
      <c r="K63" s="70"/>
      <c r="L63" s="69"/>
      <c r="M63" s="69"/>
      <c r="N63" s="69"/>
      <c r="O63" s="676"/>
      <c r="P63" s="69"/>
      <c r="Q63" s="69"/>
      <c r="R63" s="677"/>
      <c r="S63" s="69"/>
      <c r="T63" s="69">
        <v>-323.60000000000002</v>
      </c>
      <c r="U63" s="69">
        <v>-323.60000000000002</v>
      </c>
      <c r="V63" s="69">
        <v>-323.60000000000002</v>
      </c>
      <c r="W63" s="676">
        <v>0</v>
      </c>
      <c r="X63" s="69">
        <v>0</v>
      </c>
      <c r="Y63" s="69">
        <v>0</v>
      </c>
      <c r="Z63" s="677">
        <v>0</v>
      </c>
      <c r="AA63" s="69">
        <v>0</v>
      </c>
      <c r="AB63" s="69">
        <v>0</v>
      </c>
      <c r="AC63" s="69">
        <v>0</v>
      </c>
      <c r="AD63" s="69">
        <v>0</v>
      </c>
      <c r="AE63" s="676">
        <v>0</v>
      </c>
      <c r="AF63" s="69">
        <v>0</v>
      </c>
      <c r="AG63" s="69">
        <v>0</v>
      </c>
      <c r="AH63" s="677">
        <v>0</v>
      </c>
      <c r="AI63" s="69">
        <v>0</v>
      </c>
      <c r="AJ63" s="69">
        <v>0</v>
      </c>
      <c r="AK63" s="69">
        <v>0</v>
      </c>
      <c r="AL63" s="69">
        <v>0</v>
      </c>
      <c r="AM63" s="676">
        <v>0</v>
      </c>
      <c r="AN63" s="69">
        <v>0</v>
      </c>
      <c r="AO63" s="69">
        <v>0</v>
      </c>
      <c r="AP63" s="677">
        <v>0</v>
      </c>
      <c r="AQ63" s="69">
        <v>0</v>
      </c>
      <c r="AR63" s="69">
        <v>0</v>
      </c>
      <c r="AS63" s="69">
        <v>0</v>
      </c>
      <c r="AT63" s="677">
        <v>0</v>
      </c>
      <c r="AU63" s="69">
        <v>0</v>
      </c>
      <c r="AV63" s="69">
        <v>0</v>
      </c>
      <c r="AW63" s="69"/>
      <c r="AX63" s="677"/>
      <c r="AY63" s="4"/>
      <c r="AZ63" s="4"/>
      <c r="BA63" s="4"/>
      <c r="BB63" s="4"/>
    </row>
    <row r="64" spans="1:54" ht="20.100000000000001" customHeight="1">
      <c r="A64" s="71" t="s">
        <v>430</v>
      </c>
      <c r="B64" s="693" t="s">
        <v>431</v>
      </c>
      <c r="C64" s="69">
        <v>-8.4000000000000005E-2</v>
      </c>
      <c r="D64" s="69">
        <v>-0.23899999999999999</v>
      </c>
      <c r="E64" s="69">
        <v>-0.315</v>
      </c>
      <c r="F64" s="69">
        <v>-0.40600000000000003</v>
      </c>
      <c r="G64" s="676">
        <v>-7.8E-2</v>
      </c>
      <c r="H64" s="69">
        <v>-0.16800000000000001</v>
      </c>
      <c r="I64" s="69">
        <v>-0.25600000000000001</v>
      </c>
      <c r="J64" s="677">
        <v>-0.33</v>
      </c>
      <c r="K64" s="69">
        <v>-6.2E-2</v>
      </c>
      <c r="L64" s="69">
        <v>-0.3</v>
      </c>
      <c r="M64" s="69">
        <v>-0.7</v>
      </c>
      <c r="N64" s="69">
        <v>-0.9</v>
      </c>
      <c r="O64" s="676">
        <v>-2.5</v>
      </c>
      <c r="P64" s="69">
        <v>-3.5</v>
      </c>
      <c r="Q64" s="69">
        <v>-4.5</v>
      </c>
      <c r="R64" s="677">
        <v>-5.6</v>
      </c>
      <c r="S64" s="69">
        <v>-2.1</v>
      </c>
      <c r="T64" s="69">
        <v>-2.7</v>
      </c>
      <c r="U64" s="69">
        <v>-4.4000000000000004</v>
      </c>
      <c r="V64" s="69">
        <v>-6</v>
      </c>
      <c r="W64" s="676">
        <f>-0.3-1.4</f>
        <v>-1.7</v>
      </c>
      <c r="X64" s="69">
        <v>-2.9</v>
      </c>
      <c r="Y64" s="69">
        <v>-4.3</v>
      </c>
      <c r="Z64" s="677">
        <v>-5.2</v>
      </c>
      <c r="AA64" s="69">
        <v>-1.6</v>
      </c>
      <c r="AB64" s="69">
        <v>-3.4</v>
      </c>
      <c r="AC64" s="69">
        <v>-4.8</v>
      </c>
      <c r="AD64" s="69">
        <v>-8.4</v>
      </c>
      <c r="AE64" s="676">
        <v>-0.6</v>
      </c>
      <c r="AF64" s="69">
        <v>-0.4</v>
      </c>
      <c r="AG64" s="69">
        <v>-0.6</v>
      </c>
      <c r="AH64" s="677">
        <v>-0.7</v>
      </c>
      <c r="AI64" s="69">
        <v>-0.6</v>
      </c>
      <c r="AJ64" s="69">
        <v>-0.4</v>
      </c>
      <c r="AK64" s="69">
        <v>-0.6</v>
      </c>
      <c r="AL64" s="69">
        <v>-0.7</v>
      </c>
      <c r="AM64" s="676">
        <v>-4.5</v>
      </c>
      <c r="AN64" s="69">
        <v>-12.7</v>
      </c>
      <c r="AO64" s="69">
        <v>-27.3</v>
      </c>
      <c r="AP64" s="677">
        <v>-40.1</v>
      </c>
      <c r="AQ64" s="69">
        <v>-11.1</v>
      </c>
      <c r="AR64" s="69">
        <v>-19.3</v>
      </c>
      <c r="AS64" s="69">
        <v>-27.2</v>
      </c>
      <c r="AT64" s="677">
        <v>-33.799999999999997</v>
      </c>
      <c r="AU64" s="69">
        <v>-1.5</v>
      </c>
      <c r="AV64" s="69">
        <v>-12.2</v>
      </c>
      <c r="AW64" s="69"/>
      <c r="AX64" s="677"/>
      <c r="AY64" s="4"/>
      <c r="AZ64" s="4"/>
      <c r="BA64" s="4"/>
      <c r="BB64" s="4"/>
    </row>
    <row r="65" spans="1:54" ht="22.5" customHeight="1">
      <c r="A65" s="71" t="s">
        <v>432</v>
      </c>
      <c r="B65" s="693" t="s">
        <v>433</v>
      </c>
      <c r="C65" s="69"/>
      <c r="D65" s="69"/>
      <c r="E65" s="69"/>
      <c r="F65" s="69"/>
      <c r="G65" s="676"/>
      <c r="H65" s="69"/>
      <c r="I65" s="69"/>
      <c r="J65" s="677"/>
      <c r="K65" s="69"/>
      <c r="L65" s="69"/>
      <c r="M65" s="69"/>
      <c r="N65" s="69"/>
      <c r="O65" s="676"/>
      <c r="P65" s="69"/>
      <c r="Q65" s="69"/>
      <c r="R65" s="677"/>
      <c r="S65" s="69"/>
      <c r="T65" s="69"/>
      <c r="U65" s="69"/>
      <c r="V65" s="69"/>
      <c r="W65" s="676"/>
      <c r="X65" s="69"/>
      <c r="Y65" s="69"/>
      <c r="Z65" s="677"/>
      <c r="AA65" s="69"/>
      <c r="AB65" s="69"/>
      <c r="AC65" s="69"/>
      <c r="AD65" s="69"/>
      <c r="AE65" s="676"/>
      <c r="AF65" s="69"/>
      <c r="AG65" s="69"/>
      <c r="AH65" s="677"/>
      <c r="AI65" s="69"/>
      <c r="AJ65" s="69"/>
      <c r="AK65" s="69"/>
      <c r="AL65" s="69"/>
      <c r="AM65" s="676"/>
      <c r="AN65" s="69"/>
      <c r="AO65" s="69"/>
      <c r="AP65" s="677"/>
      <c r="AQ65" s="69"/>
      <c r="AR65" s="69"/>
      <c r="AS65" s="69"/>
      <c r="AT65" s="677"/>
      <c r="AU65" s="69">
        <v>6.3</v>
      </c>
      <c r="AV65" s="69">
        <v>31.9</v>
      </c>
      <c r="AW65" s="69"/>
      <c r="AX65" s="677"/>
      <c r="AY65" s="4"/>
      <c r="AZ65" s="4"/>
      <c r="BA65" s="4"/>
      <c r="BB65" s="4"/>
    </row>
    <row r="66" spans="1:54" ht="20.100000000000001" customHeight="1">
      <c r="A66" s="71" t="s">
        <v>434</v>
      </c>
      <c r="B66" s="693" t="s">
        <v>435</v>
      </c>
      <c r="C66" s="697">
        <v>0</v>
      </c>
      <c r="D66" s="70">
        <v>0</v>
      </c>
      <c r="E66" s="70">
        <v>0</v>
      </c>
      <c r="F66" s="698">
        <v>0</v>
      </c>
      <c r="G66" s="697">
        <v>0</v>
      </c>
      <c r="H66" s="70">
        <v>0</v>
      </c>
      <c r="I66" s="70">
        <v>0</v>
      </c>
      <c r="J66" s="698">
        <v>0</v>
      </c>
      <c r="K66" s="70">
        <v>0</v>
      </c>
      <c r="L66" s="69">
        <v>-3.8</v>
      </c>
      <c r="M66" s="69">
        <v>-3.9</v>
      </c>
      <c r="N66" s="69">
        <v>-3.9</v>
      </c>
      <c r="O66" s="676">
        <v>0</v>
      </c>
      <c r="P66" s="69">
        <v>0</v>
      </c>
      <c r="Q66" s="69">
        <v>0</v>
      </c>
      <c r="R66" s="677">
        <v>0</v>
      </c>
      <c r="S66" s="69">
        <v>0</v>
      </c>
      <c r="T66" s="69">
        <v>0</v>
      </c>
      <c r="U66" s="69">
        <v>0</v>
      </c>
      <c r="V66" s="69">
        <v>0</v>
      </c>
      <c r="W66" s="676">
        <v>0</v>
      </c>
      <c r="X66" s="69">
        <v>0</v>
      </c>
      <c r="Y66" s="69">
        <v>0</v>
      </c>
      <c r="Z66" s="677">
        <v>0</v>
      </c>
      <c r="AA66" s="69">
        <v>0</v>
      </c>
      <c r="AB66" s="69"/>
      <c r="AC66" s="69">
        <v>0</v>
      </c>
      <c r="AD66" s="69">
        <v>0</v>
      </c>
      <c r="AE66" s="676">
        <v>0</v>
      </c>
      <c r="AF66" s="69">
        <v>0</v>
      </c>
      <c r="AG66" s="69">
        <v>0</v>
      </c>
      <c r="AH66" s="677">
        <v>0</v>
      </c>
      <c r="AI66" s="69">
        <v>0</v>
      </c>
      <c r="AJ66" s="69">
        <v>0</v>
      </c>
      <c r="AK66" s="69">
        <v>0</v>
      </c>
      <c r="AL66" s="69">
        <v>0</v>
      </c>
      <c r="AM66" s="676">
        <v>0</v>
      </c>
      <c r="AN66" s="69">
        <v>0</v>
      </c>
      <c r="AO66" s="69">
        <v>0</v>
      </c>
      <c r="AP66" s="677">
        <v>0</v>
      </c>
      <c r="AQ66" s="69">
        <v>0</v>
      </c>
      <c r="AR66" s="69">
        <v>0</v>
      </c>
      <c r="AS66" s="69">
        <v>0</v>
      </c>
      <c r="AT66" s="677"/>
      <c r="AU66" s="69">
        <v>0</v>
      </c>
      <c r="AV66" s="69">
        <v>0</v>
      </c>
      <c r="AW66" s="69"/>
      <c r="AX66" s="677"/>
      <c r="AY66" s="4"/>
      <c r="AZ66" s="4"/>
      <c r="BA66" s="4"/>
      <c r="BB66" s="4"/>
    </row>
    <row r="67" spans="1:54" s="269" customFormat="1" ht="24.95" customHeight="1" thickBot="1">
      <c r="A67" s="389" t="s">
        <v>436</v>
      </c>
      <c r="B67" s="695" t="s">
        <v>437</v>
      </c>
      <c r="C67" s="681">
        <f t="shared" ref="C67:X67" si="21">SUM(C53:C66)</f>
        <v>-52.972000000000001</v>
      </c>
      <c r="D67" s="390">
        <f t="shared" si="21"/>
        <v>-260.08099999999996</v>
      </c>
      <c r="E67" s="390">
        <f t="shared" si="21"/>
        <v>-525.96400000000006</v>
      </c>
      <c r="F67" s="682">
        <f t="shared" si="21"/>
        <v>-653.34699999999998</v>
      </c>
      <c r="G67" s="681">
        <f t="shared" si="21"/>
        <v>-66.737000000000009</v>
      </c>
      <c r="H67" s="390">
        <f t="shared" si="21"/>
        <v>-278.43799999999999</v>
      </c>
      <c r="I67" s="390">
        <f t="shared" si="21"/>
        <v>-464.322</v>
      </c>
      <c r="J67" s="682">
        <f t="shared" si="21"/>
        <v>-596.46400000000006</v>
      </c>
      <c r="K67" s="390">
        <f t="shared" si="21"/>
        <v>-46.550999999999995</v>
      </c>
      <c r="L67" s="390">
        <f t="shared" si="21"/>
        <v>-478.30000000000007</v>
      </c>
      <c r="M67" s="390">
        <f t="shared" si="21"/>
        <v>-1064.0000000000002</v>
      </c>
      <c r="N67" s="390">
        <f t="shared" si="21"/>
        <v>-1542.9000000000003</v>
      </c>
      <c r="O67" s="681">
        <f t="shared" si="21"/>
        <v>-467.4</v>
      </c>
      <c r="P67" s="390">
        <f t="shared" si="21"/>
        <v>-1310</v>
      </c>
      <c r="Q67" s="390">
        <f t="shared" si="21"/>
        <v>-2210.8000000000006</v>
      </c>
      <c r="R67" s="682">
        <f t="shared" si="21"/>
        <v>-2386.7000000000007</v>
      </c>
      <c r="S67" s="390">
        <f t="shared" si="21"/>
        <v>-371.90000000000055</v>
      </c>
      <c r="T67" s="390">
        <f t="shared" si="21"/>
        <v>-1403.6000000000001</v>
      </c>
      <c r="U67" s="390">
        <f t="shared" si="21"/>
        <v>-1737.1000000000004</v>
      </c>
      <c r="V67" s="390">
        <f t="shared" si="21"/>
        <v>-2070.8000000000002</v>
      </c>
      <c r="W67" s="681">
        <f t="shared" si="21"/>
        <v>-348.2</v>
      </c>
      <c r="X67" s="390">
        <f t="shared" si="21"/>
        <v>-1122.3000000000002</v>
      </c>
      <c r="Y67" s="390">
        <f>SUM(Y53:Y66)</f>
        <v>-1676</v>
      </c>
      <c r="Z67" s="682">
        <f>SUM(Z53:Z66)</f>
        <v>-1527.7000000000003</v>
      </c>
      <c r="AA67" s="390">
        <f t="shared" ref="AA67:AD67" si="22">SUM(AA53:AA66)</f>
        <v>-689.6</v>
      </c>
      <c r="AB67" s="390">
        <f t="shared" si="22"/>
        <v>-868.19999999999993</v>
      </c>
      <c r="AC67" s="390">
        <f t="shared" ref="AC67" si="23">SUM(AC53:AC66)</f>
        <v>-790.09999999999991</v>
      </c>
      <c r="AD67" s="390">
        <f t="shared" si="22"/>
        <v>-1074.3000000000002</v>
      </c>
      <c r="AE67" s="681">
        <f t="shared" ref="AE67:AH67" si="24">SUM(AE53:AE66)</f>
        <v>-695.40000000000009</v>
      </c>
      <c r="AF67" s="390">
        <f t="shared" si="24"/>
        <v>-1064</v>
      </c>
      <c r="AG67" s="390">
        <f>SUM(AG53:AG66)</f>
        <v>-1285.8999999999999</v>
      </c>
      <c r="AH67" s="682">
        <f t="shared" si="24"/>
        <v>-798.6</v>
      </c>
      <c r="AI67" s="390">
        <f t="shared" ref="AI67:AJ67" si="25">SUM(AI53:AI66)</f>
        <v>-754.4</v>
      </c>
      <c r="AJ67" s="390">
        <f t="shared" si="25"/>
        <v>-1219</v>
      </c>
      <c r="AK67" s="390">
        <f>SUM(AK53:AK66)</f>
        <v>-1538.9999999999998</v>
      </c>
      <c r="AL67" s="390">
        <f t="shared" ref="AL67" si="26">SUM(AL53:AL66)</f>
        <v>-1184.7</v>
      </c>
      <c r="AM67" s="681">
        <f t="shared" ref="AM67:AN67" si="27">SUM(AM53:AM66)</f>
        <v>-30.000000000000043</v>
      </c>
      <c r="AN67" s="390">
        <f t="shared" si="27"/>
        <v>-243.19999999999996</v>
      </c>
      <c r="AO67" s="390">
        <v>-453.3</v>
      </c>
      <c r="AP67" s="682">
        <f t="shared" ref="AP67:AR67" si="28">SUM(AP53:AP66)</f>
        <v>-856</v>
      </c>
      <c r="AQ67" s="390">
        <f t="shared" si="28"/>
        <v>-612</v>
      </c>
      <c r="AR67" s="390">
        <f t="shared" si="28"/>
        <v>-879.3</v>
      </c>
      <c r="AS67" s="390">
        <f t="shared" ref="AS67" si="29">SUM(AS53:AS66)</f>
        <v>-981.50000000000011</v>
      </c>
      <c r="AT67" s="682">
        <f t="shared" ref="AT67:AW67" si="30">SUM(AT53:AT66)</f>
        <v>-5282.9000000000005</v>
      </c>
      <c r="AU67" s="390">
        <f t="shared" si="30"/>
        <v>-332.19999999999993</v>
      </c>
      <c r="AV67" s="390">
        <f t="shared" si="30"/>
        <v>-1340.8</v>
      </c>
      <c r="AW67" s="390">
        <f t="shared" si="30"/>
        <v>0</v>
      </c>
      <c r="AX67" s="682">
        <f t="shared" ref="AX67" si="31">SUM(AX53:AX66)</f>
        <v>0</v>
      </c>
    </row>
    <row r="68" spans="1:54" ht="20.100000000000001" customHeight="1" thickBot="1">
      <c r="A68" s="391" t="s">
        <v>438</v>
      </c>
      <c r="B68" s="692" t="s">
        <v>439</v>
      </c>
      <c r="C68" s="392">
        <f>C34+C52+C67</f>
        <v>146.86399999999998</v>
      </c>
      <c r="D68" s="392">
        <f t="shared" ref="D68:AN68" si="32">D67+D52+D34</f>
        <v>33.256000000000029</v>
      </c>
      <c r="E68" s="392">
        <f t="shared" si="32"/>
        <v>-51.083999999999946</v>
      </c>
      <c r="F68" s="393">
        <f t="shared" si="32"/>
        <v>-5.4109999999999445</v>
      </c>
      <c r="G68" s="674">
        <f t="shared" si="32"/>
        <v>53.822999999999979</v>
      </c>
      <c r="H68" s="393">
        <f t="shared" si="32"/>
        <v>-5.0790000000000077</v>
      </c>
      <c r="I68" s="393">
        <f t="shared" si="32"/>
        <v>-55.118000000000166</v>
      </c>
      <c r="J68" s="675">
        <f t="shared" si="32"/>
        <v>72.357999999999834</v>
      </c>
      <c r="K68" s="393">
        <f t="shared" si="32"/>
        <v>85.956000000000017</v>
      </c>
      <c r="L68" s="393">
        <f t="shared" si="32"/>
        <v>1565.3999999999999</v>
      </c>
      <c r="M68" s="393">
        <f t="shared" si="32"/>
        <v>1300.0999999999999</v>
      </c>
      <c r="N68" s="393">
        <f t="shared" si="32"/>
        <v>1403.7999999999997</v>
      </c>
      <c r="O68" s="674">
        <f t="shared" si="32"/>
        <v>-257.89999999999981</v>
      </c>
      <c r="P68" s="393">
        <f t="shared" si="32"/>
        <v>-353.30000000000041</v>
      </c>
      <c r="Q68" s="393">
        <f t="shared" si="32"/>
        <v>-677.30000000000109</v>
      </c>
      <c r="R68" s="675">
        <f t="shared" si="32"/>
        <v>-225.60000000000127</v>
      </c>
      <c r="S68" s="393">
        <f t="shared" si="32"/>
        <v>49.999999999999602</v>
      </c>
      <c r="T68" s="393">
        <f t="shared" si="32"/>
        <v>-568.70000000000005</v>
      </c>
      <c r="U68" s="393">
        <f t="shared" si="32"/>
        <v>-411.39999999999918</v>
      </c>
      <c r="V68" s="393">
        <f t="shared" si="32"/>
        <v>-189.5</v>
      </c>
      <c r="W68" s="674">
        <f t="shared" si="32"/>
        <v>244.3000000000003</v>
      </c>
      <c r="X68" s="393">
        <f t="shared" si="32"/>
        <v>29.599999999999909</v>
      </c>
      <c r="Y68" s="393">
        <f t="shared" si="32"/>
        <v>-245.50000000000045</v>
      </c>
      <c r="Z68" s="675">
        <f t="shared" si="32"/>
        <v>-159.59999999999945</v>
      </c>
      <c r="AA68" s="393">
        <f t="shared" si="32"/>
        <v>-374.99999999999989</v>
      </c>
      <c r="AB68" s="393">
        <f t="shared" si="32"/>
        <v>-285.70000000000005</v>
      </c>
      <c r="AC68" s="393">
        <f t="shared" si="32"/>
        <v>-11.199999999999818</v>
      </c>
      <c r="AD68" s="393">
        <f t="shared" si="32"/>
        <v>5.2999999999997272</v>
      </c>
      <c r="AE68" s="674">
        <f t="shared" si="32"/>
        <v>-420.69999999999993</v>
      </c>
      <c r="AF68" s="393">
        <f t="shared" si="32"/>
        <v>-392.89999999999986</v>
      </c>
      <c r="AG68" s="393">
        <f t="shared" si="32"/>
        <v>-294.79999999999927</v>
      </c>
      <c r="AH68" s="675">
        <f t="shared" si="32"/>
        <v>-426.40000000000055</v>
      </c>
      <c r="AI68" s="393">
        <f t="shared" si="32"/>
        <v>-420.69999999999993</v>
      </c>
      <c r="AJ68" s="393">
        <f t="shared" si="32"/>
        <v>-392.89999999999986</v>
      </c>
      <c r="AK68" s="393">
        <f t="shared" si="32"/>
        <v>-294.79999999999882</v>
      </c>
      <c r="AL68" s="393">
        <f t="shared" si="32"/>
        <v>-426.40000000000146</v>
      </c>
      <c r="AM68" s="674">
        <f t="shared" si="32"/>
        <v>384.78882651999987</v>
      </c>
      <c r="AN68" s="393">
        <f t="shared" si="32"/>
        <v>565.90000000000055</v>
      </c>
      <c r="AO68" s="393">
        <v>408.8</v>
      </c>
      <c r="AP68" s="675">
        <f t="shared" ref="AP68:AX68" si="33">AP67+AP52+AP34</f>
        <v>609.39999999999918</v>
      </c>
      <c r="AQ68" s="393">
        <f t="shared" si="33"/>
        <v>-97.199999999999932</v>
      </c>
      <c r="AR68" s="393">
        <f t="shared" si="33"/>
        <v>-599.79999999999995</v>
      </c>
      <c r="AS68" s="393">
        <f t="shared" si="33"/>
        <v>6107.2000000000007</v>
      </c>
      <c r="AT68" s="675">
        <f t="shared" si="33"/>
        <v>2279.2999999999979</v>
      </c>
      <c r="AU68" s="393">
        <f>AU67+AU52+AU34</f>
        <v>-288.1999999999997</v>
      </c>
      <c r="AV68" s="393">
        <f t="shared" si="33"/>
        <v>-2577.6000000000008</v>
      </c>
      <c r="AW68" s="393">
        <f t="shared" si="33"/>
        <v>0</v>
      </c>
      <c r="AX68" s="675">
        <f t="shared" si="33"/>
        <v>0</v>
      </c>
      <c r="AY68" s="4"/>
      <c r="AZ68" s="4"/>
      <c r="BA68" s="4"/>
      <c r="BB68" s="4"/>
    </row>
    <row r="69" spans="1:54" ht="20.100000000000001" customHeight="1">
      <c r="A69" s="267" t="s">
        <v>440</v>
      </c>
      <c r="B69" s="696" t="s">
        <v>441</v>
      </c>
      <c r="C69" s="268">
        <v>277.53399999999999</v>
      </c>
      <c r="D69" s="268">
        <v>277.53399999999999</v>
      </c>
      <c r="E69" s="268">
        <v>277.53399999999999</v>
      </c>
      <c r="F69" s="268">
        <v>277.53399999999999</v>
      </c>
      <c r="G69" s="687">
        <v>270.35399999999998</v>
      </c>
      <c r="H69" s="268">
        <v>270.35399999999998</v>
      </c>
      <c r="I69" s="268">
        <v>270.35399999999998</v>
      </c>
      <c r="J69" s="688">
        <v>270.35399999999998</v>
      </c>
      <c r="K69" s="268">
        <v>342.25100000000003</v>
      </c>
      <c r="L69" s="268">
        <v>342.2</v>
      </c>
      <c r="M69" s="268">
        <v>342.2</v>
      </c>
      <c r="N69" s="268">
        <v>342.2</v>
      </c>
      <c r="O69" s="687">
        <v>1747.9</v>
      </c>
      <c r="P69" s="268">
        <v>1747.9</v>
      </c>
      <c r="Q69" s="268">
        <v>1747.9</v>
      </c>
      <c r="R69" s="688">
        <v>1747.9</v>
      </c>
      <c r="S69" s="268">
        <f>$R$72</f>
        <v>1523.6999999999989</v>
      </c>
      <c r="T69" s="268">
        <f t="shared" ref="T69:V69" si="34">$R$72</f>
        <v>1523.6999999999989</v>
      </c>
      <c r="U69" s="268">
        <f t="shared" si="34"/>
        <v>1523.6999999999989</v>
      </c>
      <c r="V69" s="268">
        <f t="shared" si="34"/>
        <v>1523.6999999999989</v>
      </c>
      <c r="W69" s="687">
        <f>V72</f>
        <v>1336.6999999999989</v>
      </c>
      <c r="X69" s="268">
        <f>V72</f>
        <v>1336.6999999999989</v>
      </c>
      <c r="Y69" s="268">
        <f>V72</f>
        <v>1336.6999999999989</v>
      </c>
      <c r="Z69" s="688">
        <f>Y69</f>
        <v>1336.6999999999989</v>
      </c>
      <c r="AA69" s="268">
        <f>Z72</f>
        <v>1171.9999999999995</v>
      </c>
      <c r="AB69" s="268">
        <f>Z72</f>
        <v>1171.9999999999995</v>
      </c>
      <c r="AC69" s="268">
        <f>Z72</f>
        <v>1171.9999999999995</v>
      </c>
      <c r="AD69" s="268">
        <f>AC69</f>
        <v>1171.9999999999995</v>
      </c>
      <c r="AE69" s="687">
        <v>1178.7</v>
      </c>
      <c r="AF69" s="268">
        <f>AD72</f>
        <v>1178.6999999999994</v>
      </c>
      <c r="AG69" s="268">
        <f>AD72</f>
        <v>1178.6999999999994</v>
      </c>
      <c r="AH69" s="688">
        <f>AD72</f>
        <v>1178.6999999999994</v>
      </c>
      <c r="AI69" s="268">
        <v>1178.7</v>
      </c>
      <c r="AJ69" s="268">
        <f>AD72</f>
        <v>1178.6999999999994</v>
      </c>
      <c r="AK69" s="268">
        <f>AD72</f>
        <v>1178.6999999999994</v>
      </c>
      <c r="AL69" s="268">
        <f>AD72</f>
        <v>1178.6999999999994</v>
      </c>
      <c r="AM69" s="687">
        <f>AL72</f>
        <v>753.09999999999786</v>
      </c>
      <c r="AN69" s="268">
        <v>753.1</v>
      </c>
      <c r="AO69" s="268">
        <v>753.1</v>
      </c>
      <c r="AP69" s="688">
        <v>753.1</v>
      </c>
      <c r="AQ69" s="268">
        <f>$AP$72</f>
        <v>1365.799999999999</v>
      </c>
      <c r="AR69" s="268">
        <f t="shared" ref="AR69:AT69" si="35">$AP$72</f>
        <v>1365.799999999999</v>
      </c>
      <c r="AS69" s="268">
        <f t="shared" si="35"/>
        <v>1365.799999999999</v>
      </c>
      <c r="AT69" s="688">
        <f t="shared" si="35"/>
        <v>1365.799999999999</v>
      </c>
      <c r="AU69" s="268">
        <f>$AT$72</f>
        <v>3644.2999999999965</v>
      </c>
      <c r="AV69" s="268">
        <f t="shared" ref="AV69:AX69" si="36">$AT$72</f>
        <v>3644.2999999999965</v>
      </c>
      <c r="AW69" s="268">
        <f t="shared" si="36"/>
        <v>3644.2999999999965</v>
      </c>
      <c r="AX69" s="785">
        <f t="shared" si="36"/>
        <v>3644.2999999999965</v>
      </c>
      <c r="AY69" s="4"/>
      <c r="AZ69" s="4"/>
      <c r="BA69" s="4"/>
      <c r="BB69" s="4"/>
    </row>
    <row r="70" spans="1:54">
      <c r="A70" s="71" t="s">
        <v>442</v>
      </c>
      <c r="B70" s="693" t="s">
        <v>443</v>
      </c>
      <c r="C70" s="69">
        <v>-2.5009999999999999</v>
      </c>
      <c r="D70" s="69">
        <v>-1.2710000000000001</v>
      </c>
      <c r="E70" s="69">
        <v>-1.339</v>
      </c>
      <c r="F70" s="69">
        <v>-1.7690000000000001</v>
      </c>
      <c r="G70" s="676">
        <v>0.161</v>
      </c>
      <c r="H70" s="69">
        <v>0.52800000000000002</v>
      </c>
      <c r="I70" s="69">
        <v>0.16</v>
      </c>
      <c r="J70" s="677">
        <v>-0.46100000000000002</v>
      </c>
      <c r="K70" s="69">
        <v>-1.7000000000000001E-2</v>
      </c>
      <c r="L70" s="69">
        <v>-0.7</v>
      </c>
      <c r="M70" s="69">
        <v>0.9</v>
      </c>
      <c r="N70" s="69">
        <v>1.9</v>
      </c>
      <c r="O70" s="676">
        <v>1.6</v>
      </c>
      <c r="P70" s="69">
        <v>2</v>
      </c>
      <c r="Q70" s="69">
        <v>1.4</v>
      </c>
      <c r="R70" s="677">
        <v>1.4</v>
      </c>
      <c r="S70" s="69">
        <v>-3.7</v>
      </c>
      <c r="T70" s="69">
        <v>0.4</v>
      </c>
      <c r="U70" s="69">
        <v>-2.1</v>
      </c>
      <c r="V70" s="69">
        <v>2.5</v>
      </c>
      <c r="W70" s="676">
        <v>-3.7</v>
      </c>
      <c r="X70" s="69">
        <v>-3.7</v>
      </c>
      <c r="Y70" s="69">
        <v>-2.8</v>
      </c>
      <c r="Z70" s="677">
        <v>-5.0999999999999996</v>
      </c>
      <c r="AA70" s="69">
        <v>0.5</v>
      </c>
      <c r="AB70" s="69">
        <v>1.5</v>
      </c>
      <c r="AC70" s="69">
        <v>2.2999999999999998</v>
      </c>
      <c r="AD70" s="69">
        <v>1.4</v>
      </c>
      <c r="AE70" s="676">
        <v>-1</v>
      </c>
      <c r="AF70" s="69">
        <v>-2</v>
      </c>
      <c r="AG70" s="69">
        <v>2.2999999999999998</v>
      </c>
      <c r="AH70" s="677">
        <v>0.8</v>
      </c>
      <c r="AI70" s="69">
        <v>-1</v>
      </c>
      <c r="AJ70" s="69">
        <v>-2</v>
      </c>
      <c r="AK70" s="69">
        <v>2.2999999999999998</v>
      </c>
      <c r="AL70" s="69">
        <v>0.8</v>
      </c>
      <c r="AM70" s="676">
        <v>2.9</v>
      </c>
      <c r="AN70" s="69">
        <v>1.5</v>
      </c>
      <c r="AO70" s="69">
        <v>2.2999999999999998</v>
      </c>
      <c r="AP70" s="677">
        <v>3.3</v>
      </c>
      <c r="AQ70" s="69">
        <v>-1.3</v>
      </c>
      <c r="AR70" s="69">
        <v>-2</v>
      </c>
      <c r="AS70" s="69">
        <v>-0.7</v>
      </c>
      <c r="AT70" s="677">
        <v>-0.8</v>
      </c>
      <c r="AU70" s="69">
        <v>-2.4</v>
      </c>
      <c r="AV70" s="69">
        <v>-4.7</v>
      </c>
      <c r="AW70" s="69"/>
      <c r="AX70" s="677"/>
      <c r="AY70" s="4"/>
      <c r="AZ70" s="4"/>
      <c r="BA70" s="4"/>
      <c r="BB70" s="4"/>
    </row>
    <row r="71" spans="1:54" ht="20.100000000000001" customHeight="1">
      <c r="A71" s="71" t="s">
        <v>444</v>
      </c>
      <c r="B71" s="693" t="s">
        <v>445</v>
      </c>
      <c r="C71" s="69"/>
      <c r="D71" s="69"/>
      <c r="E71" s="69"/>
      <c r="F71" s="69"/>
      <c r="G71" s="676"/>
      <c r="H71" s="69"/>
      <c r="I71" s="69"/>
      <c r="J71" s="677"/>
      <c r="K71" s="69"/>
      <c r="L71" s="69"/>
      <c r="M71" s="69"/>
      <c r="N71" s="69"/>
      <c r="O71" s="676"/>
      <c r="P71" s="69"/>
      <c r="Q71" s="69"/>
      <c r="R71" s="677"/>
      <c r="S71" s="69"/>
      <c r="T71" s="69"/>
      <c r="U71" s="69"/>
      <c r="V71" s="69"/>
      <c r="W71" s="676"/>
      <c r="X71" s="69"/>
      <c r="Y71" s="69"/>
      <c r="Z71" s="677"/>
      <c r="AA71" s="69"/>
      <c r="AB71" s="69"/>
      <c r="AC71" s="69"/>
      <c r="AD71" s="69"/>
      <c r="AE71" s="676"/>
      <c r="AF71" s="69"/>
      <c r="AG71" s="69"/>
      <c r="AH71" s="677"/>
      <c r="AI71" s="69"/>
      <c r="AJ71" s="69"/>
      <c r="AK71" s="69"/>
      <c r="AL71" s="69"/>
      <c r="AM71" s="676"/>
      <c r="AN71" s="69"/>
      <c r="AO71" s="69"/>
      <c r="AP71" s="677"/>
      <c r="AQ71" s="69">
        <v>-108.5</v>
      </c>
      <c r="AR71" s="69">
        <v>-95.5</v>
      </c>
      <c r="AS71" s="69">
        <v>0</v>
      </c>
      <c r="AT71" s="677">
        <v>0</v>
      </c>
      <c r="AU71" s="69">
        <v>0</v>
      </c>
      <c r="AV71" s="69">
        <v>0</v>
      </c>
      <c r="AW71" s="69"/>
      <c r="AX71" s="677"/>
      <c r="AY71" s="4"/>
      <c r="AZ71" s="4"/>
      <c r="BA71" s="4"/>
      <c r="BB71" s="4"/>
    </row>
    <row r="72" spans="1:54" s="269" customFormat="1" ht="24.95" customHeight="1">
      <c r="A72" s="389" t="s">
        <v>446</v>
      </c>
      <c r="B72" s="695" t="s">
        <v>447</v>
      </c>
      <c r="C72" s="390">
        <f>C68+C69+C70</f>
        <v>421.89699999999999</v>
      </c>
      <c r="D72" s="390">
        <f t="shared" ref="D72:R72" si="37">D69+D68+D70</f>
        <v>309.51900000000001</v>
      </c>
      <c r="E72" s="390">
        <f t="shared" si="37"/>
        <v>225.11100000000005</v>
      </c>
      <c r="F72" s="390">
        <f t="shared" si="37"/>
        <v>270.35400000000004</v>
      </c>
      <c r="G72" s="681">
        <f t="shared" si="37"/>
        <v>324.33799999999997</v>
      </c>
      <c r="H72" s="390">
        <f t="shared" si="37"/>
        <v>265.803</v>
      </c>
      <c r="I72" s="390">
        <f t="shared" si="37"/>
        <v>215.39599999999982</v>
      </c>
      <c r="J72" s="682">
        <f t="shared" si="37"/>
        <v>342.25099999999981</v>
      </c>
      <c r="K72" s="390">
        <f t="shared" si="37"/>
        <v>428.19000000000005</v>
      </c>
      <c r="L72" s="390">
        <f t="shared" si="37"/>
        <v>1906.8999999999999</v>
      </c>
      <c r="M72" s="390">
        <f t="shared" si="37"/>
        <v>1643.2</v>
      </c>
      <c r="N72" s="390">
        <f t="shared" si="37"/>
        <v>1747.8999999999999</v>
      </c>
      <c r="O72" s="681">
        <f t="shared" si="37"/>
        <v>1491.6000000000001</v>
      </c>
      <c r="P72" s="390">
        <f t="shared" si="37"/>
        <v>1396.5999999999997</v>
      </c>
      <c r="Q72" s="390">
        <f t="shared" si="37"/>
        <v>1071.9999999999991</v>
      </c>
      <c r="R72" s="682">
        <f t="shared" si="37"/>
        <v>1523.6999999999989</v>
      </c>
      <c r="S72" s="390">
        <f t="shared" ref="S72:Z72" si="38">S69+S68+S70</f>
        <v>1569.9999999999984</v>
      </c>
      <c r="T72" s="390">
        <f t="shared" si="38"/>
        <v>955.39999999999884</v>
      </c>
      <c r="U72" s="390">
        <f t="shared" si="38"/>
        <v>1110.1999999999998</v>
      </c>
      <c r="V72" s="390">
        <f t="shared" si="38"/>
        <v>1336.6999999999989</v>
      </c>
      <c r="W72" s="681">
        <f t="shared" si="38"/>
        <v>1577.299999999999</v>
      </c>
      <c r="X72" s="390">
        <f t="shared" si="38"/>
        <v>1362.5999999999988</v>
      </c>
      <c r="Y72" s="390">
        <f t="shared" si="38"/>
        <v>1088.3999999999985</v>
      </c>
      <c r="Z72" s="682">
        <f t="shared" si="38"/>
        <v>1171.9999999999995</v>
      </c>
      <c r="AA72" s="390">
        <f t="shared" ref="AA72:AD72" si="39">AA69+AA68+AA70</f>
        <v>797.49999999999966</v>
      </c>
      <c r="AB72" s="390">
        <f t="shared" si="39"/>
        <v>887.7999999999995</v>
      </c>
      <c r="AC72" s="390">
        <f t="shared" si="39"/>
        <v>1163.0999999999997</v>
      </c>
      <c r="AD72" s="390">
        <f t="shared" si="39"/>
        <v>1178.6999999999994</v>
      </c>
      <c r="AE72" s="681">
        <f t="shared" ref="AE72:AH72" si="40">AE69+AE68+AE70</f>
        <v>757.00000000000011</v>
      </c>
      <c r="AF72" s="390">
        <f>AF69+AF68+AF70</f>
        <v>783.7999999999995</v>
      </c>
      <c r="AG72" s="390">
        <f t="shared" si="40"/>
        <v>886.2</v>
      </c>
      <c r="AH72" s="682">
        <f t="shared" si="40"/>
        <v>753.09999999999877</v>
      </c>
      <c r="AI72" s="390">
        <f t="shared" ref="AI72" si="41">AI69+AI68+AI70</f>
        <v>757.00000000000011</v>
      </c>
      <c r="AJ72" s="390">
        <f>AJ69+AJ68+AJ70</f>
        <v>783.7999999999995</v>
      </c>
      <c r="AK72" s="390">
        <f t="shared" ref="AK72:AL72" si="42">AK69+AK68+AK70</f>
        <v>886.2000000000005</v>
      </c>
      <c r="AL72" s="390">
        <f t="shared" si="42"/>
        <v>753.09999999999786</v>
      </c>
      <c r="AM72" s="681">
        <f t="shared" ref="AM72" si="43">AM69+AM68+AM70</f>
        <v>1140.7888265199979</v>
      </c>
      <c r="AN72" s="390">
        <f>AN69+AN68+AN70</f>
        <v>1320.5000000000005</v>
      </c>
      <c r="AO72" s="390">
        <f t="shared" ref="AO72:AP72" si="44">AO69+AO68+AO70</f>
        <v>1164.2</v>
      </c>
      <c r="AP72" s="682">
        <f t="shared" si="44"/>
        <v>1365.799999999999</v>
      </c>
      <c r="AQ72" s="390">
        <f>AQ69+AQ68+AQ70+AQ71</f>
        <v>1158.799999999999</v>
      </c>
      <c r="AR72" s="390">
        <f>AR69+AR68+AR70+AR71</f>
        <v>668.49999999999909</v>
      </c>
      <c r="AS72" s="390">
        <f t="shared" ref="AS72:AT72" si="45">AS69+AS68+AS70</f>
        <v>7472.3</v>
      </c>
      <c r="AT72" s="682">
        <f t="shared" si="45"/>
        <v>3644.2999999999965</v>
      </c>
      <c r="AU72" s="390">
        <f>AU69+AU68+AU70+AU71</f>
        <v>3353.6999999999966</v>
      </c>
      <c r="AV72" s="390">
        <f>AV69+AV68+AV70+AV71</f>
        <v>1061.9999999999957</v>
      </c>
      <c r="AW72" s="390">
        <f t="shared" ref="AW72:AX72" si="46">AW69+AW68+AW70</f>
        <v>3644.2999999999965</v>
      </c>
      <c r="AX72" s="682">
        <f t="shared" si="46"/>
        <v>3644.2999999999965</v>
      </c>
    </row>
    <row r="73" spans="1:54">
      <c r="N73" s="238"/>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1:54" s="6" customFormat="1" ht="51">
      <c r="A74" s="120" t="s">
        <v>448</v>
      </c>
      <c r="B74" s="120" t="s">
        <v>449</v>
      </c>
      <c r="N74" s="16"/>
      <c r="AB74" s="75"/>
    </row>
    <row r="75" spans="1:54" s="6" customFormat="1" ht="19.5" customHeight="1">
      <c r="A75" s="120" t="s">
        <v>450</v>
      </c>
      <c r="B75" s="120" t="s">
        <v>451</v>
      </c>
      <c r="N75" s="16"/>
      <c r="AB75" s="75"/>
    </row>
    <row r="76" spans="1:54" s="6" customFormat="1" ht="44.25" customHeight="1">
      <c r="A76" s="120" t="s">
        <v>452</v>
      </c>
      <c r="B76" s="120" t="s">
        <v>453</v>
      </c>
      <c r="N76" s="16"/>
      <c r="AB76" s="92"/>
    </row>
    <row r="77" spans="1:54" s="6" customFormat="1" ht="29.25" customHeight="1">
      <c r="A77" s="120" t="s">
        <v>454</v>
      </c>
      <c r="B77" s="120" t="s">
        <v>455</v>
      </c>
      <c r="N77" s="16"/>
      <c r="AB77" s="92"/>
    </row>
    <row r="78" spans="1:54" s="6" customFormat="1" ht="51" customHeight="1">
      <c r="A78" s="120" t="s">
        <v>456</v>
      </c>
      <c r="B78" s="120" t="s">
        <v>457</v>
      </c>
      <c r="N78" s="16"/>
      <c r="AB78" s="92"/>
    </row>
    <row r="79" spans="1:54" s="6" customFormat="1" ht="24" customHeight="1">
      <c r="A79" s="120" t="s">
        <v>458</v>
      </c>
      <c r="B79" s="120" t="s">
        <v>459</v>
      </c>
      <c r="N79" s="16"/>
      <c r="AB79" s="93"/>
    </row>
    <row r="80" spans="1:54" s="6" customFormat="1" ht="60" customHeight="1">
      <c r="A80" s="120" t="s">
        <v>460</v>
      </c>
      <c r="B80" s="120" t="s">
        <v>461</v>
      </c>
      <c r="N80" s="16"/>
      <c r="AB80" s="93"/>
      <c r="AD80" s="6" t="s">
        <v>462</v>
      </c>
    </row>
    <row r="81" spans="1:28" s="6" customFormat="1">
      <c r="A81" s="120" t="s">
        <v>463</v>
      </c>
      <c r="B81" s="120" t="s">
        <v>464</v>
      </c>
      <c r="N81" s="16"/>
      <c r="AB81" s="92"/>
    </row>
    <row r="82" spans="1:28" s="6" customFormat="1">
      <c r="A82" s="120"/>
      <c r="B82" s="120"/>
      <c r="N82" s="16"/>
      <c r="AB82" s="92"/>
    </row>
    <row r="83" spans="1:28" s="6" customFormat="1">
      <c r="A83" s="120"/>
      <c r="B83" s="120"/>
      <c r="N83" s="16"/>
      <c r="AB83" s="92"/>
    </row>
    <row r="84" spans="1:28" s="6" customFormat="1">
      <c r="A84" s="120"/>
      <c r="B84" s="120"/>
      <c r="N84" s="16"/>
      <c r="AB84" s="92"/>
    </row>
    <row r="85" spans="1:28" s="6" customFormat="1">
      <c r="A85" s="120"/>
      <c r="B85" s="120"/>
      <c r="N85" s="16"/>
      <c r="AB85" s="92"/>
    </row>
    <row r="86" spans="1:28" s="6" customFormat="1">
      <c r="A86" s="120"/>
      <c r="B86" s="120"/>
      <c r="N86" s="16"/>
      <c r="AB86" s="92"/>
    </row>
    <row r="87" spans="1:28" s="6" customFormat="1">
      <c r="A87" s="120"/>
      <c r="B87" s="120"/>
      <c r="N87" s="16"/>
      <c r="AB87" s="92"/>
    </row>
    <row r="88" spans="1:28" s="6" customFormat="1" ht="15">
      <c r="A88" s="120"/>
      <c r="B88" s="120"/>
      <c r="N88" s="16"/>
      <c r="AB88" s="93"/>
    </row>
    <row r="89" spans="1:28" s="6" customFormat="1" ht="15">
      <c r="A89" s="120"/>
      <c r="B89" s="120"/>
      <c r="N89" s="16"/>
      <c r="AB89" s="94"/>
    </row>
    <row r="90" spans="1:28" s="6" customFormat="1">
      <c r="A90" s="120"/>
      <c r="B90" s="120"/>
      <c r="N90" s="16"/>
      <c r="AB90" s="92"/>
    </row>
    <row r="91" spans="1:28" s="6" customFormat="1">
      <c r="A91" s="120"/>
      <c r="B91" s="120"/>
      <c r="N91" s="16"/>
      <c r="AB91" s="92"/>
    </row>
    <row r="92" spans="1:28" s="6" customFormat="1">
      <c r="A92" s="120"/>
      <c r="B92" s="120"/>
      <c r="N92" s="16"/>
      <c r="AB92" s="92"/>
    </row>
    <row r="93" spans="1:28" s="6" customFormat="1">
      <c r="A93" s="120"/>
      <c r="B93" s="120"/>
      <c r="N93" s="16"/>
      <c r="AB93" s="92"/>
    </row>
    <row r="94" spans="1:28" s="6" customFormat="1">
      <c r="A94" s="120"/>
      <c r="B94" s="120"/>
      <c r="N94" s="16"/>
      <c r="AB94" s="92"/>
    </row>
    <row r="95" spans="1:28" s="6" customFormat="1">
      <c r="A95" s="120"/>
      <c r="B95" s="120"/>
      <c r="N95" s="16"/>
      <c r="AB95" s="92"/>
    </row>
    <row r="96" spans="1:28" s="6" customFormat="1">
      <c r="A96" s="120"/>
      <c r="B96" s="120"/>
      <c r="N96" s="16"/>
      <c r="AB96" s="92"/>
    </row>
    <row r="97" spans="1:28" s="6" customFormat="1">
      <c r="A97" s="120"/>
      <c r="B97" s="120"/>
      <c r="N97" s="16"/>
      <c r="AB97" s="69"/>
    </row>
    <row r="98" spans="1:28" s="6" customFormat="1">
      <c r="A98" s="120"/>
      <c r="B98" s="120"/>
      <c r="N98" s="16"/>
      <c r="AB98" s="95"/>
    </row>
    <row r="99" spans="1:28" s="6" customFormat="1">
      <c r="A99" s="120"/>
      <c r="B99" s="120"/>
      <c r="N99" s="16"/>
      <c r="AB99" s="69"/>
    </row>
    <row r="100" spans="1:28" s="6" customFormat="1">
      <c r="A100" s="120"/>
      <c r="B100" s="120"/>
      <c r="N100" s="16"/>
      <c r="AB100" s="69"/>
    </row>
    <row r="101" spans="1:28" s="6" customFormat="1">
      <c r="A101" s="120"/>
      <c r="B101" s="120"/>
      <c r="N101" s="16"/>
      <c r="AB101" s="95"/>
    </row>
    <row r="102" spans="1:28" s="6" customFormat="1">
      <c r="A102" s="120"/>
      <c r="B102" s="120"/>
      <c r="N102" s="16"/>
      <c r="AB102" s="69"/>
    </row>
    <row r="103" spans="1:28" s="6" customFormat="1">
      <c r="A103" s="120"/>
      <c r="B103" s="120"/>
      <c r="N103" s="16"/>
      <c r="AB103" s="69"/>
    </row>
    <row r="104" spans="1:28" s="6" customFormat="1">
      <c r="A104" s="120"/>
      <c r="B104" s="120"/>
      <c r="N104" s="16"/>
      <c r="AB104" s="69"/>
    </row>
    <row r="105" spans="1:28" s="6" customFormat="1">
      <c r="A105" s="120"/>
      <c r="B105" s="120"/>
      <c r="N105" s="16"/>
      <c r="AB105" s="69"/>
    </row>
    <row r="106" spans="1:28" s="6" customFormat="1">
      <c r="A106" s="120"/>
      <c r="B106" s="120"/>
      <c r="N106" s="16"/>
      <c r="AB106" s="69"/>
    </row>
    <row r="107" spans="1:28" s="6" customFormat="1">
      <c r="A107" s="120"/>
      <c r="B107" s="120"/>
      <c r="N107" s="16"/>
      <c r="AB107" s="69"/>
    </row>
    <row r="108" spans="1:28" s="6" customFormat="1">
      <c r="A108" s="120"/>
      <c r="B108" s="120"/>
      <c r="N108" s="16"/>
      <c r="AB108" s="69"/>
    </row>
    <row r="109" spans="1:28" s="6" customFormat="1">
      <c r="A109" s="120"/>
      <c r="B109" s="120"/>
      <c r="N109" s="16"/>
      <c r="AB109" s="69"/>
    </row>
    <row r="110" spans="1:28" s="6" customFormat="1">
      <c r="A110" s="120"/>
      <c r="B110" s="120"/>
      <c r="N110" s="16"/>
      <c r="AB110" s="69"/>
    </row>
    <row r="111" spans="1:28" s="6" customFormat="1">
      <c r="A111" s="120"/>
      <c r="B111" s="120"/>
      <c r="N111" s="16"/>
      <c r="AB111" s="69"/>
    </row>
    <row r="112" spans="1:28" s="6" customFormat="1">
      <c r="A112" s="120"/>
      <c r="B112" s="120"/>
      <c r="AB112" s="69"/>
    </row>
    <row r="113" spans="1:28" s="6" customFormat="1">
      <c r="A113" s="120"/>
      <c r="B113" s="120"/>
      <c r="AB113" s="69"/>
    </row>
    <row r="114" spans="1:28" s="6" customFormat="1" ht="15">
      <c r="A114" s="120"/>
      <c r="B114" s="120"/>
      <c r="AB114" s="94"/>
    </row>
    <row r="115" spans="1:28" s="6" customFormat="1">
      <c r="A115" s="120"/>
      <c r="B115" s="120"/>
      <c r="AB115" s="69"/>
    </row>
    <row r="116" spans="1:28" s="6" customFormat="1">
      <c r="A116" s="120"/>
      <c r="B116" s="120"/>
      <c r="AB116" s="69"/>
    </row>
    <row r="117" spans="1:28" s="6" customFormat="1">
      <c r="A117" s="120"/>
      <c r="B117" s="120"/>
      <c r="AB117" s="95"/>
    </row>
    <row r="118" spans="1:28" s="6" customFormat="1">
      <c r="A118" s="120"/>
      <c r="B118" s="120"/>
      <c r="AB118" s="69"/>
    </row>
    <row r="119" spans="1:28" s="6" customFormat="1">
      <c r="A119" s="120"/>
      <c r="B119" s="120"/>
      <c r="AB119" s="69"/>
    </row>
    <row r="120" spans="1:28" s="6" customFormat="1">
      <c r="A120" s="120"/>
      <c r="B120" s="120"/>
      <c r="AB120" s="69"/>
    </row>
    <row r="121" spans="1:28" s="6" customFormat="1">
      <c r="A121" s="120"/>
      <c r="B121" s="120"/>
      <c r="AB121" s="69"/>
    </row>
    <row r="122" spans="1:28" s="6" customFormat="1">
      <c r="A122" s="120"/>
      <c r="B122" s="120"/>
      <c r="AB122" s="69"/>
    </row>
    <row r="123" spans="1:28" s="6" customFormat="1">
      <c r="A123" s="120"/>
      <c r="B123" s="120"/>
      <c r="AB123" s="69"/>
    </row>
    <row r="124" spans="1:28" s="6" customFormat="1">
      <c r="A124" s="120"/>
      <c r="B124" s="120"/>
      <c r="AB124" s="69"/>
    </row>
    <row r="125" spans="1:28" s="6" customFormat="1">
      <c r="A125" s="120"/>
      <c r="B125" s="120"/>
      <c r="AB125" s="69"/>
    </row>
    <row r="126" spans="1:28" s="6" customFormat="1">
      <c r="A126" s="120"/>
      <c r="B126" s="120"/>
      <c r="AB126" s="69"/>
    </row>
    <row r="127" spans="1:28" s="6" customFormat="1">
      <c r="A127" s="120"/>
      <c r="B127" s="120"/>
      <c r="AB127" s="69"/>
    </row>
    <row r="128" spans="1:28" s="6" customFormat="1">
      <c r="A128" s="120"/>
      <c r="B128" s="120"/>
      <c r="AB128" s="95"/>
    </row>
    <row r="129" spans="1:28" s="6" customFormat="1">
      <c r="A129" s="120"/>
      <c r="B129" s="120"/>
      <c r="AB129" s="95"/>
    </row>
    <row r="130" spans="1:28" s="6" customFormat="1">
      <c r="A130" s="120"/>
      <c r="B130" s="120"/>
      <c r="AB130" s="95"/>
    </row>
    <row r="131" spans="1:28" s="6" customFormat="1">
      <c r="A131" s="120"/>
      <c r="B131" s="120"/>
      <c r="AB131" s="69"/>
    </row>
    <row r="132" spans="1:28" s="6" customFormat="1">
      <c r="A132" s="120"/>
      <c r="B132" s="120"/>
      <c r="AB132" s="95"/>
    </row>
    <row r="133" spans="1:28" s="6" customFormat="1">
      <c r="A133" s="120"/>
      <c r="B133" s="120"/>
      <c r="AB133" s="4"/>
    </row>
    <row r="134" spans="1:28" s="6" customFormat="1">
      <c r="A134" s="120"/>
      <c r="B134" s="120"/>
      <c r="AB134" s="4"/>
    </row>
    <row r="135" spans="1:28" s="6" customFormat="1">
      <c r="A135" s="120"/>
      <c r="B135" s="120"/>
      <c r="AB135" s="4"/>
    </row>
    <row r="136" spans="1:28" s="6" customFormat="1">
      <c r="A136" s="120"/>
      <c r="B136" s="120"/>
      <c r="AB136" s="4"/>
    </row>
    <row r="137" spans="1:28" s="6" customFormat="1">
      <c r="A137" s="120"/>
      <c r="B137" s="120"/>
      <c r="AB137" s="4"/>
    </row>
    <row r="138" spans="1:28" s="6" customFormat="1">
      <c r="A138" s="120"/>
      <c r="B138" s="120"/>
      <c r="AB138" s="4"/>
    </row>
    <row r="139" spans="1:28" s="6" customFormat="1">
      <c r="A139" s="120"/>
      <c r="B139" s="120"/>
      <c r="AB139" s="4"/>
    </row>
    <row r="140" spans="1:28" s="6" customFormat="1">
      <c r="A140" s="120"/>
      <c r="B140" s="120"/>
      <c r="AB140" s="4"/>
    </row>
    <row r="141" spans="1:28" s="6" customFormat="1">
      <c r="A141" s="120"/>
      <c r="B141" s="120"/>
      <c r="AB141" s="4"/>
    </row>
    <row r="142" spans="1:28" s="6" customFormat="1">
      <c r="A142" s="120"/>
      <c r="B142" s="120"/>
      <c r="AB142" s="4"/>
    </row>
    <row r="143" spans="1:28" s="6" customFormat="1">
      <c r="A143" s="120"/>
      <c r="B143" s="120"/>
      <c r="AB143" s="4"/>
    </row>
    <row r="144" spans="1:28" s="6" customFormat="1">
      <c r="A144" s="120"/>
      <c r="B144" s="120"/>
      <c r="AB144" s="4"/>
    </row>
    <row r="145" spans="1:30" s="6" customFormat="1">
      <c r="A145" s="120"/>
      <c r="B145" s="120"/>
      <c r="AB145" s="4"/>
    </row>
    <row r="146" spans="1:30" s="6" customFormat="1">
      <c r="A146" s="120"/>
      <c r="B146" s="120"/>
      <c r="AB146" s="4"/>
    </row>
    <row r="147" spans="1:30" s="6" customFormat="1">
      <c r="A147" s="120"/>
      <c r="B147" s="120"/>
      <c r="AB147" s="4"/>
    </row>
    <row r="148" spans="1:30" s="6" customFormat="1">
      <c r="A148" s="120"/>
      <c r="B148" s="120"/>
      <c r="AB148" s="4"/>
    </row>
    <row r="149" spans="1:30" s="6" customFormat="1">
      <c r="A149" s="120"/>
      <c r="B149" s="120"/>
      <c r="AB149" s="4"/>
    </row>
    <row r="150" spans="1:30" s="6" customFormat="1">
      <c r="A150" s="120"/>
      <c r="B150" s="120"/>
      <c r="AB150" s="4"/>
    </row>
    <row r="151" spans="1:30">
      <c r="A151" s="120"/>
      <c r="B151" s="120"/>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C151" s="6"/>
      <c r="AD151" s="6"/>
    </row>
  </sheetData>
  <customSheetViews>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1"/>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2"/>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4"/>
    </customSheetView>
  </customSheetViews>
  <mergeCells count="12">
    <mergeCell ref="AU2:AX2"/>
    <mergeCell ref="W2:Z2"/>
    <mergeCell ref="C2:F2"/>
    <mergeCell ref="G2:J2"/>
    <mergeCell ref="K2:N2"/>
    <mergeCell ref="O2:R2"/>
    <mergeCell ref="S2:V2"/>
    <mergeCell ref="AQ2:AT2"/>
    <mergeCell ref="AM2:AP2"/>
    <mergeCell ref="AI2:AL2"/>
    <mergeCell ref="AE2:AH2"/>
    <mergeCell ref="AA2:AD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4" formulaRange="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9"/>
  <sheetViews>
    <sheetView showGridLines="0" zoomScale="85" zoomScaleNormal="85" zoomScaleSheetLayoutView="70" workbookViewId="0">
      <pane xSplit="2" topLeftCell="BE1" activePane="topRight" state="frozen"/>
      <selection pane="topRight" activeCell="G60" sqref="G60"/>
    </sheetView>
  </sheetViews>
  <sheetFormatPr defaultColWidth="9" defaultRowHeight="12" outlineLevelCol="1"/>
  <cols>
    <col min="1" max="2" width="35.125" style="473" customWidth="1"/>
    <col min="3" max="6" width="8.625" style="473" customWidth="1"/>
    <col min="7" max="10" width="8.625" style="473" customWidth="1" outlineLevel="1"/>
    <col min="11" max="11" width="8.625" style="473" customWidth="1"/>
    <col min="12" max="15" width="8.625" style="473" customWidth="1" outlineLevel="1"/>
    <col min="16" max="16" width="8.625" style="473" customWidth="1"/>
    <col min="17" max="20" width="8.625" style="473" customWidth="1" outlineLevel="1"/>
    <col min="21" max="62" width="8.625" style="473" customWidth="1"/>
    <col min="63" max="65" width="9" style="473"/>
    <col min="66" max="67" width="8.625" style="473" customWidth="1"/>
    <col min="68" max="70" width="9" style="473"/>
    <col min="71" max="71" width="8.625" style="473" customWidth="1"/>
    <col min="72" max="16384" width="9" style="473"/>
  </cols>
  <sheetData>
    <row r="1" spans="1:71" ht="94.5" customHeight="1">
      <c r="A1" s="472"/>
      <c r="B1" s="472"/>
      <c r="AP1" s="523"/>
      <c r="AQ1" s="523"/>
      <c r="AR1" s="523"/>
      <c r="AS1" s="523"/>
      <c r="AT1" s="524"/>
      <c r="AU1" s="523"/>
      <c r="AV1" s="523"/>
      <c r="AW1" s="523"/>
      <c r="AX1" s="523"/>
      <c r="AY1" s="524"/>
      <c r="AZ1" s="523"/>
      <c r="BA1" s="523"/>
      <c r="BB1" s="523"/>
      <c r="BC1" s="523"/>
      <c r="BD1" s="524"/>
      <c r="BE1" s="523"/>
      <c r="BF1" s="523"/>
      <c r="BG1" s="523"/>
      <c r="BH1" s="523"/>
      <c r="BI1" s="524"/>
      <c r="BJ1" s="523"/>
      <c r="BK1" s="523"/>
      <c r="BL1" s="523"/>
      <c r="BM1" s="523"/>
      <c r="BN1" s="524"/>
      <c r="BO1" s="523"/>
      <c r="BP1" s="523"/>
      <c r="BQ1" s="523"/>
      <c r="BR1" s="523"/>
      <c r="BS1" s="524"/>
    </row>
    <row r="2" spans="1:71" s="478" customFormat="1" ht="42.75">
      <c r="A2" s="479" t="s">
        <v>465</v>
      </c>
      <c r="B2" s="474" t="s">
        <v>466</v>
      </c>
      <c r="C2" s="475">
        <v>2006</v>
      </c>
      <c r="D2" s="475">
        <v>2007</v>
      </c>
      <c r="E2" s="475">
        <v>2008</v>
      </c>
      <c r="F2" s="475">
        <v>2009</v>
      </c>
      <c r="G2" s="476" t="s">
        <v>467</v>
      </c>
      <c r="H2" s="476" t="s">
        <v>468</v>
      </c>
      <c r="I2" s="476" t="s">
        <v>469</v>
      </c>
      <c r="J2" s="476" t="s">
        <v>470</v>
      </c>
      <c r="K2" s="475">
        <v>2010</v>
      </c>
      <c r="L2" s="476" t="s">
        <v>471</v>
      </c>
      <c r="M2" s="476" t="s">
        <v>472</v>
      </c>
      <c r="N2" s="476" t="s">
        <v>473</v>
      </c>
      <c r="O2" s="476" t="s">
        <v>474</v>
      </c>
      <c r="P2" s="475">
        <v>2011</v>
      </c>
      <c r="Q2" s="476" t="s">
        <v>475</v>
      </c>
      <c r="R2" s="476" t="s">
        <v>476</v>
      </c>
      <c r="S2" s="476" t="s">
        <v>477</v>
      </c>
      <c r="T2" s="476" t="s">
        <v>478</v>
      </c>
      <c r="U2" s="475">
        <v>2012</v>
      </c>
      <c r="V2" s="476" t="s">
        <v>479</v>
      </c>
      <c r="W2" s="476" t="s">
        <v>480</v>
      </c>
      <c r="X2" s="476" t="s">
        <v>481</v>
      </c>
      <c r="Y2" s="476" t="s">
        <v>482</v>
      </c>
      <c r="Z2" s="475">
        <v>2013</v>
      </c>
      <c r="AA2" s="476" t="s">
        <v>483</v>
      </c>
      <c r="AB2" s="476" t="s">
        <v>484</v>
      </c>
      <c r="AC2" s="476" t="s">
        <v>485</v>
      </c>
      <c r="AD2" s="476" t="s">
        <v>486</v>
      </c>
      <c r="AE2" s="475">
        <v>2014</v>
      </c>
      <c r="AF2" s="476" t="s">
        <v>487</v>
      </c>
      <c r="AG2" s="476" t="s">
        <v>488</v>
      </c>
      <c r="AH2" s="476" t="s">
        <v>489</v>
      </c>
      <c r="AI2" s="476" t="s">
        <v>490</v>
      </c>
      <c r="AJ2" s="475">
        <v>2015</v>
      </c>
      <c r="AK2" s="476" t="s">
        <v>491</v>
      </c>
      <c r="AL2" s="476" t="s">
        <v>492</v>
      </c>
      <c r="AM2" s="476" t="s">
        <v>493</v>
      </c>
      <c r="AN2" s="476" t="s">
        <v>494</v>
      </c>
      <c r="AO2" s="475">
        <v>2016</v>
      </c>
      <c r="AP2" s="481" t="s">
        <v>495</v>
      </c>
      <c r="AQ2" s="481" t="s">
        <v>496</v>
      </c>
      <c r="AR2" s="481" t="s">
        <v>497</v>
      </c>
      <c r="AS2" s="481" t="s">
        <v>498</v>
      </c>
      <c r="AT2" s="482" t="s">
        <v>499</v>
      </c>
      <c r="AU2" s="481" t="s">
        <v>500</v>
      </c>
      <c r="AV2" s="481" t="s">
        <v>501</v>
      </c>
      <c r="AW2" s="481" t="s">
        <v>502</v>
      </c>
      <c r="AX2" s="481" t="s">
        <v>503</v>
      </c>
      <c r="AY2" s="482" t="s">
        <v>504</v>
      </c>
      <c r="AZ2" s="481" t="s">
        <v>505</v>
      </c>
      <c r="BA2" s="481" t="s">
        <v>506</v>
      </c>
      <c r="BB2" s="481" t="s">
        <v>507</v>
      </c>
      <c r="BC2" s="481" t="s">
        <v>507</v>
      </c>
      <c r="BD2" s="482" t="s">
        <v>508</v>
      </c>
      <c r="BE2" s="481" t="s">
        <v>509</v>
      </c>
      <c r="BF2" s="481" t="s">
        <v>510</v>
      </c>
      <c r="BG2" s="481" t="s">
        <v>511</v>
      </c>
      <c r="BH2" s="481" t="s">
        <v>512</v>
      </c>
      <c r="BI2" s="482" t="s">
        <v>513</v>
      </c>
      <c r="BJ2" s="481" t="s">
        <v>514</v>
      </c>
      <c r="BK2" s="481" t="s">
        <v>515</v>
      </c>
      <c r="BL2" s="481" t="s">
        <v>516</v>
      </c>
      <c r="BM2" s="481" t="s">
        <v>517</v>
      </c>
      <c r="BN2" s="482" t="s">
        <v>518</v>
      </c>
      <c r="BO2" s="481" t="s">
        <v>519</v>
      </c>
      <c r="BP2" s="481" t="s">
        <v>520</v>
      </c>
      <c r="BQ2" s="481" t="s">
        <v>521</v>
      </c>
      <c r="BR2" s="481" t="s">
        <v>522</v>
      </c>
      <c r="BS2" s="482" t="s">
        <v>523</v>
      </c>
    </row>
    <row r="3" spans="1:71" s="483" customFormat="1" ht="42.75">
      <c r="A3" s="479" t="s">
        <v>465</v>
      </c>
      <c r="B3" s="474" t="s">
        <v>466</v>
      </c>
      <c r="C3" s="480">
        <v>2006</v>
      </c>
      <c r="D3" s="480">
        <v>2007</v>
      </c>
      <c r="E3" s="480">
        <v>2008</v>
      </c>
      <c r="F3" s="480">
        <v>2009</v>
      </c>
      <c r="G3" s="481" t="s">
        <v>467</v>
      </c>
      <c r="H3" s="481" t="s">
        <v>468</v>
      </c>
      <c r="I3" s="481" t="s">
        <v>469</v>
      </c>
      <c r="J3" s="481" t="s">
        <v>470</v>
      </c>
      <c r="K3" s="480">
        <v>2010</v>
      </c>
      <c r="L3" s="481" t="s">
        <v>471</v>
      </c>
      <c r="M3" s="481" t="s">
        <v>472</v>
      </c>
      <c r="N3" s="481" t="s">
        <v>473</v>
      </c>
      <c r="O3" s="481" t="s">
        <v>474</v>
      </c>
      <c r="P3" s="480">
        <v>2011</v>
      </c>
      <c r="Q3" s="481" t="s">
        <v>475</v>
      </c>
      <c r="R3" s="481" t="s">
        <v>476</v>
      </c>
      <c r="S3" s="481" t="s">
        <v>477</v>
      </c>
      <c r="T3" s="481" t="s">
        <v>478</v>
      </c>
      <c r="U3" s="480">
        <v>2012</v>
      </c>
      <c r="V3" s="481" t="s">
        <v>479</v>
      </c>
      <c r="W3" s="481" t="s">
        <v>480</v>
      </c>
      <c r="X3" s="481" t="s">
        <v>481</v>
      </c>
      <c r="Y3" s="481" t="s">
        <v>482</v>
      </c>
      <c r="Z3" s="480">
        <v>2013</v>
      </c>
      <c r="AA3" s="481" t="s">
        <v>483</v>
      </c>
      <c r="AB3" s="481" t="s">
        <v>484</v>
      </c>
      <c r="AC3" s="481" t="s">
        <v>485</v>
      </c>
      <c r="AD3" s="481" t="s">
        <v>486</v>
      </c>
      <c r="AE3" s="480">
        <v>2014</v>
      </c>
      <c r="AF3" s="481" t="s">
        <v>487</v>
      </c>
      <c r="AG3" s="481" t="s">
        <v>488</v>
      </c>
      <c r="AH3" s="481" t="s">
        <v>489</v>
      </c>
      <c r="AI3" s="481" t="s">
        <v>490</v>
      </c>
      <c r="AJ3" s="480">
        <v>2015</v>
      </c>
      <c r="AK3" s="481" t="s">
        <v>491</v>
      </c>
      <c r="AL3" s="481" t="s">
        <v>492</v>
      </c>
      <c r="AM3" s="481" t="s">
        <v>493</v>
      </c>
      <c r="AN3" s="481" t="s">
        <v>494</v>
      </c>
      <c r="AO3" s="480">
        <v>2016</v>
      </c>
      <c r="AP3" s="476" t="s">
        <v>524</v>
      </c>
      <c r="AQ3" s="476" t="s">
        <v>525</v>
      </c>
      <c r="AR3" s="476" t="s">
        <v>526</v>
      </c>
      <c r="AS3" s="476" t="s">
        <v>527</v>
      </c>
      <c r="AT3" s="477" t="s">
        <v>528</v>
      </c>
      <c r="AU3" s="476" t="s">
        <v>529</v>
      </c>
      <c r="AV3" s="476" t="s">
        <v>530</v>
      </c>
      <c r="AW3" s="476" t="s">
        <v>531</v>
      </c>
      <c r="AX3" s="476" t="s">
        <v>532</v>
      </c>
      <c r="AY3" s="477" t="s">
        <v>533</v>
      </c>
      <c r="AZ3" s="476" t="s">
        <v>534</v>
      </c>
      <c r="BA3" s="476" t="s">
        <v>535</v>
      </c>
      <c r="BB3" s="476" t="s">
        <v>536</v>
      </c>
      <c r="BC3" s="476" t="s">
        <v>537</v>
      </c>
      <c r="BD3" s="477" t="s">
        <v>538</v>
      </c>
      <c r="BE3" s="476" t="s">
        <v>539</v>
      </c>
      <c r="BF3" s="476" t="s">
        <v>540</v>
      </c>
      <c r="BG3" s="476" t="s">
        <v>541</v>
      </c>
      <c r="BH3" s="476" t="s">
        <v>542</v>
      </c>
      <c r="BI3" s="477" t="s">
        <v>543</v>
      </c>
      <c r="BJ3" s="476" t="s">
        <v>544</v>
      </c>
      <c r="BK3" s="476" t="s">
        <v>545</v>
      </c>
      <c r="BL3" s="476" t="s">
        <v>546</v>
      </c>
      <c r="BM3" s="476" t="s">
        <v>547</v>
      </c>
      <c r="BN3" s="477" t="s">
        <v>548</v>
      </c>
      <c r="BO3" s="476" t="s">
        <v>549</v>
      </c>
      <c r="BP3" s="476" t="s">
        <v>550</v>
      </c>
      <c r="BQ3" s="476" t="s">
        <v>551</v>
      </c>
      <c r="BR3" s="476" t="s">
        <v>552</v>
      </c>
      <c r="BS3" s="477" t="s">
        <v>553</v>
      </c>
    </row>
    <row r="4" spans="1:71" s="487" customFormat="1" ht="24" customHeight="1">
      <c r="A4" s="484" t="s">
        <v>554</v>
      </c>
      <c r="B4" s="484" t="s">
        <v>555</v>
      </c>
      <c r="C4" s="485">
        <v>0.155</v>
      </c>
      <c r="D4" s="485">
        <v>0.21099999999999999</v>
      </c>
      <c r="E4" s="485">
        <v>0.317</v>
      </c>
      <c r="F4" s="485">
        <v>0.251</v>
      </c>
      <c r="G4" s="486">
        <v>0.32900000000000001</v>
      </c>
      <c r="H4" s="486">
        <v>0.29499999999999998</v>
      </c>
      <c r="I4" s="486">
        <v>0.28499999999999998</v>
      </c>
      <c r="J4" s="486">
        <v>0.191</v>
      </c>
      <c r="K4" s="485">
        <v>0.27500000000000002</v>
      </c>
      <c r="L4" s="486">
        <v>0.30870278738464518</v>
      </c>
      <c r="M4" s="486">
        <v>0.34613505621374752</v>
      </c>
      <c r="N4" s="486">
        <v>0.31878501150261895</v>
      </c>
      <c r="O4" s="486">
        <v>0.27406013939927337</v>
      </c>
      <c r="P4" s="485">
        <v>0.31073681541046316</v>
      </c>
      <c r="Q4" s="486">
        <v>0.38466527099742531</v>
      </c>
      <c r="R4" s="486">
        <v>0.3779041668709594</v>
      </c>
      <c r="S4" s="486">
        <v>0.4001250502295432</v>
      </c>
      <c r="T4" s="486">
        <v>0.32927622113037824</v>
      </c>
      <c r="U4" s="485">
        <v>0.37154971807437509</v>
      </c>
      <c r="V4" s="486">
        <v>0.3519157165072388</v>
      </c>
      <c r="W4" s="486">
        <v>0.34957890245592677</v>
      </c>
      <c r="X4" s="486">
        <v>0.3961214215056621</v>
      </c>
      <c r="Y4" s="486">
        <v>0.34405245121739447</v>
      </c>
      <c r="Z4" s="485">
        <v>0.35944885852796471</v>
      </c>
      <c r="AA4" s="486">
        <v>0.38927182921261261</v>
      </c>
      <c r="AB4" s="486">
        <v>0.40603700097370976</v>
      </c>
      <c r="AC4" s="486">
        <v>0.37613655149611497</v>
      </c>
      <c r="AD4" s="486">
        <v>0.33211693308476481</v>
      </c>
      <c r="AE4" s="485">
        <v>0.36954614772129168</v>
      </c>
      <c r="AF4" s="486">
        <v>0.38497209102619145</v>
      </c>
      <c r="AG4" s="486">
        <v>0.39567471245747615</v>
      </c>
      <c r="AH4" s="486">
        <v>0.3852747525777464</v>
      </c>
      <c r="AI4" s="486">
        <v>0.33759914172956829</v>
      </c>
      <c r="AJ4" s="485">
        <v>0.37515015779293487</v>
      </c>
      <c r="AK4" s="486">
        <v>0.35807952622673433</v>
      </c>
      <c r="AL4" s="486">
        <v>0.3827418232428671</v>
      </c>
      <c r="AM4" s="486">
        <v>0.4007873356227491</v>
      </c>
      <c r="AN4" s="486">
        <v>0.35592284328034396</v>
      </c>
      <c r="AO4" s="485">
        <v>0.37419063084544396</v>
      </c>
      <c r="AP4" s="486">
        <v>0.38914008205643491</v>
      </c>
      <c r="AQ4" s="486">
        <v>0.39017773998947319</v>
      </c>
      <c r="AR4" s="486">
        <v>0.35597473754653058</v>
      </c>
      <c r="AS4" s="486">
        <v>0.33836073200992561</v>
      </c>
      <c r="AT4" s="485">
        <v>0.36800765114054906</v>
      </c>
      <c r="AU4" s="486">
        <v>0.37938531054179631</v>
      </c>
      <c r="AV4" s="486">
        <v>0.36355255070682235</v>
      </c>
      <c r="AW4" s="486">
        <v>0.33638025594149901</v>
      </c>
      <c r="AX4" s="486">
        <v>0.31355762824783479</v>
      </c>
      <c r="AY4" s="485">
        <v>0.3460289535003418</v>
      </c>
      <c r="AZ4" s="486">
        <v>0.37193724029230529</v>
      </c>
      <c r="BA4" s="486">
        <v>0.36814916182004787</v>
      </c>
      <c r="BB4" s="486">
        <v>0.35282118655787575</v>
      </c>
      <c r="BC4" s="486">
        <v>0.34596461503372328</v>
      </c>
      <c r="BD4" s="485">
        <v>0.35942652084171944</v>
      </c>
      <c r="BE4" s="486">
        <v>0.36043139424960502</v>
      </c>
      <c r="BF4" s="486">
        <v>0.33534774862891703</v>
      </c>
      <c r="BG4" s="486">
        <v>0.35921425004161806</v>
      </c>
      <c r="BH4" s="486">
        <v>0.34673652177205838</v>
      </c>
      <c r="BI4" s="485">
        <v>0.35040486809552868</v>
      </c>
      <c r="BJ4" s="486">
        <f>'P&amp;L'!BG33</f>
        <v>0.36242217312713398</v>
      </c>
      <c r="BK4" s="486">
        <f>'P&amp;L'!BH33</f>
        <v>0.3610785834098173</v>
      </c>
      <c r="BL4" s="486">
        <f>'P&amp;L'!BI33</f>
        <v>1.5155513044625486</v>
      </c>
      <c r="BM4" s="486">
        <f>'P&amp;L'!BJ33</f>
        <v>0.2698315467075037</v>
      </c>
      <c r="BN4" s="485">
        <f>'P&amp;L'!BK33</f>
        <v>0.61873995499839274</v>
      </c>
      <c r="BO4" s="486">
        <f>'P&amp;L'!BL33</f>
        <v>0.25667124250845413</v>
      </c>
      <c r="BP4" s="486">
        <f>'P&amp;L'!BM33</f>
        <v>0.27672624763792941</v>
      </c>
      <c r="BQ4" s="486"/>
      <c r="BR4" s="486"/>
      <c r="BS4" s="485"/>
    </row>
    <row r="5" spans="1:71" s="487" customFormat="1" ht="24" customHeight="1">
      <c r="A5" s="484" t="s">
        <v>556</v>
      </c>
      <c r="B5" s="484" t="s">
        <v>557</v>
      </c>
      <c r="C5" s="485">
        <v>0.11600000000000001</v>
      </c>
      <c r="D5" s="485">
        <v>0.14399999999999999</v>
      </c>
      <c r="E5" s="485">
        <v>0.246</v>
      </c>
      <c r="F5" s="485">
        <v>0.182</v>
      </c>
      <c r="G5" s="486">
        <v>0.23</v>
      </c>
      <c r="H5" s="486">
        <v>0.182</v>
      </c>
      <c r="I5" s="486">
        <v>0.188</v>
      </c>
      <c r="J5" s="486">
        <v>9.8000000000000004E-2</v>
      </c>
      <c r="K5" s="485">
        <v>0.17399999999999999</v>
      </c>
      <c r="L5" s="486">
        <v>0.18967721753120198</v>
      </c>
      <c r="M5" s="486">
        <v>0.1105688210628496</v>
      </c>
      <c r="N5" s="486" t="s">
        <v>558</v>
      </c>
      <c r="O5" s="486">
        <v>0.10608165132384817</v>
      </c>
      <c r="P5" s="485">
        <v>6.7707133573549461E-2</v>
      </c>
      <c r="Q5" s="486">
        <v>0.30649285055729641</v>
      </c>
      <c r="R5" s="486">
        <v>0.13939020375571728</v>
      </c>
      <c r="S5" s="486">
        <v>0.266952761732768</v>
      </c>
      <c r="T5" s="486">
        <v>0.1620322508446396</v>
      </c>
      <c r="U5" s="485">
        <v>0.21535338337745638</v>
      </c>
      <c r="V5" s="486">
        <v>0.13643419081993929</v>
      </c>
      <c r="W5" s="486">
        <v>0.10971771925199814</v>
      </c>
      <c r="X5" s="486">
        <v>0.26051734065642024</v>
      </c>
      <c r="Y5" s="486">
        <v>0.21631129917457795</v>
      </c>
      <c r="Z5" s="485">
        <v>0.18051820848101818</v>
      </c>
      <c r="AA5" s="486">
        <v>0.13582744164810381</v>
      </c>
      <c r="AB5" s="486">
        <v>7.5662981843175381E-2</v>
      </c>
      <c r="AC5" s="486">
        <v>1.9920648040998381E-2</v>
      </c>
      <c r="AD5" s="486">
        <v>5.5531315695532789E-3</v>
      </c>
      <c r="AE5" s="485">
        <v>3.94742169260043E-2</v>
      </c>
      <c r="AF5" s="486">
        <v>7.3336195792185463E-2</v>
      </c>
      <c r="AG5" s="486">
        <v>0.12331929369836385</v>
      </c>
      <c r="AH5" s="486">
        <v>0.20808315044101192</v>
      </c>
      <c r="AI5" s="486">
        <v>7.111383577914876E-2</v>
      </c>
      <c r="AJ5" s="485">
        <v>0.11843632291560617</v>
      </c>
      <c r="AK5" s="486">
        <v>7.5507614213197988E-2</v>
      </c>
      <c r="AL5" s="486">
        <v>9.4518809611527338E-2</v>
      </c>
      <c r="AM5" s="486">
        <v>0.11299103777535824</v>
      </c>
      <c r="AN5" s="486">
        <v>0.134827028519585</v>
      </c>
      <c r="AO5" s="485">
        <v>0.10493535324467103</v>
      </c>
      <c r="AP5" s="486">
        <v>0.11362304278656968</v>
      </c>
      <c r="AQ5" s="486">
        <v>0.11405320053443456</v>
      </c>
      <c r="AR5" s="486">
        <v>9.8247521853695272E-2</v>
      </c>
      <c r="AS5" s="486">
        <v>6.0949131513647663E-2</v>
      </c>
      <c r="AT5" s="485">
        <v>9.6168325092078288E-2</v>
      </c>
      <c r="AU5" s="486">
        <v>0.12455773903405941</v>
      </c>
      <c r="AV5" s="486">
        <v>8.8890596189305407E-2</v>
      </c>
      <c r="AW5" s="486">
        <v>8.3034734917733014E-2</v>
      </c>
      <c r="AX5" s="486">
        <v>2.1785476349100594E-2</v>
      </c>
      <c r="AY5" s="485">
        <v>7.6370237972693752E-2</v>
      </c>
      <c r="AZ5" s="486">
        <v>0.1064980656254476</v>
      </c>
      <c r="BA5" s="486">
        <v>9.1994526171741281E-2</v>
      </c>
      <c r="BB5" s="486">
        <v>8.1766007467846707E-2</v>
      </c>
      <c r="BC5" s="486">
        <v>0.10162588380958593</v>
      </c>
      <c r="BD5" s="485">
        <v>9.5459956663612081E-2</v>
      </c>
      <c r="BE5" s="486">
        <v>6.4521266111988732E-2</v>
      </c>
      <c r="BF5" s="486">
        <v>0.10154749013169415</v>
      </c>
      <c r="BG5" s="486">
        <v>0.11486598967870809</v>
      </c>
      <c r="BH5" s="486">
        <v>0.10056941383535499</v>
      </c>
      <c r="BI5" s="485">
        <v>9.5809410472377121E-2</v>
      </c>
      <c r="BJ5" s="486">
        <f>'P&amp;L'!BG28/'P&amp;L'!BG5</f>
        <v>0.13068219856731605</v>
      </c>
      <c r="BK5" s="486">
        <f>'P&amp;L'!BH28/'P&amp;L'!BH5</f>
        <v>0.17144032661328604</v>
      </c>
      <c r="BL5" s="486">
        <f>'P&amp;L'!BI28/'P&amp;L'!BI5</f>
        <v>1.0385236980111483</v>
      </c>
      <c r="BM5" s="486">
        <f>'P&amp;L'!BJ28/'P&amp;L'!BJ5</f>
        <v>0.10220520673813159</v>
      </c>
      <c r="BN5" s="485">
        <f>'P&amp;L'!BK28/'P&amp;L'!BK5</f>
        <v>0.35474927675988421</v>
      </c>
      <c r="BO5" s="486">
        <f>'P&amp;L'!BL28/'P&amp;L'!BL5</f>
        <v>7.1249204807982039E-2</v>
      </c>
      <c r="BP5" s="486">
        <f>'P&amp;L'!BM28/'P&amp;L'!BM5</f>
        <v>8.7574734363867243E-2</v>
      </c>
      <c r="BQ5" s="486"/>
      <c r="BR5" s="486"/>
      <c r="BS5" s="485"/>
    </row>
    <row r="6" spans="1:71" s="4" customFormat="1" ht="24" customHeight="1">
      <c r="A6" s="4" t="s">
        <v>559</v>
      </c>
      <c r="B6" s="4" t="s">
        <v>560</v>
      </c>
      <c r="C6" s="485">
        <v>0.158</v>
      </c>
      <c r="D6" s="485">
        <v>0.191</v>
      </c>
      <c r="E6" s="485">
        <v>0.35599999999999998</v>
      </c>
      <c r="F6" s="485">
        <v>0.29699999999999999</v>
      </c>
      <c r="G6" s="486">
        <v>0.10100000000000001</v>
      </c>
      <c r="H6" s="486">
        <v>7.0999999999999994E-2</v>
      </c>
      <c r="I6" s="486">
        <v>6.9000000000000006E-2</v>
      </c>
      <c r="J6" s="486">
        <v>3.5999999999999997E-2</v>
      </c>
      <c r="K6" s="485">
        <v>0.255</v>
      </c>
      <c r="L6" s="486">
        <v>6.2271468324674333E-2</v>
      </c>
      <c r="M6" s="486">
        <v>1.3239521157757844E-2</v>
      </c>
      <c r="N6" s="486" t="s">
        <v>558</v>
      </c>
      <c r="O6" s="486">
        <v>1.4264993041101997E-2</v>
      </c>
      <c r="P6" s="485">
        <v>2.9950184610851395E-2</v>
      </c>
      <c r="Q6" s="486">
        <v>3.7273881405565285E-2</v>
      </c>
      <c r="R6" s="486">
        <v>1.7775372865166162E-2</v>
      </c>
      <c r="S6" s="486">
        <v>3.1199624869035991E-2</v>
      </c>
      <c r="T6" s="486">
        <v>2.1869529763033944E-2</v>
      </c>
      <c r="U6" s="485">
        <v>0.10758152928832863</v>
      </c>
      <c r="V6" s="486">
        <v>1.6894118349245417E-2</v>
      </c>
      <c r="W6" s="486">
        <v>1.4437552333780404E-2</v>
      </c>
      <c r="X6" s="486">
        <v>3.1520471398527435E-2</v>
      </c>
      <c r="Y6" s="486">
        <v>3.0503344649529706E-2</v>
      </c>
      <c r="Z6" s="485">
        <v>9.2569363820704936E-2</v>
      </c>
      <c r="AA6" s="486">
        <v>1.6778114005449145E-2</v>
      </c>
      <c r="AB6" s="486">
        <v>4.7471709233085704E-3</v>
      </c>
      <c r="AC6" s="486">
        <v>1.7539263205391209E-3</v>
      </c>
      <c r="AD6" s="486">
        <v>5.1209457655268075E-4</v>
      </c>
      <c r="AE6" s="485">
        <v>1.0699118831546462E-2</v>
      </c>
      <c r="AF6" s="486">
        <v>6.3051655844275677E-3</v>
      </c>
      <c r="AG6" s="486">
        <v>1.1218857997627276E-2</v>
      </c>
      <c r="AH6" s="486">
        <v>1.9220838831831989E-2</v>
      </c>
      <c r="AI6" s="486">
        <v>7.0063910668514045E-3</v>
      </c>
      <c r="AJ6" s="485">
        <v>4.3918294004175129E-2</v>
      </c>
      <c r="AK6" s="486">
        <v>6.2950750295357192E-3</v>
      </c>
      <c r="AL6" s="486">
        <v>8.3716748062985218E-3</v>
      </c>
      <c r="AM6" s="486">
        <v>9.8133713549945403E-3</v>
      </c>
      <c r="AN6" s="486">
        <v>1.232631187949209E-2</v>
      </c>
      <c r="AO6" s="485">
        <v>3.6820258715510319E-2</v>
      </c>
      <c r="AP6" s="486">
        <v>9.8500355675565938E-3</v>
      </c>
      <c r="AQ6" s="486">
        <v>1.0312071016747503E-2</v>
      </c>
      <c r="AR6" s="486">
        <v>8.7347448740545761E-3</v>
      </c>
      <c r="AS6" s="486">
        <v>5.6636402939904901E-3</v>
      </c>
      <c r="AT6" s="485">
        <v>3.4053898256232916E-2</v>
      </c>
      <c r="AU6" s="486">
        <v>1.0475220832855341E-2</v>
      </c>
      <c r="AV6" s="486">
        <v>7.7777329622608473E-3</v>
      </c>
      <c r="AW6" s="486">
        <v>7.4715498777771496E-3</v>
      </c>
      <c r="AX6" s="486">
        <v>2.1305152328581472E-3</v>
      </c>
      <c r="AY6" s="485">
        <v>2.658583305100215E-2</v>
      </c>
      <c r="AZ6" s="486">
        <v>9.4489540360668291E-3</v>
      </c>
      <c r="BA6" s="486">
        <v>8.5748360927574603E-3</v>
      </c>
      <c r="BB6" s="486">
        <v>7.5612976657490755E-3</v>
      </c>
      <c r="BC6" s="486">
        <v>9.5705378402926155E-3</v>
      </c>
      <c r="BD6" s="485">
        <v>3.4201094827797859E-2</v>
      </c>
      <c r="BE6" s="486">
        <v>5.6275610027343359E-3</v>
      </c>
      <c r="BF6" s="486">
        <v>8.9109457189450597E-3</v>
      </c>
      <c r="BG6" s="486">
        <v>1.0513773042685913E-2</v>
      </c>
      <c r="BH6" s="486">
        <v>9.8647008914389284E-3</v>
      </c>
      <c r="BI6" s="485">
        <v>3.4611456939151457E-2</v>
      </c>
      <c r="BJ6" s="486">
        <f>'P&amp;L'!BG28/'Balance sheet'!AM38</f>
        <v>1.1846637029844181E-2</v>
      </c>
      <c r="BK6" s="486">
        <f>'P&amp;L'!BH28/'Balance sheet'!AN38</f>
        <v>1.6453892954015972E-2</v>
      </c>
      <c r="BL6" s="486">
        <f>'P&amp;L'!BI28/'Balance sheet'!AO38</f>
        <v>8.7543164087479253E-2</v>
      </c>
      <c r="BM6" s="486">
        <f>'P&amp;L'!BJ28/'Balance sheet'!AP38</f>
        <v>1.0351459503055485E-2</v>
      </c>
      <c r="BN6" s="485">
        <f>'P&amp;L'!BK28/'Balance sheet'!AP38</f>
        <v>0.13693892111548836</v>
      </c>
      <c r="BO6" s="486">
        <f>'P&amp;L'!BL28/'Balance sheet'!AQ38</f>
        <v>6.671850309764478E-3</v>
      </c>
      <c r="BP6" s="486">
        <f>'P&amp;L'!BM28/'Balance sheet'!AR38</f>
        <v>8.8860250204312492E-3</v>
      </c>
      <c r="BQ6" s="486"/>
      <c r="BR6" s="486"/>
      <c r="BS6" s="485"/>
    </row>
    <row r="7" spans="1:71" s="4" customFormat="1" ht="24" customHeight="1">
      <c r="A7" s="4" t="s">
        <v>561</v>
      </c>
      <c r="B7" s="4" t="s">
        <v>562</v>
      </c>
      <c r="C7" s="485" t="s">
        <v>558</v>
      </c>
      <c r="D7" s="485" t="s">
        <v>558</v>
      </c>
      <c r="E7" s="485">
        <v>11.443</v>
      </c>
      <c r="F7" s="485">
        <v>2.5009999999999999</v>
      </c>
      <c r="G7" s="486">
        <v>0.26700000000000002</v>
      </c>
      <c r="H7" s="486">
        <v>0.26200000000000001</v>
      </c>
      <c r="I7" s="486">
        <v>0.21199999999999999</v>
      </c>
      <c r="J7" s="486">
        <v>9.5000000000000001E-2</v>
      </c>
      <c r="K7" s="485">
        <v>1.5249999999999999</v>
      </c>
      <c r="L7" s="486">
        <v>0.17852586122288744</v>
      </c>
      <c r="M7" s="486">
        <v>3.8577428856174406E-2</v>
      </c>
      <c r="N7" s="486" t="s">
        <v>558</v>
      </c>
      <c r="O7" s="486">
        <v>4.1927279961049509E-2</v>
      </c>
      <c r="P7" s="485">
        <v>9.1999999999999998E-2</v>
      </c>
      <c r="Q7" s="486">
        <v>0.10877317095676947</v>
      </c>
      <c r="R7" s="486">
        <v>4.7546166174335783E-2</v>
      </c>
      <c r="S7" s="486">
        <v>7.8824364260900753E-2</v>
      </c>
      <c r="T7" s="486">
        <v>5.1825928219061103E-2</v>
      </c>
      <c r="U7" s="485">
        <v>0.31992749070239374</v>
      </c>
      <c r="V7" s="486">
        <v>3.854988705193179E-2</v>
      </c>
      <c r="W7" s="486">
        <v>3.1460520932769673E-2</v>
      </c>
      <c r="X7" s="486">
        <v>6.6607225701146078E-2</v>
      </c>
      <c r="Y7" s="486">
        <v>6.122340013627673E-2</v>
      </c>
      <c r="Z7" s="485">
        <v>0.21223515288993153</v>
      </c>
      <c r="AA7" s="486">
        <v>3.2613364596168266E-2</v>
      </c>
      <c r="AB7" s="486">
        <v>1.4743961784008204E-2</v>
      </c>
      <c r="AC7" s="486">
        <v>5.3069088907238835E-3</v>
      </c>
      <c r="AD7" s="486">
        <v>1.5445378522098774E-3</v>
      </c>
      <c r="AE7" s="485">
        <v>3.3292737061360989E-2</v>
      </c>
      <c r="AF7" s="486">
        <v>1.8684840992878312E-2</v>
      </c>
      <c r="AG7" s="486">
        <v>3.2907179060443298E-2</v>
      </c>
      <c r="AH7" s="486">
        <v>5.2576510593774481E-2</v>
      </c>
      <c r="AI7" s="486">
        <v>1.8441055193998745E-2</v>
      </c>
      <c r="AJ7" s="485">
        <v>0.12803327940836601</v>
      </c>
      <c r="AK7" s="486">
        <v>1.7454310774736723E-2</v>
      </c>
      <c r="AL7" s="486">
        <v>2.1926367667866348E-2</v>
      </c>
      <c r="AM7" s="486">
        <v>2.5065730185716849E-2</v>
      </c>
      <c r="AN7" s="486">
        <v>3.0971927726127686E-2</v>
      </c>
      <c r="AO7" s="485">
        <v>9.8584477531236128E-2</v>
      </c>
      <c r="AP7" s="486">
        <v>2.3855356028443631E-2</v>
      </c>
      <c r="AQ7" s="486">
        <v>2.4616809689427963E-2</v>
      </c>
      <c r="AR7" s="486">
        <v>2.003411513859275E-2</v>
      </c>
      <c r="AS7" s="486">
        <v>1.3144252316130978E-2</v>
      </c>
      <c r="AT7" s="485">
        <v>8.4607397328941306E-2</v>
      </c>
      <c r="AU7" s="486">
        <v>2.3166941519725995E-2</v>
      </c>
      <c r="AV7" s="486">
        <v>1.7500340326410829E-2</v>
      </c>
      <c r="AW7" s="486">
        <v>1.6879487446299284E-2</v>
      </c>
      <c r="AX7" s="486">
        <v>4.7357673536184428E-3</v>
      </c>
      <c r="AY7" s="485">
        <v>6.2492821097931937E-2</v>
      </c>
      <c r="AZ7" s="486">
        <v>2.1426563749972937E-2</v>
      </c>
      <c r="BA7" s="486">
        <v>1.9700210995193979E-2</v>
      </c>
      <c r="BB7" s="486">
        <v>1.6991651459198471E-2</v>
      </c>
      <c r="BC7" s="486">
        <v>2.2038353376764706E-2</v>
      </c>
      <c r="BD7" s="485">
        <v>8.3491262106832345E-2</v>
      </c>
      <c r="BE7" s="486">
        <v>1.2713485180485014E-2</v>
      </c>
      <c r="BF7" s="486">
        <v>1.9846661159394624E-2</v>
      </c>
      <c r="BG7" s="486">
        <v>2.412874257778895E-2</v>
      </c>
      <c r="BH7" s="486">
        <v>2.3157985929700729E-2</v>
      </c>
      <c r="BI7" s="485">
        <v>8.626396577458123E-2</v>
      </c>
      <c r="BJ7" s="486">
        <f>'P&amp;L'!BG28/('Balance sheet'!AM52-'P&amp;L'!BG28)</f>
        <v>2.6068550137220467E-2</v>
      </c>
      <c r="BK7" s="486">
        <f>'P&amp;L'!BH28/('Balance sheet'!AN52-'P&amp;L'!BH28)</f>
        <v>3.7564057223297066E-2</v>
      </c>
      <c r="BL7" s="486">
        <f>'P&amp;L'!BI28/('Balance sheet'!AO52-'P&amp;L'!BI28)</f>
        <v>0.21933753613597581</v>
      </c>
      <c r="BM7" s="486">
        <f>'P&amp;L'!BJ28/('Balance sheet'!AP52-'P&amp;L'!BJ28)</f>
        <v>2.2171431608740983E-2</v>
      </c>
      <c r="BN7" s="485">
        <f>'P&amp;L'!BK28/('Balance sheet'!AP52-'P&amp;L'!BK28)</f>
        <v>0.40241201082943617</v>
      </c>
      <c r="BO7" s="486">
        <f>'P&amp;L'!BL28/('Balance sheet'!AQ52-'P&amp;L'!BL28)</f>
        <v>1.3823477825920315E-2</v>
      </c>
      <c r="BP7" s="486">
        <f>'P&amp;L'!BM28/('Balance sheet'!AR52-'P&amp;L'!BM28)</f>
        <v>1.8669801414599018E-2</v>
      </c>
      <c r="BQ7" s="486"/>
      <c r="BR7" s="486"/>
      <c r="BS7" s="485"/>
    </row>
    <row r="8" spans="1:71" s="4" customFormat="1" ht="24" customHeight="1">
      <c r="A8" s="4" t="s">
        <v>563</v>
      </c>
      <c r="B8" s="4" t="s">
        <v>564</v>
      </c>
      <c r="C8" s="488">
        <v>0.6</v>
      </c>
      <c r="D8" s="488">
        <v>1.1000000000000001</v>
      </c>
      <c r="E8" s="488">
        <v>1.4</v>
      </c>
      <c r="F8" s="488">
        <v>1</v>
      </c>
      <c r="G8" s="489">
        <v>1.2</v>
      </c>
      <c r="H8" s="489">
        <v>0.9</v>
      </c>
      <c r="I8" s="489">
        <v>1</v>
      </c>
      <c r="J8" s="489">
        <v>0.9</v>
      </c>
      <c r="K8" s="488">
        <v>0.9</v>
      </c>
      <c r="L8" s="489">
        <v>0.99222253558666473</v>
      </c>
      <c r="M8" s="489">
        <v>1.1972812574503593</v>
      </c>
      <c r="N8" s="489">
        <v>1.1937547068795404</v>
      </c>
      <c r="O8" s="489">
        <v>1.1052998425278158</v>
      </c>
      <c r="P8" s="488">
        <v>1.1000000000000001</v>
      </c>
      <c r="Q8" s="489">
        <v>1.2520302028925108</v>
      </c>
      <c r="R8" s="489">
        <v>1.13470796163891</v>
      </c>
      <c r="S8" s="489">
        <v>1.0480052530350539</v>
      </c>
      <c r="T8" s="489">
        <v>1.0172641031890362</v>
      </c>
      <c r="U8" s="488">
        <v>1.0172641031890362</v>
      </c>
      <c r="V8" s="489">
        <v>1.1953668834873901</v>
      </c>
      <c r="W8" s="489">
        <v>1.1434662606816619</v>
      </c>
      <c r="X8" s="489">
        <v>1.2291320432164132</v>
      </c>
      <c r="Y8" s="489">
        <v>1.2518939180227138</v>
      </c>
      <c r="Z8" s="488">
        <v>1.2518939180227138</v>
      </c>
      <c r="AA8" s="489">
        <v>1.3919076872487033</v>
      </c>
      <c r="AB8" s="489">
        <v>1.1114925821972736</v>
      </c>
      <c r="AC8" s="489">
        <v>0.94501659921971548</v>
      </c>
      <c r="AD8" s="489">
        <v>0.95569502090756708</v>
      </c>
      <c r="AE8" s="488">
        <v>0.95569502090756708</v>
      </c>
      <c r="AF8" s="489">
        <v>0.95351583208829338</v>
      </c>
      <c r="AG8" s="489">
        <v>1.0069261213720315</v>
      </c>
      <c r="AH8" s="489">
        <v>0.47434112256006483</v>
      </c>
      <c r="AI8" s="489">
        <v>0.49948621035847135</v>
      </c>
      <c r="AJ8" s="488">
        <v>0.49948621035847135</v>
      </c>
      <c r="AK8" s="489">
        <v>0.92874645654158483</v>
      </c>
      <c r="AL8" s="489">
        <v>0.9143403550836332</v>
      </c>
      <c r="AM8" s="489">
        <v>0.99730487345250907</v>
      </c>
      <c r="AN8" s="489">
        <v>1.0242312289470821</v>
      </c>
      <c r="AO8" s="488">
        <v>1.0242312289470821</v>
      </c>
      <c r="AP8" s="489">
        <v>0.89580852038479164</v>
      </c>
      <c r="AQ8" s="489">
        <v>0.89208350653549495</v>
      </c>
      <c r="AR8" s="489">
        <v>0.91086116341294232</v>
      </c>
      <c r="AS8" s="489">
        <v>1.0040863235857489</v>
      </c>
      <c r="AT8" s="488">
        <v>1.0040863235857489</v>
      </c>
      <c r="AU8" s="489">
        <v>1.490674318507891</v>
      </c>
      <c r="AV8" s="489">
        <v>1.1393504531722054</v>
      </c>
      <c r="AW8" s="489">
        <v>1.1493006613900034</v>
      </c>
      <c r="AX8" s="489">
        <v>1.0805204638743873</v>
      </c>
      <c r="AY8" s="488">
        <v>1.0805204638743873</v>
      </c>
      <c r="AZ8" s="489">
        <v>1.0288783163318305</v>
      </c>
      <c r="BA8" s="489">
        <v>0.90459880771651757</v>
      </c>
      <c r="BB8" s="489">
        <v>0.8907010624311551</v>
      </c>
      <c r="BC8" s="489">
        <v>0.8494768412801198</v>
      </c>
      <c r="BD8" s="488">
        <v>0.8494768412801198</v>
      </c>
      <c r="BE8" s="489">
        <v>1.0446639929570576</v>
      </c>
      <c r="BF8" s="489">
        <v>1.4179311763798159</v>
      </c>
      <c r="BG8" s="489">
        <v>1.1340274796049807</v>
      </c>
      <c r="BH8" s="489">
        <v>1.0005308660700745</v>
      </c>
      <c r="BI8" s="488">
        <v>1.0005308660700745</v>
      </c>
      <c r="BJ8" s="489">
        <f>'Balance sheet'!AM35/'Balance sheet'!AM74</f>
        <v>1.2774572249281877</v>
      </c>
      <c r="BK8" s="489">
        <f>'Balance sheet'!AN35/'Balance sheet'!AN74</f>
        <v>1.0301228183581126</v>
      </c>
      <c r="BL8" s="489">
        <f>'Balance sheet'!AO35/'Balance sheet'!AO74</f>
        <v>1.7694467309501412</v>
      </c>
      <c r="BM8" s="489">
        <f>'Balance sheet'!AP35/'Balance sheet'!AP74</f>
        <v>1.4356326537866806</v>
      </c>
      <c r="BN8" s="488">
        <f>'Balance sheet'!AP35/'Balance sheet'!AP74</f>
        <v>1.4356326537866806</v>
      </c>
      <c r="BO8" s="489">
        <f>'Balance sheet'!AQ35/'Balance sheet'!AQ74</f>
        <v>1.4459542259866642</v>
      </c>
      <c r="BP8" s="489">
        <f>'Balance sheet'!AR35/'Balance sheet'!AR74</f>
        <v>1.0795776506819179</v>
      </c>
      <c r="BQ8" s="489"/>
      <c r="BR8" s="489"/>
      <c r="BS8" s="488"/>
    </row>
    <row r="9" spans="1:71" s="4" customFormat="1" ht="24" customHeight="1">
      <c r="A9" s="504" t="s">
        <v>565</v>
      </c>
      <c r="B9" s="504" t="s">
        <v>566</v>
      </c>
      <c r="C9" s="505">
        <v>1.177</v>
      </c>
      <c r="D9" s="505">
        <v>0.89700000000000002</v>
      </c>
      <c r="E9" s="505">
        <v>0.61299999999999999</v>
      </c>
      <c r="F9" s="505">
        <v>0.58399999999999996</v>
      </c>
      <c r="G9" s="506">
        <v>0.52300000000000002</v>
      </c>
      <c r="H9" s="506">
        <v>0.65900000000000003</v>
      </c>
      <c r="I9" s="506">
        <v>0.60299999999999998</v>
      </c>
      <c r="J9" s="506">
        <v>0.57799999999999996</v>
      </c>
      <c r="K9" s="505">
        <v>0.57799999999999996</v>
      </c>
      <c r="L9" s="506">
        <v>0.58891930091111089</v>
      </c>
      <c r="M9" s="506">
        <v>0.64356702219385198</v>
      </c>
      <c r="N9" s="506">
        <v>0.66091379189163646</v>
      </c>
      <c r="O9" s="506">
        <v>0.64550322816584982</v>
      </c>
      <c r="P9" s="505">
        <v>0.64600000000000002</v>
      </c>
      <c r="Q9" s="506">
        <v>0.6200507963830475</v>
      </c>
      <c r="R9" s="506">
        <v>0.60836960799428208</v>
      </c>
      <c r="S9" s="506">
        <v>0.57298843092335383</v>
      </c>
      <c r="T9" s="506">
        <v>0.55614999608907556</v>
      </c>
      <c r="U9" s="505">
        <v>0.55614999608907556</v>
      </c>
      <c r="V9" s="506">
        <v>0.54486547055728474</v>
      </c>
      <c r="W9" s="506">
        <v>0.52665229914601286</v>
      </c>
      <c r="X9" s="506">
        <v>0.49525051978561557</v>
      </c>
      <c r="Y9" s="506">
        <v>0.47126649202023174</v>
      </c>
      <c r="Z9" s="505">
        <v>0.47126649202023174</v>
      </c>
      <c r="AA9" s="506">
        <v>0.46876671667355413</v>
      </c>
      <c r="AB9" s="506">
        <v>0.67327892593910244</v>
      </c>
      <c r="AC9" s="506">
        <v>0.66774740549903211</v>
      </c>
      <c r="AD9" s="506">
        <v>0.66793699017975172</v>
      </c>
      <c r="AE9" s="505">
        <v>0.66793699017975172</v>
      </c>
      <c r="AF9" s="506">
        <v>0.65624665453377584</v>
      </c>
      <c r="AG9" s="506">
        <v>0.64785681126528083</v>
      </c>
      <c r="AH9" s="506">
        <v>0.61520071910800012</v>
      </c>
      <c r="AI9" s="506">
        <v>0.61305921834949684</v>
      </c>
      <c r="AJ9" s="505">
        <v>0.61305921834949684</v>
      </c>
      <c r="AK9" s="506">
        <v>0.63304473558921559</v>
      </c>
      <c r="AL9" s="506">
        <v>0.60981976788452963</v>
      </c>
      <c r="AM9" s="506">
        <v>0.59868152930210516</v>
      </c>
      <c r="AN9" s="506">
        <v>0.58969032755965733</v>
      </c>
      <c r="AO9" s="505">
        <v>0.58969032755965733</v>
      </c>
      <c r="AP9" s="506">
        <v>0.57724329660438722</v>
      </c>
      <c r="AQ9" s="506">
        <v>0.57078429578109258</v>
      </c>
      <c r="AR9" s="506">
        <v>0.55527171043335344</v>
      </c>
      <c r="AS9" s="506">
        <v>0.56345294711053473</v>
      </c>
      <c r="AT9" s="505">
        <v>0.56345294711053473</v>
      </c>
      <c r="AU9" s="506">
        <v>0.53736233796030752</v>
      </c>
      <c r="AV9" s="506">
        <v>0.54778902647252581</v>
      </c>
      <c r="AW9" s="506">
        <v>0.54988764710333504</v>
      </c>
      <c r="AX9" s="506">
        <v>0.54799197310468839</v>
      </c>
      <c r="AY9" s="505">
        <v>0.54799197310468839</v>
      </c>
      <c r="AZ9" s="506">
        <v>0.5495585402907468</v>
      </c>
      <c r="BA9" s="506">
        <v>0.55615895813668714</v>
      </c>
      <c r="BB9" s="506">
        <v>0.54743795100023351</v>
      </c>
      <c r="BC9" s="506">
        <v>0.5561620885190367</v>
      </c>
      <c r="BD9" s="505">
        <v>0.5561620885190367</v>
      </c>
      <c r="BE9" s="506">
        <v>0.55172741107270029</v>
      </c>
      <c r="BF9" s="506">
        <v>0.54209939061024826</v>
      </c>
      <c r="BG9" s="506">
        <v>0.55374976001170229</v>
      </c>
      <c r="BH9" s="506">
        <v>0.56436056167899751</v>
      </c>
      <c r="BI9" s="505">
        <v>0.56436056167899751</v>
      </c>
      <c r="BJ9" s="506">
        <f>'Balance sheet'!AM77/'Balance sheet'!AM38</f>
        <v>0.53371163270570032</v>
      </c>
      <c r="BK9" s="506">
        <f>'Balance sheet'!AN77/'Balance sheet'!AN38</f>
        <v>0.54552385465171038</v>
      </c>
      <c r="BL9" s="506">
        <f>'Balance sheet'!AO77/'Balance sheet'!AO38</f>
        <v>0.51333151687361345</v>
      </c>
      <c r="BM9" s="506">
        <f>'Balance sheet'!AP77/'Balance sheet'!AP38</f>
        <v>0.52276576604522751</v>
      </c>
      <c r="BN9" s="505">
        <f>'Balance sheet'!AP77/'Balance sheet'!AP38</f>
        <v>0.52276576604522751</v>
      </c>
      <c r="BO9" s="506">
        <f>'Balance sheet'!AQ77/'Balance sheet'!AQ38</f>
        <v>0.51068185808522926</v>
      </c>
      <c r="BP9" s="506">
        <f>'Balance sheet'!AR77/'Balance sheet'!AR38</f>
        <v>0.51515684918589311</v>
      </c>
      <c r="BQ9" s="506"/>
      <c r="BR9" s="506"/>
      <c r="BS9" s="505"/>
    </row>
    <row r="13" spans="1:71" s="491" customFormat="1" ht="14.25">
      <c r="A13" s="490" t="s">
        <v>567</v>
      </c>
      <c r="B13" s="490" t="s">
        <v>568</v>
      </c>
    </row>
    <row r="14" spans="1:71" s="491" customFormat="1" ht="14.25">
      <c r="A14" s="490" t="s">
        <v>569</v>
      </c>
      <c r="B14" s="490" t="s">
        <v>570</v>
      </c>
    </row>
    <row r="15" spans="1:71" s="491" customFormat="1" ht="14.25">
      <c r="A15" s="490" t="s">
        <v>571</v>
      </c>
      <c r="B15" s="490" t="s">
        <v>572</v>
      </c>
    </row>
    <row r="16" spans="1:71" s="491" customFormat="1" ht="14.25">
      <c r="A16" s="490" t="s">
        <v>573</v>
      </c>
      <c r="B16" s="490" t="s">
        <v>574</v>
      </c>
    </row>
    <row r="17" spans="1:2" s="491" customFormat="1" ht="14.25">
      <c r="A17" s="490" t="s">
        <v>575</v>
      </c>
      <c r="B17" s="490" t="s">
        <v>576</v>
      </c>
    </row>
    <row r="18" spans="1:2" s="491" customFormat="1" ht="14.25">
      <c r="A18" s="490" t="s">
        <v>577</v>
      </c>
      <c r="B18" s="490" t="s">
        <v>578</v>
      </c>
    </row>
    <row r="19" spans="1:2" s="491" customFormat="1" ht="14.25">
      <c r="A19" s="490" t="s">
        <v>579</v>
      </c>
      <c r="B19" s="490" t="s">
        <v>580</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tabSelected="1" zoomScaleNormal="100" zoomScaleSheetLayoutView="85" workbookViewId="0">
      <pane xSplit="1" topLeftCell="I1" activePane="topRight" state="frozen"/>
      <selection pane="topRight" activeCell="W1" sqref="W1:Z1048576"/>
    </sheetView>
  </sheetViews>
  <sheetFormatPr defaultColWidth="9" defaultRowHeight="28.5" customHeight="1"/>
  <cols>
    <col min="1" max="2" width="40.625" style="621" customWidth="1"/>
    <col min="3" max="5" width="9" style="621"/>
    <col min="6" max="6" width="10.625" style="621" customWidth="1"/>
    <col min="7" max="22" width="9" style="621"/>
    <col min="23" max="23" width="9" style="715"/>
    <col min="24" max="16384" width="9" style="621"/>
  </cols>
  <sheetData>
    <row r="1" spans="1:26" s="601" customFormat="1" ht="89.25" customHeight="1">
      <c r="A1" s="600"/>
      <c r="B1" s="600"/>
      <c r="H1" s="602"/>
      <c r="I1" s="602"/>
      <c r="L1" s="602"/>
      <c r="M1" s="602"/>
      <c r="P1" s="602"/>
      <c r="Q1" s="602"/>
      <c r="T1" s="602"/>
      <c r="U1" s="602"/>
      <c r="W1" s="713"/>
    </row>
    <row r="2" spans="1:26" s="604" customFormat="1" ht="12">
      <c r="A2" s="841"/>
      <c r="B2" s="841"/>
      <c r="C2" s="603"/>
      <c r="D2" s="603"/>
      <c r="E2" s="603"/>
      <c r="F2" s="603"/>
      <c r="G2" s="603"/>
      <c r="H2" s="603"/>
      <c r="I2" s="603"/>
      <c r="J2" s="603"/>
      <c r="K2" s="603"/>
      <c r="L2" s="603"/>
      <c r="M2" s="603"/>
      <c r="N2" s="603"/>
      <c r="O2" s="603"/>
      <c r="P2" s="603"/>
      <c r="Q2" s="603"/>
      <c r="S2" s="603"/>
      <c r="T2" s="603"/>
      <c r="U2" s="603"/>
      <c r="W2" s="714"/>
    </row>
    <row r="3" spans="1:26" s="606" customFormat="1" ht="20.100000000000001" customHeight="1">
      <c r="A3" s="605" t="s">
        <v>581</v>
      </c>
      <c r="B3" s="605" t="s">
        <v>582</v>
      </c>
      <c r="C3" s="839">
        <v>2018</v>
      </c>
      <c r="D3" s="839"/>
      <c r="E3" s="839"/>
      <c r="F3" s="839"/>
      <c r="G3" s="838">
        <v>2019</v>
      </c>
      <c r="H3" s="839"/>
      <c r="I3" s="839"/>
      <c r="J3" s="840"/>
      <c r="K3" s="839">
        <v>2020</v>
      </c>
      <c r="L3" s="839"/>
      <c r="M3" s="839"/>
      <c r="N3" s="839"/>
      <c r="O3" s="838">
        <v>2021</v>
      </c>
      <c r="P3" s="839"/>
      <c r="Q3" s="839"/>
      <c r="R3" s="840"/>
      <c r="S3" s="838">
        <v>2022</v>
      </c>
      <c r="T3" s="839"/>
      <c r="U3" s="839"/>
      <c r="V3" s="840"/>
      <c r="W3" s="712"/>
    </row>
    <row r="4" spans="1:26" s="606" customFormat="1" ht="21.75" customHeight="1">
      <c r="A4" s="605"/>
      <c r="B4" s="605"/>
      <c r="C4" s="607" t="s">
        <v>583</v>
      </c>
      <c r="D4" s="607" t="s">
        <v>584</v>
      </c>
      <c r="E4" s="607" t="s">
        <v>585</v>
      </c>
      <c r="F4" s="607" t="s">
        <v>586</v>
      </c>
      <c r="G4" s="608" t="str">
        <f t="shared" ref="G4:R4" si="0">C4</f>
        <v>1Q</v>
      </c>
      <c r="H4" s="607" t="str">
        <f t="shared" si="0"/>
        <v>2Q</v>
      </c>
      <c r="I4" s="607" t="str">
        <f t="shared" si="0"/>
        <v>3Q</v>
      </c>
      <c r="J4" s="609" t="str">
        <f t="shared" si="0"/>
        <v>4Q</v>
      </c>
      <c r="K4" s="607" t="str">
        <f t="shared" si="0"/>
        <v>1Q</v>
      </c>
      <c r="L4" s="607" t="str">
        <f t="shared" si="0"/>
        <v>2Q</v>
      </c>
      <c r="M4" s="607" t="str">
        <f t="shared" si="0"/>
        <v>3Q</v>
      </c>
      <c r="N4" s="607" t="str">
        <f t="shared" si="0"/>
        <v>4Q</v>
      </c>
      <c r="O4" s="608" t="str">
        <f t="shared" si="0"/>
        <v>1Q</v>
      </c>
      <c r="P4" s="607" t="str">
        <f t="shared" si="0"/>
        <v>2Q</v>
      </c>
      <c r="Q4" s="607" t="str">
        <f t="shared" si="0"/>
        <v>3Q</v>
      </c>
      <c r="R4" s="609" t="str">
        <f t="shared" si="0"/>
        <v>4Q</v>
      </c>
      <c r="S4" s="608" t="str">
        <f t="shared" ref="S4" si="1">O4</f>
        <v>1Q</v>
      </c>
      <c r="T4" s="607" t="str">
        <f t="shared" ref="T4" si="2">P4</f>
        <v>2Q</v>
      </c>
      <c r="U4" s="607" t="str">
        <f t="shared" ref="U4" si="3">Q4</f>
        <v>3Q</v>
      </c>
      <c r="V4" s="609" t="str">
        <f t="shared" ref="V4" si="4">R4</f>
        <v>4Q</v>
      </c>
      <c r="W4" s="712"/>
    </row>
    <row r="5" spans="1:26" s="614" customFormat="1" ht="20.100000000000001" customHeight="1">
      <c r="A5" s="610" t="s">
        <v>587</v>
      </c>
      <c r="B5" s="610" t="s">
        <v>588</v>
      </c>
      <c r="C5" s="611"/>
      <c r="D5" s="611"/>
      <c r="E5" s="611"/>
      <c r="F5" s="611"/>
      <c r="G5" s="612"/>
      <c r="H5" s="611"/>
      <c r="I5" s="611"/>
      <c r="J5" s="611"/>
      <c r="K5" s="613"/>
      <c r="L5" s="611"/>
      <c r="M5" s="611"/>
      <c r="N5" s="611"/>
      <c r="O5" s="612"/>
      <c r="P5" s="611"/>
      <c r="Q5" s="611"/>
      <c r="R5" s="702"/>
      <c r="S5" s="612"/>
      <c r="T5" s="611"/>
      <c r="U5" s="611"/>
      <c r="V5" s="702"/>
      <c r="W5" s="712"/>
      <c r="X5" s="606"/>
      <c r="Y5" s="606"/>
      <c r="Z5" s="606"/>
    </row>
    <row r="6" spans="1:26" ht="20.100000000000001" customHeight="1">
      <c r="A6" s="615" t="s">
        <v>589</v>
      </c>
      <c r="B6" s="616" t="s">
        <v>590</v>
      </c>
      <c r="C6" s="617">
        <f t="shared" ref="C6:R6" si="5">SUM(C7:C9)</f>
        <v>12361.7</v>
      </c>
      <c r="D6" s="617">
        <f t="shared" si="5"/>
        <v>12435.4</v>
      </c>
      <c r="E6" s="617">
        <f t="shared" si="5"/>
        <v>12508</v>
      </c>
      <c r="F6" s="617">
        <f t="shared" si="5"/>
        <v>12646.4</v>
      </c>
      <c r="G6" s="618">
        <f t="shared" si="5"/>
        <v>12677.4</v>
      </c>
      <c r="H6" s="617">
        <f t="shared" si="5"/>
        <v>12715.1</v>
      </c>
      <c r="I6" s="617">
        <f t="shared" si="5"/>
        <v>12793.1</v>
      </c>
      <c r="J6" s="617">
        <f t="shared" si="5"/>
        <v>12901.7</v>
      </c>
      <c r="K6" s="619">
        <f t="shared" si="5"/>
        <v>12907.6</v>
      </c>
      <c r="L6" s="617">
        <f t="shared" si="5"/>
        <v>12984.099999999999</v>
      </c>
      <c r="M6" s="617">
        <f t="shared" si="5"/>
        <v>13084</v>
      </c>
      <c r="N6" s="617">
        <f>SUM(N7:N9)</f>
        <v>13169.3</v>
      </c>
      <c r="O6" s="618">
        <f t="shared" si="5"/>
        <v>13172</v>
      </c>
      <c r="P6" s="617">
        <f t="shared" si="5"/>
        <v>13188</v>
      </c>
      <c r="Q6" s="617">
        <f t="shared" si="5"/>
        <v>13494</v>
      </c>
      <c r="R6" s="703">
        <f t="shared" si="5"/>
        <v>13465</v>
      </c>
      <c r="S6" s="618">
        <f t="shared" ref="S6:V6" si="6">SUM(S7:S9)</f>
        <v>13379</v>
      </c>
      <c r="T6" s="617">
        <f t="shared" si="6"/>
        <v>13349</v>
      </c>
      <c r="U6" s="617">
        <f t="shared" si="6"/>
        <v>0</v>
      </c>
      <c r="V6" s="703">
        <f t="shared" si="6"/>
        <v>0</v>
      </c>
      <c r="W6" s="780"/>
      <c r="X6" s="716"/>
      <c r="Y6" s="716"/>
      <c r="Z6" s="606"/>
    </row>
    <row r="7" spans="1:26" ht="20.100000000000001" customHeight="1">
      <c r="A7" s="622" t="s">
        <v>591</v>
      </c>
      <c r="B7" s="622" t="s">
        <v>592</v>
      </c>
      <c r="C7" s="623">
        <v>5220.5</v>
      </c>
      <c r="D7" s="623">
        <v>5270</v>
      </c>
      <c r="E7" s="623">
        <v>5288.3</v>
      </c>
      <c r="F7" s="623">
        <v>5358.7</v>
      </c>
      <c r="G7" s="624">
        <v>5345.9</v>
      </c>
      <c r="H7" s="623">
        <v>5334.3</v>
      </c>
      <c r="I7" s="623">
        <v>5317.8</v>
      </c>
      <c r="J7" s="625">
        <v>5336</v>
      </c>
      <c r="K7" s="623">
        <v>5300.7</v>
      </c>
      <c r="L7" s="623">
        <v>5319.4</v>
      </c>
      <c r="M7" s="623">
        <v>5339.7</v>
      </c>
      <c r="N7" s="623">
        <v>5355.3</v>
      </c>
      <c r="O7" s="624">
        <v>5344</v>
      </c>
      <c r="P7" s="623">
        <v>5332</v>
      </c>
      <c r="Q7" s="623">
        <v>5306</v>
      </c>
      <c r="R7" s="704">
        <v>5264</v>
      </c>
      <c r="S7" s="624">
        <v>5177</v>
      </c>
      <c r="T7" s="623">
        <v>5117</v>
      </c>
      <c r="U7" s="623"/>
      <c r="V7" s="704"/>
      <c r="W7" s="780"/>
      <c r="X7" s="716"/>
      <c r="Y7" s="716"/>
      <c r="Z7" s="606"/>
    </row>
    <row r="8" spans="1:26" ht="20.100000000000001" customHeight="1">
      <c r="A8" s="622" t="s">
        <v>593</v>
      </c>
      <c r="B8" s="622" t="s">
        <v>594</v>
      </c>
      <c r="C8" s="623">
        <v>5109</v>
      </c>
      <c r="D8" s="623">
        <v>5150.6000000000004</v>
      </c>
      <c r="E8" s="623">
        <v>5212.2</v>
      </c>
      <c r="F8" s="623">
        <v>5271.2</v>
      </c>
      <c r="G8" s="624">
        <v>5334.6</v>
      </c>
      <c r="H8" s="623">
        <v>5396.4</v>
      </c>
      <c r="I8" s="623">
        <v>5494.2</v>
      </c>
      <c r="J8" s="625">
        <v>5578.1</v>
      </c>
      <c r="K8" s="623">
        <v>5628.3</v>
      </c>
      <c r="L8" s="623">
        <v>5683.4</v>
      </c>
      <c r="M8" s="623">
        <v>5760.6</v>
      </c>
      <c r="N8" s="623">
        <v>5810.2</v>
      </c>
      <c r="O8" s="624">
        <v>5832</v>
      </c>
      <c r="P8" s="623">
        <v>5864</v>
      </c>
      <c r="Q8" s="623">
        <v>6182</v>
      </c>
      <c r="R8" s="704">
        <v>6195</v>
      </c>
      <c r="S8" s="624">
        <v>6205</v>
      </c>
      <c r="T8" s="623">
        <v>6230</v>
      </c>
      <c r="U8" s="623"/>
      <c r="V8" s="704"/>
      <c r="W8" s="780"/>
      <c r="X8" s="716"/>
      <c r="Y8" s="716"/>
      <c r="Z8" s="606"/>
    </row>
    <row r="9" spans="1:26" ht="20.100000000000001" customHeight="1">
      <c r="A9" s="622" t="s">
        <v>595</v>
      </c>
      <c r="B9" s="622" t="s">
        <v>596</v>
      </c>
      <c r="C9" s="623">
        <v>2032.2</v>
      </c>
      <c r="D9" s="623">
        <v>2014.8</v>
      </c>
      <c r="E9" s="623">
        <v>2007.5</v>
      </c>
      <c r="F9" s="623">
        <v>2016.5</v>
      </c>
      <c r="G9" s="624">
        <v>1996.9</v>
      </c>
      <c r="H9" s="623">
        <v>1984.4</v>
      </c>
      <c r="I9" s="623">
        <v>1981.1</v>
      </c>
      <c r="J9" s="625">
        <v>1987.6</v>
      </c>
      <c r="K9" s="623">
        <v>1978.6</v>
      </c>
      <c r="L9" s="623">
        <v>1981.3</v>
      </c>
      <c r="M9" s="623">
        <v>1983.7</v>
      </c>
      <c r="N9" s="623">
        <v>2003.8</v>
      </c>
      <c r="O9" s="624">
        <v>1996</v>
      </c>
      <c r="P9" s="623">
        <v>1992</v>
      </c>
      <c r="Q9" s="623">
        <v>2006</v>
      </c>
      <c r="R9" s="704">
        <v>2006</v>
      </c>
      <c r="S9" s="624">
        <v>1997</v>
      </c>
      <c r="T9" s="623">
        <v>2002</v>
      </c>
      <c r="U9" s="623"/>
      <c r="V9" s="704"/>
      <c r="W9" s="780"/>
      <c r="X9" s="716"/>
      <c r="Y9" s="716"/>
      <c r="Z9" s="606"/>
    </row>
    <row r="10" spans="1:26" s="626" customFormat="1" ht="20.100000000000001" customHeight="1">
      <c r="A10" s="615" t="s">
        <v>597</v>
      </c>
      <c r="B10" s="616" t="s">
        <v>598</v>
      </c>
      <c r="C10" s="617">
        <v>6252</v>
      </c>
      <c r="D10" s="617">
        <v>6217</v>
      </c>
      <c r="E10" s="617">
        <v>6192</v>
      </c>
      <c r="F10" s="617">
        <v>6176.3</v>
      </c>
      <c r="G10" s="618">
        <v>6133.1</v>
      </c>
      <c r="H10" s="617">
        <v>6100.4</v>
      </c>
      <c r="I10" s="617">
        <v>6082.7</v>
      </c>
      <c r="J10" s="617">
        <v>6086.7</v>
      </c>
      <c r="K10" s="619">
        <v>6046.1</v>
      </c>
      <c r="L10" s="617">
        <v>6033</v>
      </c>
      <c r="M10" s="617">
        <v>6018.3</v>
      </c>
      <c r="N10" s="617">
        <v>6003.6</v>
      </c>
      <c r="O10" s="618">
        <v>5962</v>
      </c>
      <c r="P10" s="617">
        <v>5932</v>
      </c>
      <c r="Q10" s="617">
        <v>6069</v>
      </c>
      <c r="R10" s="703">
        <v>6047</v>
      </c>
      <c r="S10" s="618">
        <v>6012</v>
      </c>
      <c r="T10" s="617">
        <v>5990</v>
      </c>
      <c r="U10" s="617"/>
      <c r="V10" s="703"/>
      <c r="W10" s="780"/>
      <c r="X10" s="716"/>
      <c r="Y10" s="716"/>
      <c r="Z10" s="606"/>
    </row>
    <row r="11" spans="1:26" s="632" customFormat="1" ht="20.100000000000001" customHeight="1">
      <c r="A11" s="627" t="s">
        <v>599</v>
      </c>
      <c r="B11" s="628" t="s">
        <v>600</v>
      </c>
      <c r="C11" s="629">
        <v>60.6</v>
      </c>
      <c r="D11" s="629">
        <v>61.3</v>
      </c>
      <c r="E11" s="629">
        <v>62.5</v>
      </c>
      <c r="F11" s="629">
        <v>62.6</v>
      </c>
      <c r="G11" s="630">
        <v>62</v>
      </c>
      <c r="H11" s="629">
        <v>62.2</v>
      </c>
      <c r="I11" s="629">
        <v>63.4</v>
      </c>
      <c r="J11" s="629">
        <v>63.8</v>
      </c>
      <c r="K11" s="631">
        <v>63.3</v>
      </c>
      <c r="L11" s="629">
        <v>63.3</v>
      </c>
      <c r="M11" s="629">
        <v>64.900000000000006</v>
      </c>
      <c r="N11" s="629">
        <v>66.2</v>
      </c>
      <c r="O11" s="630">
        <v>67.2</v>
      </c>
      <c r="P11" s="629">
        <v>67.8</v>
      </c>
      <c r="Q11" s="629">
        <v>68.599999999999994</v>
      </c>
      <c r="R11" s="705">
        <v>69.099999999999994</v>
      </c>
      <c r="S11" s="630">
        <v>69.8</v>
      </c>
      <c r="T11" s="629">
        <v>70.2</v>
      </c>
      <c r="U11" s="629"/>
      <c r="V11" s="705"/>
      <c r="W11" s="780"/>
      <c r="X11" s="716"/>
      <c r="Y11" s="716"/>
      <c r="Z11" s="606"/>
    </row>
    <row r="12" spans="1:26" s="632" customFormat="1" ht="20.100000000000001" customHeight="1">
      <c r="A12" s="627" t="s">
        <v>601</v>
      </c>
      <c r="B12" s="628" t="s">
        <v>602</v>
      </c>
      <c r="C12" s="629">
        <v>60.6</v>
      </c>
      <c r="D12" s="629">
        <v>60.9</v>
      </c>
      <c r="E12" s="629">
        <v>61.5</v>
      </c>
      <c r="F12" s="629">
        <v>61.8</v>
      </c>
      <c r="G12" s="630">
        <v>62</v>
      </c>
      <c r="H12" s="629">
        <v>62.1</v>
      </c>
      <c r="I12" s="629">
        <v>62.5</v>
      </c>
      <c r="J12" s="629">
        <v>62.9</v>
      </c>
      <c r="K12" s="631">
        <v>63.3</v>
      </c>
      <c r="L12" s="629">
        <v>63.3</v>
      </c>
      <c r="M12" s="629">
        <v>63.9</v>
      </c>
      <c r="N12" s="629">
        <v>64.5</v>
      </c>
      <c r="O12" s="630">
        <v>67.2</v>
      </c>
      <c r="P12" s="629">
        <v>67.5</v>
      </c>
      <c r="Q12" s="629">
        <v>67.900000000000006</v>
      </c>
      <c r="R12" s="705">
        <v>68.2</v>
      </c>
      <c r="S12" s="630">
        <v>69.8</v>
      </c>
      <c r="T12" s="629">
        <v>70</v>
      </c>
      <c r="U12" s="629"/>
      <c r="V12" s="705"/>
      <c r="W12" s="780"/>
      <c r="X12" s="716"/>
      <c r="Y12" s="716"/>
      <c r="Z12" s="606"/>
    </row>
    <row r="13" spans="1:26" ht="20.100000000000001" customHeight="1">
      <c r="A13" s="633" t="s">
        <v>603</v>
      </c>
      <c r="B13" s="633" t="s">
        <v>604</v>
      </c>
      <c r="C13" s="634" t="s">
        <v>605</v>
      </c>
      <c r="D13" s="634" t="s">
        <v>605</v>
      </c>
      <c r="E13" s="634" t="s">
        <v>605</v>
      </c>
      <c r="F13" s="634" t="s">
        <v>605</v>
      </c>
      <c r="G13" s="635">
        <v>7.9000000000000001E-2</v>
      </c>
      <c r="H13" s="634">
        <v>7.6999999999999999E-2</v>
      </c>
      <c r="I13" s="634">
        <v>7.3999999999999996E-2</v>
      </c>
      <c r="J13" s="634">
        <v>7.1999999999999995E-2</v>
      </c>
      <c r="K13" s="636">
        <v>7.1999999999999995E-2</v>
      </c>
      <c r="L13" s="634">
        <v>6.9000000000000006E-2</v>
      </c>
      <c r="M13" s="634">
        <v>6.7000000000000004E-2</v>
      </c>
      <c r="N13" s="634">
        <v>6.9000000000000006E-2</v>
      </c>
      <c r="O13" s="635">
        <v>7.0999999999999994E-2</v>
      </c>
      <c r="P13" s="634">
        <v>7.2999999999999995E-2</v>
      </c>
      <c r="Q13" s="634">
        <v>6.9000000000000006E-2</v>
      </c>
      <c r="R13" s="706">
        <v>6.9000000000000006E-2</v>
      </c>
      <c r="S13" s="635">
        <v>6.8000000000000005E-2</v>
      </c>
      <c r="T13" s="634">
        <v>6.8000000000000005E-2</v>
      </c>
      <c r="U13" s="634"/>
      <c r="V13" s="706"/>
      <c r="W13" s="780"/>
      <c r="X13" s="716"/>
      <c r="Y13" s="716"/>
      <c r="Z13" s="606"/>
    </row>
    <row r="14" spans="1:26" ht="20.100000000000001" customHeight="1">
      <c r="A14" s="633" t="s">
        <v>606</v>
      </c>
      <c r="B14" s="633" t="s">
        <v>607</v>
      </c>
      <c r="C14" s="637">
        <v>1.98</v>
      </c>
      <c r="D14" s="637">
        <v>2</v>
      </c>
      <c r="E14" s="637">
        <v>2.02</v>
      </c>
      <c r="F14" s="637">
        <v>2.0499999999999998</v>
      </c>
      <c r="G14" s="638">
        <v>2.0699999999999998</v>
      </c>
      <c r="H14" s="637">
        <v>2.08</v>
      </c>
      <c r="I14" s="637">
        <v>2.1</v>
      </c>
      <c r="J14" s="637">
        <v>2.12</v>
      </c>
      <c r="K14" s="639">
        <v>2.13</v>
      </c>
      <c r="L14" s="637">
        <v>2.15</v>
      </c>
      <c r="M14" s="637">
        <v>2.17</v>
      </c>
      <c r="N14" s="637">
        <v>2.19</v>
      </c>
      <c r="O14" s="638">
        <v>2.21</v>
      </c>
      <c r="P14" s="637">
        <v>2.2200000000000002</v>
      </c>
      <c r="Q14" s="637">
        <v>2.2200000000000002</v>
      </c>
      <c r="R14" s="707">
        <v>2.23</v>
      </c>
      <c r="S14" s="638">
        <v>2.23</v>
      </c>
      <c r="T14" s="637">
        <v>2.23</v>
      </c>
      <c r="U14" s="637"/>
      <c r="V14" s="707"/>
      <c r="W14" s="780"/>
      <c r="X14" s="716"/>
      <c r="Y14" s="716"/>
      <c r="Z14" s="606"/>
    </row>
    <row r="15" spans="1:26" s="614" customFormat="1" ht="20.100000000000001" customHeight="1">
      <c r="A15" s="610" t="s">
        <v>608</v>
      </c>
      <c r="B15" s="610" t="s">
        <v>609</v>
      </c>
      <c r="C15" s="611"/>
      <c r="D15" s="611"/>
      <c r="E15" s="611"/>
      <c r="F15" s="611"/>
      <c r="G15" s="612"/>
      <c r="H15" s="611"/>
      <c r="I15" s="611"/>
      <c r="J15" s="611"/>
      <c r="K15" s="613"/>
      <c r="L15" s="611"/>
      <c r="M15" s="611"/>
      <c r="N15" s="611"/>
      <c r="O15" s="612"/>
      <c r="P15" s="611"/>
      <c r="Q15" s="611"/>
      <c r="R15" s="702"/>
      <c r="S15" s="612"/>
      <c r="T15" s="611"/>
      <c r="U15" s="611"/>
      <c r="V15" s="702"/>
      <c r="W15" s="780"/>
      <c r="X15" s="716"/>
      <c r="Y15" s="716"/>
      <c r="Z15" s="606"/>
    </row>
    <row r="16" spans="1:26" s="620" customFormat="1" ht="20.100000000000001" customHeight="1">
      <c r="A16" s="640" t="s">
        <v>610</v>
      </c>
      <c r="B16" s="641" t="s">
        <v>611</v>
      </c>
      <c r="C16" s="617">
        <f t="shared" ref="C16:R16" si="7">SUM(C17:C19)</f>
        <v>2783.2</v>
      </c>
      <c r="D16" s="617">
        <f t="shared" si="7"/>
        <v>2768.7</v>
      </c>
      <c r="E16" s="617">
        <f t="shared" si="7"/>
        <v>2794.2000000000003</v>
      </c>
      <c r="F16" s="617">
        <f t="shared" si="7"/>
        <v>2646.9</v>
      </c>
      <c r="G16" s="618">
        <f t="shared" si="7"/>
        <v>2642.7999999999997</v>
      </c>
      <c r="H16" s="617">
        <f t="shared" si="7"/>
        <v>2607.4</v>
      </c>
      <c r="I16" s="617">
        <f t="shared" si="7"/>
        <v>2678.9</v>
      </c>
      <c r="J16" s="617">
        <f t="shared" si="7"/>
        <v>2657.5</v>
      </c>
      <c r="K16" s="619">
        <f t="shared" si="7"/>
        <v>2638.7000000000003</v>
      </c>
      <c r="L16" s="617">
        <f t="shared" si="7"/>
        <v>2525.1999999999998</v>
      </c>
      <c r="M16" s="617">
        <f t="shared" si="7"/>
        <v>2671.2</v>
      </c>
      <c r="N16" s="617">
        <f t="shared" si="7"/>
        <v>2617.8000000000002</v>
      </c>
      <c r="O16" s="618">
        <f t="shared" si="7"/>
        <v>2736</v>
      </c>
      <c r="P16" s="617">
        <f t="shared" si="7"/>
        <v>2596</v>
      </c>
      <c r="Q16" s="617">
        <f t="shared" si="7"/>
        <v>2773</v>
      </c>
      <c r="R16" s="703">
        <f t="shared" si="7"/>
        <v>2665.6990000000001</v>
      </c>
      <c r="S16" s="618">
        <f t="shared" ref="S16:V16" si="8">SUM(S17:S19)</f>
        <v>2832</v>
      </c>
      <c r="T16" s="617">
        <f t="shared" si="8"/>
        <v>2772</v>
      </c>
      <c r="U16" s="617">
        <f t="shared" si="8"/>
        <v>0</v>
      </c>
      <c r="V16" s="703">
        <f t="shared" si="8"/>
        <v>0</v>
      </c>
      <c r="W16" s="780"/>
      <c r="X16" s="716"/>
      <c r="Y16" s="716"/>
      <c r="Z16" s="606"/>
    </row>
    <row r="17" spans="1:26" s="620" customFormat="1" ht="20.100000000000001" customHeight="1">
      <c r="A17" s="642" t="s">
        <v>612</v>
      </c>
      <c r="B17" s="642" t="s">
        <v>613</v>
      </c>
      <c r="C17" s="643">
        <v>75.2</v>
      </c>
      <c r="D17" s="643">
        <v>59.7</v>
      </c>
      <c r="E17" s="643">
        <v>91.3</v>
      </c>
      <c r="F17" s="643">
        <v>95.7</v>
      </c>
      <c r="G17" s="644">
        <v>144.6</v>
      </c>
      <c r="H17" s="643">
        <v>87.2</v>
      </c>
      <c r="I17" s="643">
        <v>142.9</v>
      </c>
      <c r="J17" s="643">
        <v>161.19999999999999</v>
      </c>
      <c r="K17" s="645">
        <v>172</v>
      </c>
      <c r="L17" s="643">
        <v>93.3</v>
      </c>
      <c r="M17" s="643">
        <v>158.1</v>
      </c>
      <c r="N17" s="643">
        <v>114.4</v>
      </c>
      <c r="O17" s="644">
        <v>225</v>
      </c>
      <c r="P17" s="643">
        <v>135</v>
      </c>
      <c r="Q17" s="643">
        <v>145</v>
      </c>
      <c r="R17" s="708">
        <v>89.698999999999998</v>
      </c>
      <c r="S17" s="644">
        <v>129</v>
      </c>
      <c r="T17" s="643">
        <v>81</v>
      </c>
      <c r="U17" s="643"/>
      <c r="V17" s="708"/>
      <c r="W17" s="780"/>
      <c r="X17" s="716"/>
      <c r="Y17" s="716"/>
      <c r="Z17" s="606"/>
    </row>
    <row r="18" spans="1:26" s="620" customFormat="1" ht="20.100000000000001" customHeight="1">
      <c r="A18" s="642" t="s">
        <v>593</v>
      </c>
      <c r="B18" s="642" t="s">
        <v>614</v>
      </c>
      <c r="C18" s="643">
        <v>2539.4</v>
      </c>
      <c r="D18" s="643">
        <v>2545.6999999999998</v>
      </c>
      <c r="E18" s="643">
        <v>2550.4</v>
      </c>
      <c r="F18" s="643">
        <v>2423.8000000000002</v>
      </c>
      <c r="G18" s="644">
        <v>2387.6999999999998</v>
      </c>
      <c r="H18" s="643">
        <v>2418.4</v>
      </c>
      <c r="I18" s="643">
        <v>2443.3000000000002</v>
      </c>
      <c r="J18" s="643">
        <v>2415.8000000000002</v>
      </c>
      <c r="K18" s="645">
        <v>2393.4</v>
      </c>
      <c r="L18" s="643">
        <v>2364.1999999999998</v>
      </c>
      <c r="M18" s="643">
        <v>2449.1999999999998</v>
      </c>
      <c r="N18" s="643">
        <v>2445.9</v>
      </c>
      <c r="O18" s="644">
        <v>2458</v>
      </c>
      <c r="P18" s="643">
        <v>2414</v>
      </c>
      <c r="Q18" s="643">
        <v>2584</v>
      </c>
      <c r="R18" s="708">
        <v>2537</v>
      </c>
      <c r="S18" s="644">
        <v>2666</v>
      </c>
      <c r="T18" s="643">
        <v>2655</v>
      </c>
      <c r="U18" s="643"/>
      <c r="V18" s="708"/>
      <c r="W18" s="780"/>
      <c r="X18" s="716"/>
      <c r="Y18" s="716"/>
      <c r="Z18" s="606"/>
    </row>
    <row r="19" spans="1:26" s="620" customFormat="1" ht="20.100000000000001" customHeight="1">
      <c r="A19" s="642" t="s">
        <v>615</v>
      </c>
      <c r="B19" s="642" t="s">
        <v>616</v>
      </c>
      <c r="C19" s="643">
        <v>168.6</v>
      </c>
      <c r="D19" s="643">
        <v>163.30000000000001</v>
      </c>
      <c r="E19" s="643">
        <v>152.5</v>
      </c>
      <c r="F19" s="643">
        <v>127.4</v>
      </c>
      <c r="G19" s="644">
        <v>110.5</v>
      </c>
      <c r="H19" s="643">
        <v>101.8</v>
      </c>
      <c r="I19" s="643">
        <v>92.7</v>
      </c>
      <c r="J19" s="643">
        <v>80.5</v>
      </c>
      <c r="K19" s="645">
        <v>73.3</v>
      </c>
      <c r="L19" s="643">
        <v>67.7</v>
      </c>
      <c r="M19" s="643">
        <v>63.9</v>
      </c>
      <c r="N19" s="643">
        <v>57.5</v>
      </c>
      <c r="O19" s="644">
        <v>53</v>
      </c>
      <c r="P19" s="643">
        <v>47</v>
      </c>
      <c r="Q19" s="643">
        <v>44</v>
      </c>
      <c r="R19" s="708">
        <v>39</v>
      </c>
      <c r="S19" s="644">
        <v>37</v>
      </c>
      <c r="T19" s="643">
        <v>36</v>
      </c>
      <c r="U19" s="643"/>
      <c r="V19" s="708"/>
      <c r="W19" s="780"/>
      <c r="X19" s="716"/>
      <c r="Y19" s="716"/>
      <c r="Z19" s="606"/>
    </row>
    <row r="20" spans="1:26" s="632" customFormat="1" ht="20.100000000000001" customHeight="1">
      <c r="A20" s="627" t="s">
        <v>617</v>
      </c>
      <c r="B20" s="628" t="s">
        <v>618</v>
      </c>
      <c r="C20" s="629">
        <v>15.1</v>
      </c>
      <c r="D20" s="629">
        <v>15.4</v>
      </c>
      <c r="E20" s="629">
        <v>15.9</v>
      </c>
      <c r="F20" s="629">
        <v>15.2</v>
      </c>
      <c r="G20" s="630">
        <v>15</v>
      </c>
      <c r="H20" s="629">
        <v>15.5</v>
      </c>
      <c r="I20" s="629">
        <v>15.7</v>
      </c>
      <c r="J20" s="629">
        <v>15.2</v>
      </c>
      <c r="K20" s="631">
        <v>15.1</v>
      </c>
      <c r="L20" s="629">
        <v>15.2</v>
      </c>
      <c r="M20" s="629">
        <v>15.9</v>
      </c>
      <c r="N20" s="629">
        <v>15.8</v>
      </c>
      <c r="O20" s="630">
        <v>15.6</v>
      </c>
      <c r="P20" s="629">
        <v>16</v>
      </c>
      <c r="Q20" s="629">
        <v>16.399999999999999</v>
      </c>
      <c r="R20" s="705">
        <v>16.600000000000001</v>
      </c>
      <c r="S20" s="630">
        <v>17.2</v>
      </c>
      <c r="T20" s="629">
        <v>17.399999999999999</v>
      </c>
      <c r="U20" s="629"/>
      <c r="V20" s="705"/>
      <c r="W20" s="780"/>
      <c r="X20" s="716"/>
      <c r="Y20" s="716"/>
      <c r="Z20" s="606"/>
    </row>
    <row r="21" spans="1:26" s="632" customFormat="1" ht="20.100000000000001" customHeight="1" thickBot="1">
      <c r="A21" s="646" t="s">
        <v>619</v>
      </c>
      <c r="B21" s="647" t="s">
        <v>620</v>
      </c>
      <c r="C21" s="648">
        <v>15.1</v>
      </c>
      <c r="D21" s="648">
        <v>15.3</v>
      </c>
      <c r="E21" s="648">
        <v>15.5</v>
      </c>
      <c r="F21" s="648">
        <v>15.4</v>
      </c>
      <c r="G21" s="649">
        <v>15</v>
      </c>
      <c r="H21" s="648">
        <v>15.3</v>
      </c>
      <c r="I21" s="648">
        <v>15.4</v>
      </c>
      <c r="J21" s="648">
        <v>15.4</v>
      </c>
      <c r="K21" s="650">
        <v>15.1</v>
      </c>
      <c r="L21" s="648">
        <v>15.1</v>
      </c>
      <c r="M21" s="648">
        <v>15.4</v>
      </c>
      <c r="N21" s="648">
        <v>15.5</v>
      </c>
      <c r="O21" s="649">
        <v>15.6</v>
      </c>
      <c r="P21" s="648">
        <v>15.8</v>
      </c>
      <c r="Q21" s="648">
        <v>16</v>
      </c>
      <c r="R21" s="709">
        <v>16.2</v>
      </c>
      <c r="S21" s="649">
        <v>17.2</v>
      </c>
      <c r="T21" s="648">
        <v>17.3</v>
      </c>
      <c r="U21" s="648"/>
      <c r="V21" s="709"/>
      <c r="W21" s="780"/>
      <c r="X21" s="716"/>
      <c r="Y21" s="716"/>
      <c r="Z21" s="606"/>
    </row>
    <row r="22" spans="1:26" s="614" customFormat="1" ht="20.100000000000001" customHeight="1">
      <c r="A22" s="610" t="s">
        <v>621</v>
      </c>
      <c r="B22" s="610" t="s">
        <v>622</v>
      </c>
      <c r="C22" s="611"/>
      <c r="D22" s="611"/>
      <c r="E22" s="611"/>
      <c r="F22" s="611"/>
      <c r="G22" s="612"/>
      <c r="H22" s="611"/>
      <c r="I22" s="611"/>
      <c r="J22" s="611"/>
      <c r="K22" s="613"/>
      <c r="L22" s="611"/>
      <c r="M22" s="611"/>
      <c r="N22" s="611"/>
      <c r="O22" s="612"/>
      <c r="P22" s="611"/>
      <c r="Q22" s="611"/>
      <c r="R22" s="702"/>
      <c r="S22" s="612"/>
      <c r="T22" s="611"/>
      <c r="U22" s="611"/>
      <c r="V22" s="702"/>
      <c r="W22" s="780"/>
      <c r="X22" s="716"/>
      <c r="Y22" s="716"/>
      <c r="Z22" s="606"/>
    </row>
    <row r="23" spans="1:26" s="632" customFormat="1" ht="20.100000000000001" customHeight="1">
      <c r="A23" s="627" t="s">
        <v>623</v>
      </c>
      <c r="B23" s="628" t="s">
        <v>624</v>
      </c>
      <c r="C23" s="629">
        <v>68.2</v>
      </c>
      <c r="D23" s="629">
        <v>68</v>
      </c>
      <c r="E23" s="629">
        <v>68.099999999999994</v>
      </c>
      <c r="F23" s="629">
        <v>68.2</v>
      </c>
      <c r="G23" s="630">
        <v>68.2</v>
      </c>
      <c r="H23" s="629">
        <v>68.2</v>
      </c>
      <c r="I23" s="629">
        <v>68.400000000000006</v>
      </c>
      <c r="J23" s="629">
        <v>68.7</v>
      </c>
      <c r="K23" s="631">
        <v>68.900000000000006</v>
      </c>
      <c r="L23" s="629">
        <v>68.599999999999994</v>
      </c>
      <c r="M23" s="629">
        <v>68.900000000000006</v>
      </c>
      <c r="N23" s="629">
        <v>69.3</v>
      </c>
      <c r="O23" s="630">
        <v>68.8</v>
      </c>
      <c r="P23" s="629">
        <v>68.3</v>
      </c>
      <c r="Q23" s="629">
        <v>68.8</v>
      </c>
      <c r="R23" s="705">
        <v>68.900000000000006</v>
      </c>
      <c r="S23" s="630">
        <v>68.900000000000006</v>
      </c>
      <c r="T23" s="629">
        <v>68.8</v>
      </c>
      <c r="U23" s="629"/>
      <c r="V23" s="705"/>
      <c r="W23" s="780"/>
      <c r="X23" s="716"/>
      <c r="Y23" s="716"/>
      <c r="Z23" s="606"/>
    </row>
    <row r="24" spans="1:26" ht="20.100000000000001" customHeight="1">
      <c r="A24" s="627" t="s">
        <v>625</v>
      </c>
      <c r="B24" s="628" t="s">
        <v>626</v>
      </c>
      <c r="C24" s="643">
        <v>1412.8</v>
      </c>
      <c r="D24" s="643">
        <v>1438.5</v>
      </c>
      <c r="E24" s="643">
        <v>1442.3</v>
      </c>
      <c r="F24" s="643">
        <v>1408.8</v>
      </c>
      <c r="G24" s="644">
        <v>1391.3</v>
      </c>
      <c r="H24" s="643">
        <v>1384.2</v>
      </c>
      <c r="I24" s="643">
        <v>1409.9</v>
      </c>
      <c r="J24" s="643">
        <v>1413.9</v>
      </c>
      <c r="K24" s="645">
        <v>1392.9</v>
      </c>
      <c r="L24" s="643">
        <v>1376.1</v>
      </c>
      <c r="M24" s="643">
        <v>1368.6</v>
      </c>
      <c r="N24" s="643">
        <v>1384.2</v>
      </c>
      <c r="O24" s="644">
        <v>1404</v>
      </c>
      <c r="P24" s="643">
        <v>1387</v>
      </c>
      <c r="Q24" s="643">
        <v>1367</v>
      </c>
      <c r="R24" s="708">
        <v>1403</v>
      </c>
      <c r="S24" s="644">
        <v>1392</v>
      </c>
      <c r="T24" s="643">
        <v>1378</v>
      </c>
      <c r="U24" s="643"/>
      <c r="V24" s="708"/>
      <c r="W24" s="780"/>
      <c r="X24" s="716"/>
      <c r="Y24" s="716"/>
      <c r="Z24" s="606"/>
    </row>
    <row r="25" spans="1:26" ht="20.100000000000001" customHeight="1" thickBot="1">
      <c r="A25" s="651" t="s">
        <v>627</v>
      </c>
      <c r="B25" s="652" t="s">
        <v>628</v>
      </c>
      <c r="C25" s="653">
        <v>1412.8</v>
      </c>
      <c r="D25" s="653">
        <v>1425.6</v>
      </c>
      <c r="E25" s="653">
        <v>1431.2</v>
      </c>
      <c r="F25" s="653">
        <v>1425.6</v>
      </c>
      <c r="G25" s="654">
        <v>1391.3</v>
      </c>
      <c r="H25" s="653">
        <v>1387.8</v>
      </c>
      <c r="I25" s="653">
        <v>1395.1</v>
      </c>
      <c r="J25" s="653">
        <v>1399.9</v>
      </c>
      <c r="K25" s="655">
        <v>1392.9</v>
      </c>
      <c r="L25" s="653">
        <v>1384.5</v>
      </c>
      <c r="M25" s="653">
        <v>1379.2</v>
      </c>
      <c r="N25" s="653">
        <v>1380.5</v>
      </c>
      <c r="O25" s="654">
        <v>1404</v>
      </c>
      <c r="P25" s="653">
        <v>1396</v>
      </c>
      <c r="Q25" s="653">
        <v>1386</v>
      </c>
      <c r="R25" s="710">
        <v>1390</v>
      </c>
      <c r="S25" s="654">
        <v>1392</v>
      </c>
      <c r="T25" s="653">
        <v>1385</v>
      </c>
      <c r="U25" s="653"/>
      <c r="V25" s="710"/>
      <c r="W25" s="780"/>
      <c r="X25" s="716"/>
      <c r="Y25" s="716"/>
      <c r="Z25" s="606"/>
    </row>
    <row r="26" spans="1:26" ht="20.100000000000001" customHeight="1">
      <c r="C26" s="632"/>
      <c r="D26" s="632"/>
      <c r="E26" s="632"/>
      <c r="F26" s="632"/>
      <c r="G26" s="632"/>
      <c r="H26" s="632"/>
      <c r="I26" s="632"/>
      <c r="J26" s="632"/>
      <c r="K26" s="632"/>
      <c r="L26" s="632"/>
      <c r="M26" s="632"/>
      <c r="N26" s="632"/>
      <c r="O26" s="632"/>
      <c r="P26" s="632"/>
      <c r="Q26" s="632"/>
      <c r="S26" s="632"/>
      <c r="T26" s="632"/>
      <c r="U26" s="632"/>
      <c r="W26" s="712"/>
      <c r="X26" s="606"/>
      <c r="Y26" s="606"/>
      <c r="Z26" s="606"/>
    </row>
    <row r="27" spans="1:26" ht="72">
      <c r="A27" s="656" t="s">
        <v>629</v>
      </c>
      <c r="B27" s="657" t="s">
        <v>630</v>
      </c>
      <c r="C27" s="658"/>
      <c r="D27" s="658"/>
      <c r="E27" s="658"/>
      <c r="F27" s="658"/>
      <c r="G27" s="658"/>
      <c r="H27" s="658"/>
      <c r="I27" s="658"/>
      <c r="J27" s="658"/>
      <c r="K27" s="658"/>
      <c r="L27" s="658"/>
      <c r="M27" s="658"/>
      <c r="N27" s="658"/>
      <c r="O27" s="658"/>
      <c r="P27" s="658"/>
      <c r="Q27" s="658"/>
      <c r="S27" s="658"/>
      <c r="T27" s="658"/>
      <c r="U27" s="658"/>
    </row>
    <row r="28" spans="1:26" ht="72">
      <c r="A28" s="656" t="s">
        <v>631</v>
      </c>
      <c r="B28" s="657" t="s">
        <v>632</v>
      </c>
      <c r="C28" s="659"/>
      <c r="D28" s="659"/>
      <c r="E28" s="659"/>
      <c r="F28" s="659"/>
      <c r="G28" s="660"/>
      <c r="H28" s="660"/>
      <c r="I28" s="660"/>
      <c r="J28" s="660"/>
      <c r="K28" s="660"/>
      <c r="L28" s="660"/>
      <c r="M28" s="660"/>
      <c r="N28" s="660"/>
      <c r="O28" s="660"/>
      <c r="P28" s="660"/>
      <c r="Q28" s="751"/>
      <c r="R28" s="751"/>
      <c r="S28" s="752"/>
      <c r="T28" s="753"/>
      <c r="U28" s="660"/>
    </row>
    <row r="29" spans="1:26" ht="48">
      <c r="A29" s="661" t="s">
        <v>633</v>
      </c>
      <c r="B29" s="657" t="s">
        <v>634</v>
      </c>
      <c r="C29" s="659"/>
      <c r="D29" s="659"/>
      <c r="E29" s="659"/>
      <c r="F29" s="659"/>
      <c r="G29" s="660"/>
      <c r="H29" s="660"/>
      <c r="I29" s="660"/>
      <c r="J29" s="660"/>
      <c r="K29" s="660"/>
      <c r="L29" s="660"/>
      <c r="M29" s="660"/>
      <c r="N29" s="660"/>
      <c r="O29" s="660"/>
      <c r="P29" s="660"/>
      <c r="Q29" s="751"/>
      <c r="S29" s="752"/>
      <c r="T29" s="753"/>
      <c r="U29" s="660"/>
    </row>
    <row r="30" spans="1:26" ht="132" customHeight="1">
      <c r="A30" s="661" t="s">
        <v>635</v>
      </c>
      <c r="B30" s="657" t="s">
        <v>636</v>
      </c>
      <c r="G30" s="660"/>
      <c r="H30" s="660"/>
      <c r="I30" s="660"/>
      <c r="J30" s="660"/>
      <c r="K30" s="660"/>
      <c r="L30" s="660"/>
      <c r="M30" s="660"/>
      <c r="N30" s="660"/>
      <c r="O30" s="660"/>
      <c r="P30" s="660"/>
      <c r="Q30" s="660"/>
      <c r="S30" s="660"/>
      <c r="T30" s="660"/>
      <c r="U30" s="660"/>
    </row>
    <row r="31" spans="1:26" ht="36">
      <c r="A31" s="661" t="s">
        <v>637</v>
      </c>
      <c r="B31" s="657" t="s">
        <v>638</v>
      </c>
      <c r="C31" s="659"/>
      <c r="D31" s="659"/>
      <c r="E31" s="659"/>
      <c r="F31" s="659"/>
    </row>
    <row r="32" spans="1:26" ht="12">
      <c r="A32" s="662"/>
      <c r="B32" s="657"/>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sheetData>
  <mergeCells count="6">
    <mergeCell ref="S3:V3"/>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7"/>
  <sheetViews>
    <sheetView showGridLines="0" zoomScaleNormal="100" workbookViewId="0">
      <pane xSplit="2" ySplit="3" topLeftCell="AP4" activePane="bottomRight" state="frozen"/>
      <selection pane="topRight" activeCell="C1" sqref="C1"/>
      <selection pane="bottomLeft" activeCell="A4" sqref="A4"/>
      <selection pane="bottomRight" activeCell="BE11" sqref="BE11"/>
    </sheetView>
  </sheetViews>
  <sheetFormatPr defaultColWidth="9" defaultRowHeight="14.25"/>
  <cols>
    <col min="1" max="1" width="1.625" style="139" customWidth="1"/>
    <col min="2" max="2" width="35" customWidth="1"/>
    <col min="3" max="3" width="35.125" customWidth="1"/>
    <col min="4" max="32" width="3.25" hidden="1" customWidth="1"/>
    <col min="33" max="38" width="8.75" customWidth="1"/>
    <col min="39" max="40" width="8.75" style="139" customWidth="1"/>
    <col min="41" max="44" width="8.75" customWidth="1"/>
    <col min="45" max="45" width="6.625" bestFit="1" customWidth="1"/>
    <col min="46" max="48" width="8.75" customWidth="1"/>
    <col min="49" max="49" width="9.25" customWidth="1"/>
    <col min="50" max="57" width="8.75" customWidth="1"/>
  </cols>
  <sheetData>
    <row r="1" spans="1:59" s="139" customFormat="1" ht="89.25" customHeight="1" thickBot="1">
      <c r="B1" s="2"/>
      <c r="C1" s="2"/>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K1"/>
      <c r="AP1"/>
      <c r="AU1"/>
      <c r="AZ1"/>
      <c r="BE1"/>
    </row>
    <row r="2" spans="1:59" ht="20.25" customHeight="1" thickBot="1">
      <c r="A2"/>
      <c r="B2" s="844"/>
      <c r="C2" s="844"/>
      <c r="D2" s="846"/>
      <c r="E2" s="847"/>
      <c r="F2" s="847"/>
      <c r="G2" s="842"/>
      <c r="H2" s="846"/>
      <c r="I2" s="847"/>
      <c r="J2" s="847"/>
      <c r="K2" s="847"/>
      <c r="L2" s="842"/>
      <c r="M2" s="846"/>
      <c r="N2" s="847"/>
      <c r="O2" s="847"/>
      <c r="P2" s="847"/>
      <c r="Q2" s="842"/>
      <c r="R2" s="846"/>
      <c r="S2" s="847"/>
      <c r="T2" s="847"/>
      <c r="U2" s="847"/>
      <c r="V2" s="842"/>
      <c r="W2" s="846"/>
      <c r="X2" s="847"/>
      <c r="Y2" s="847"/>
      <c r="Z2" s="847"/>
      <c r="AA2" s="842"/>
      <c r="AB2" s="846"/>
      <c r="AC2" s="847"/>
      <c r="AD2" s="847"/>
      <c r="AE2" s="847"/>
      <c r="AF2" s="842"/>
      <c r="AG2" s="850">
        <v>2018</v>
      </c>
      <c r="AH2" s="851"/>
      <c r="AI2" s="851"/>
      <c r="AJ2" s="851"/>
      <c r="AK2" s="852">
        <v>2018</v>
      </c>
      <c r="AL2" s="850">
        <v>2019</v>
      </c>
      <c r="AM2" s="851"/>
      <c r="AN2" s="851"/>
      <c r="AO2" s="851"/>
      <c r="AP2" s="848">
        <v>2019</v>
      </c>
      <c r="AQ2" s="850">
        <v>2020</v>
      </c>
      <c r="AR2" s="851"/>
      <c r="AS2" s="851"/>
      <c r="AT2" s="851"/>
      <c r="AU2" s="848">
        <v>2020</v>
      </c>
      <c r="AV2" s="850">
        <v>2021</v>
      </c>
      <c r="AW2" s="851"/>
      <c r="AX2" s="851"/>
      <c r="AY2" s="851"/>
      <c r="AZ2" s="848" t="s">
        <v>639</v>
      </c>
      <c r="BA2" s="850">
        <v>2022</v>
      </c>
      <c r="BB2" s="851"/>
      <c r="BC2" s="851"/>
      <c r="BD2" s="851"/>
      <c r="BE2" s="848" t="s">
        <v>640</v>
      </c>
    </row>
    <row r="3" spans="1:59" s="345" customFormat="1" ht="20.25" customHeight="1" thickBot="1">
      <c r="B3" s="845"/>
      <c r="C3" s="845"/>
      <c r="D3" s="346"/>
      <c r="E3" s="347"/>
      <c r="F3" s="347"/>
      <c r="G3" s="843"/>
      <c r="H3" s="346"/>
      <c r="I3" s="347"/>
      <c r="J3" s="347"/>
      <c r="K3" s="347"/>
      <c r="L3" s="843"/>
      <c r="M3" s="346"/>
      <c r="N3" s="347"/>
      <c r="O3" s="347"/>
      <c r="P3" s="347"/>
      <c r="Q3" s="843"/>
      <c r="R3" s="346"/>
      <c r="S3" s="347"/>
      <c r="T3" s="347"/>
      <c r="U3" s="347"/>
      <c r="V3" s="843"/>
      <c r="W3" s="346"/>
      <c r="X3" s="347"/>
      <c r="Y3" s="347"/>
      <c r="Z3" s="347"/>
      <c r="AA3" s="843"/>
      <c r="AB3" s="346"/>
      <c r="AC3" s="347"/>
      <c r="AD3" s="347"/>
      <c r="AE3" s="347"/>
      <c r="AF3" s="843"/>
      <c r="AG3" s="362" t="s">
        <v>583</v>
      </c>
      <c r="AH3" s="363" t="s">
        <v>584</v>
      </c>
      <c r="AI3" s="363" t="s">
        <v>585</v>
      </c>
      <c r="AJ3" s="363" t="s">
        <v>586</v>
      </c>
      <c r="AK3" s="853"/>
      <c r="AL3" s="362" t="s">
        <v>583</v>
      </c>
      <c r="AM3" s="363" t="s">
        <v>584</v>
      </c>
      <c r="AN3" s="363" t="s">
        <v>585</v>
      </c>
      <c r="AO3" s="363" t="s">
        <v>586</v>
      </c>
      <c r="AP3" s="849"/>
      <c r="AQ3" s="362" t="s">
        <v>583</v>
      </c>
      <c r="AR3" s="363" t="s">
        <v>584</v>
      </c>
      <c r="AS3" s="363" t="s">
        <v>585</v>
      </c>
      <c r="AT3" s="363" t="s">
        <v>586</v>
      </c>
      <c r="AU3" s="849"/>
      <c r="AV3" s="362" t="s">
        <v>583</v>
      </c>
      <c r="AW3" s="363" t="s">
        <v>584</v>
      </c>
      <c r="AX3" s="363" t="s">
        <v>585</v>
      </c>
      <c r="AY3" s="363" t="s">
        <v>586</v>
      </c>
      <c r="AZ3" s="849"/>
      <c r="BA3" s="362" t="s">
        <v>583</v>
      </c>
      <c r="BB3" s="363" t="s">
        <v>584</v>
      </c>
      <c r="BC3" s="363" t="s">
        <v>585</v>
      </c>
      <c r="BD3" s="363" t="s">
        <v>586</v>
      </c>
      <c r="BE3" s="849"/>
    </row>
    <row r="4" spans="1:59" ht="20.25" customHeight="1" thickBot="1">
      <c r="A4"/>
      <c r="B4" s="366" t="s">
        <v>641</v>
      </c>
      <c r="C4" s="367" t="s">
        <v>642</v>
      </c>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8"/>
      <c r="AH4" s="368"/>
      <c r="AI4" s="368"/>
      <c r="AJ4" s="368"/>
      <c r="AK4" s="525"/>
      <c r="AL4" s="368"/>
      <c r="AM4" s="368"/>
      <c r="AN4" s="368"/>
      <c r="AO4" s="368"/>
      <c r="AP4" s="525"/>
      <c r="AQ4" s="368"/>
      <c r="AR4" s="368"/>
      <c r="AS4" s="368"/>
      <c r="AT4" s="368"/>
      <c r="AU4" s="525"/>
      <c r="AV4" s="368"/>
      <c r="AW4" s="368"/>
      <c r="AX4" s="368"/>
      <c r="AY4" s="368"/>
      <c r="AZ4" s="525"/>
      <c r="BA4" s="368"/>
      <c r="BB4" s="368"/>
      <c r="BC4" s="368"/>
      <c r="BD4" s="368"/>
      <c r="BE4" s="525"/>
    </row>
    <row r="5" spans="1:59" ht="25.5" customHeight="1" thickBot="1">
      <c r="A5"/>
      <c r="B5" s="369" t="s">
        <v>643</v>
      </c>
      <c r="C5" s="369" t="s">
        <v>644</v>
      </c>
      <c r="D5" s="370"/>
      <c r="E5" s="370"/>
      <c r="F5" s="371"/>
      <c r="G5" s="372"/>
      <c r="H5" s="370"/>
      <c r="I5" s="370"/>
      <c r="J5" s="370"/>
      <c r="K5" s="371"/>
      <c r="L5" s="372"/>
      <c r="M5" s="370"/>
      <c r="N5" s="370"/>
      <c r="O5" s="370"/>
      <c r="P5" s="371"/>
      <c r="Q5" s="372"/>
      <c r="R5" s="370"/>
      <c r="S5" s="370"/>
      <c r="T5" s="370"/>
      <c r="U5" s="371"/>
      <c r="V5" s="372"/>
      <c r="W5" s="370"/>
      <c r="X5" s="370"/>
      <c r="Y5" s="370"/>
      <c r="Z5" s="371"/>
      <c r="AA5" s="372"/>
      <c r="AB5" s="370"/>
      <c r="AC5" s="370"/>
      <c r="AD5" s="370"/>
      <c r="AE5" s="371"/>
      <c r="AF5" s="372"/>
      <c r="AG5" s="373">
        <v>0.2392</v>
      </c>
      <c r="AH5" s="370">
        <v>0.24160000000000001</v>
      </c>
      <c r="AI5" s="370">
        <v>0.25054333360988129</v>
      </c>
      <c r="AJ5" s="370">
        <v>0.24169975469679564</v>
      </c>
      <c r="AK5" s="526">
        <v>0.24299999999999999</v>
      </c>
      <c r="AL5" s="373">
        <v>0.23364792536680987</v>
      </c>
      <c r="AM5" s="370">
        <v>0.24935000000000002</v>
      </c>
      <c r="AN5" s="370">
        <v>0.24822427628137333</v>
      </c>
      <c r="AO5" s="370">
        <v>0.24182527254608499</v>
      </c>
      <c r="AP5" s="526">
        <v>0.2429</v>
      </c>
      <c r="AQ5" s="373">
        <v>0.23250381468797382</v>
      </c>
      <c r="AR5" s="370">
        <v>0.23040912825290802</v>
      </c>
      <c r="AS5" s="370">
        <v>0.24614294127335679</v>
      </c>
      <c r="AT5" s="371">
        <v>0.24959999999999999</v>
      </c>
      <c r="AU5" s="526">
        <v>0.2394</v>
      </c>
      <c r="AV5" s="370">
        <v>0.24402895821124099</v>
      </c>
      <c r="AW5" s="370">
        <v>0.25085533390902925</v>
      </c>
      <c r="AX5" s="370">
        <v>0.24971187343000292</v>
      </c>
      <c r="AY5" s="371">
        <v>0.24015232926794333</v>
      </c>
      <c r="AZ5" s="526">
        <f>AVERAGE(AV5:AY5)</f>
        <v>0.24618712370455414</v>
      </c>
      <c r="BA5" s="370">
        <v>0.23194245292240989</v>
      </c>
      <c r="BB5" s="370">
        <v>0.2281</v>
      </c>
      <c r="BC5" s="370"/>
      <c r="BD5" s="371"/>
      <c r="BE5" s="526"/>
    </row>
    <row r="6" spans="1:59" s="804" customFormat="1" ht="25.5" customHeight="1">
      <c r="B6" s="191" t="s">
        <v>645</v>
      </c>
      <c r="C6" s="191" t="s">
        <v>646</v>
      </c>
      <c r="D6" s="144"/>
      <c r="E6" s="144"/>
      <c r="F6" s="140"/>
      <c r="G6" s="350"/>
      <c r="H6" s="144"/>
      <c r="I6" s="144"/>
      <c r="J6" s="144"/>
      <c r="K6" s="140"/>
      <c r="L6" s="350"/>
      <c r="M6" s="144"/>
      <c r="N6" s="144"/>
      <c r="O6" s="144"/>
      <c r="P6" s="140"/>
      <c r="Q6" s="350"/>
      <c r="R6" s="144"/>
      <c r="S6" s="144"/>
      <c r="T6" s="144"/>
      <c r="U6" s="140"/>
      <c r="V6" s="350"/>
      <c r="W6" s="144"/>
      <c r="X6" s="144"/>
      <c r="Y6" s="144"/>
      <c r="Z6" s="140"/>
      <c r="AA6" s="350"/>
      <c r="AB6" s="144"/>
      <c r="AC6" s="144"/>
      <c r="AD6" s="144"/>
      <c r="AE6" s="140"/>
      <c r="AF6" s="350"/>
      <c r="AG6" s="145">
        <v>0.1187</v>
      </c>
      <c r="AH6" s="144">
        <v>0.1114</v>
      </c>
      <c r="AI6" s="144">
        <v>0.1133</v>
      </c>
      <c r="AJ6" s="144">
        <v>0.11070000000000001</v>
      </c>
      <c r="AK6" s="527">
        <v>0.1137</v>
      </c>
      <c r="AL6" s="145">
        <v>0.112</v>
      </c>
      <c r="AM6" s="144">
        <v>0.1138</v>
      </c>
      <c r="AN6" s="144">
        <v>0.1099</v>
      </c>
      <c r="AO6" s="144">
        <v>0.1043</v>
      </c>
      <c r="AP6" s="527">
        <v>0.1099</v>
      </c>
      <c r="AQ6" s="145">
        <v>9.9000000000000005E-2</v>
      </c>
      <c r="AR6" s="144">
        <v>9.1800000000000007E-2</v>
      </c>
      <c r="AS6" s="144">
        <v>9.3799999999999994E-2</v>
      </c>
      <c r="AT6" s="192">
        <v>9.5500000000000002E-2</v>
      </c>
      <c r="AU6" s="527">
        <v>9.5100000000000004E-2</v>
      </c>
      <c r="AV6" s="144">
        <v>9.2200000000000004E-2</v>
      </c>
      <c r="AW6" s="144">
        <v>8.9499999999999996E-2</v>
      </c>
      <c r="AX6" s="144">
        <v>8.7099999999999997E-2</v>
      </c>
      <c r="AY6" s="192">
        <v>8.8900000000000007E-2</v>
      </c>
      <c r="AZ6" s="527">
        <f>AVERAGE(AV6:AY6)</f>
        <v>8.9425000000000004E-2</v>
      </c>
      <c r="BA6" s="144">
        <v>8.3168000000000006E-2</v>
      </c>
      <c r="BB6" s="144">
        <v>7.6899999999999996E-2</v>
      </c>
      <c r="BC6" s="144"/>
      <c r="BD6" s="192"/>
      <c r="BE6" s="527"/>
    </row>
    <row r="7" spans="1:59" s="804" customFormat="1" ht="25.5" customHeight="1">
      <c r="B7" s="191" t="s">
        <v>647</v>
      </c>
      <c r="C7" s="193" t="s">
        <v>648</v>
      </c>
      <c r="D7" s="144"/>
      <c r="E7" s="144"/>
      <c r="F7" s="192"/>
      <c r="G7" s="350"/>
      <c r="H7" s="144"/>
      <c r="I7" s="144"/>
      <c r="J7" s="144"/>
      <c r="K7" s="192"/>
      <c r="L7" s="350"/>
      <c r="M7" s="144"/>
      <c r="N7" s="144"/>
      <c r="O7" s="144"/>
      <c r="P7" s="192"/>
      <c r="Q7" s="350"/>
      <c r="R7" s="144"/>
      <c r="S7" s="144"/>
      <c r="T7" s="144"/>
      <c r="U7" s="192"/>
      <c r="V7" s="350"/>
      <c r="W7" s="144"/>
      <c r="X7" s="144"/>
      <c r="Y7" s="144"/>
      <c r="Z7" s="192"/>
      <c r="AA7" s="350"/>
      <c r="AB7" s="144"/>
      <c r="AC7" s="144"/>
      <c r="AD7" s="144"/>
      <c r="AE7" s="192"/>
      <c r="AF7" s="350"/>
      <c r="AG7" s="145">
        <v>0.1205</v>
      </c>
      <c r="AH7" s="144">
        <v>0.13009999999999999</v>
      </c>
      <c r="AI7" s="144">
        <v>0.13726561528746634</v>
      </c>
      <c r="AJ7" s="144">
        <v>0.13099975469679564</v>
      </c>
      <c r="AK7" s="528">
        <v>0.12939999999999999</v>
      </c>
      <c r="AL7" s="145">
        <v>0.1216</v>
      </c>
      <c r="AM7" s="144">
        <v>0.13550000000000001</v>
      </c>
      <c r="AN7" s="144">
        <v>0.13844127269311104</v>
      </c>
      <c r="AO7" s="144">
        <v>0.13762187191363667</v>
      </c>
      <c r="AP7" s="528">
        <v>0.13300000000000001</v>
      </c>
      <c r="AQ7" s="145">
        <v>0.13355841310577754</v>
      </c>
      <c r="AR7" s="144">
        <v>0.13863586912018128</v>
      </c>
      <c r="AS7" s="144">
        <v>0.15230242840291572</v>
      </c>
      <c r="AT7" s="192">
        <v>0.15409999999999999</v>
      </c>
      <c r="AU7" s="528">
        <v>0.14419999999999999</v>
      </c>
      <c r="AV7" s="144">
        <v>0.15182895821124093</v>
      </c>
      <c r="AW7" s="144">
        <v>0.16135533390902926</v>
      </c>
      <c r="AX7" s="144">
        <v>0.16261187343000294</v>
      </c>
      <c r="AY7" s="192">
        <v>0.15125232926794333</v>
      </c>
      <c r="AZ7" s="528">
        <f>AVERAGE(AV7:AY7)</f>
        <v>0.15676212370455411</v>
      </c>
      <c r="BA7" s="144">
        <v>0.14877267548397363</v>
      </c>
      <c r="BB7" s="144">
        <v>0.1512</v>
      </c>
      <c r="BC7" s="144"/>
      <c r="BD7" s="192"/>
      <c r="BE7" s="528"/>
    </row>
    <row r="8" spans="1:59" s="141" customFormat="1" ht="25.5" customHeight="1">
      <c r="B8" s="142" t="s">
        <v>649</v>
      </c>
      <c r="C8" s="142" t="s">
        <v>650</v>
      </c>
      <c r="D8" s="351"/>
      <c r="E8" s="351"/>
      <c r="F8" s="143"/>
      <c r="G8" s="352"/>
      <c r="H8" s="351"/>
      <c r="I8" s="351"/>
      <c r="J8" s="351"/>
      <c r="K8" s="143"/>
      <c r="L8" s="352"/>
      <c r="M8" s="351"/>
      <c r="N8" s="351"/>
      <c r="O8" s="351"/>
      <c r="P8" s="143"/>
      <c r="Q8" s="352"/>
      <c r="R8" s="351"/>
      <c r="S8" s="351"/>
      <c r="T8" s="351"/>
      <c r="U8" s="143"/>
      <c r="V8" s="352"/>
      <c r="W8" s="351"/>
      <c r="X8" s="351"/>
      <c r="Y8" s="351"/>
      <c r="Z8" s="143"/>
      <c r="AA8" s="352"/>
      <c r="AB8" s="351"/>
      <c r="AC8" s="351"/>
      <c r="AD8" s="351"/>
      <c r="AE8" s="143"/>
      <c r="AF8" s="352"/>
      <c r="AG8" s="144">
        <v>0.27055000000000001</v>
      </c>
      <c r="AH8" s="144">
        <v>0.26307285482727094</v>
      </c>
      <c r="AI8" s="144">
        <v>0.27107489405369956</v>
      </c>
      <c r="AJ8" s="144">
        <v>0.2799015081566204</v>
      </c>
      <c r="AK8" s="528">
        <v>0.27143265306764186</v>
      </c>
      <c r="AL8" s="145">
        <v>0.27277595774888108</v>
      </c>
      <c r="AM8" s="145">
        <v>0.26956701442344921</v>
      </c>
      <c r="AN8" s="145">
        <v>0.25968869690122404</v>
      </c>
      <c r="AO8" s="145">
        <v>0.26098146875847023</v>
      </c>
      <c r="AP8" s="528">
        <v>0.2659147690729412</v>
      </c>
      <c r="AQ8" s="145">
        <v>0.2642789018622998</v>
      </c>
      <c r="AR8" s="145">
        <v>0.27327354861641062</v>
      </c>
      <c r="AS8" s="145">
        <v>0.25869999999999999</v>
      </c>
      <c r="AT8" s="145">
        <v>0.26550000000000001</v>
      </c>
      <c r="AU8" s="528">
        <v>0.26569999999999999</v>
      </c>
      <c r="AV8" s="144">
        <v>0.24552122777620281</v>
      </c>
      <c r="AW8" s="145">
        <v>0.24025279408748573</v>
      </c>
      <c r="AX8" s="145">
        <v>0.24019199288108664</v>
      </c>
      <c r="AY8" s="145">
        <v>0.24716767238182133</v>
      </c>
      <c r="AZ8" s="528">
        <f>AVERAGE(AV8:AY8)</f>
        <v>0.24328342178164913</v>
      </c>
      <c r="BA8" s="144">
        <v>0.24870403561745946</v>
      </c>
      <c r="BB8" s="145">
        <v>0.24279999999999999</v>
      </c>
      <c r="BC8" s="145"/>
      <c r="BD8" s="145"/>
      <c r="BE8" s="528"/>
    </row>
    <row r="9" spans="1:59" s="141" customFormat="1" ht="25.5" customHeight="1" thickBot="1">
      <c r="B9" s="142" t="s">
        <v>651</v>
      </c>
      <c r="C9" s="142" t="s">
        <v>652</v>
      </c>
      <c r="D9" s="351"/>
      <c r="E9" s="351"/>
      <c r="F9" s="143"/>
      <c r="G9" s="352"/>
      <c r="H9" s="351"/>
      <c r="I9" s="351"/>
      <c r="J9" s="351"/>
      <c r="K9" s="143"/>
      <c r="L9" s="352"/>
      <c r="M9" s="351"/>
      <c r="N9" s="351"/>
      <c r="O9" s="351"/>
      <c r="P9" s="143"/>
      <c r="Q9" s="352"/>
      <c r="R9" s="351"/>
      <c r="S9" s="351"/>
      <c r="T9" s="351"/>
      <c r="U9" s="143"/>
      <c r="V9" s="352"/>
      <c r="W9" s="351"/>
      <c r="X9" s="351"/>
      <c r="Y9" s="351"/>
      <c r="Z9" s="143"/>
      <c r="AA9" s="352"/>
      <c r="AB9" s="351"/>
      <c r="AC9" s="351"/>
      <c r="AD9" s="351"/>
      <c r="AE9" s="143"/>
      <c r="AF9" s="352"/>
      <c r="AG9" s="144">
        <v>0.21878</v>
      </c>
      <c r="AH9" s="144">
        <v>0.22343613004529736</v>
      </c>
      <c r="AI9" s="144">
        <v>0.20803558567084823</v>
      </c>
      <c r="AJ9" s="144">
        <v>0.20762155694075871</v>
      </c>
      <c r="AK9" s="529">
        <v>0.21439941200856841</v>
      </c>
      <c r="AL9" s="145">
        <v>0.21973490554611111</v>
      </c>
      <c r="AM9" s="145">
        <v>0.20743316354782532</v>
      </c>
      <c r="AN9" s="145">
        <v>0.21547125280795693</v>
      </c>
      <c r="AO9" s="145">
        <v>0.21739933081273113</v>
      </c>
      <c r="AP9" s="529">
        <v>0.21521707371036924</v>
      </c>
      <c r="AQ9" s="145">
        <v>0.21964706993225061</v>
      </c>
      <c r="AR9" s="145">
        <v>0.19273450590189634</v>
      </c>
      <c r="AS9" s="145">
        <v>0.19040000000000001</v>
      </c>
      <c r="AT9" s="145">
        <v>0.19350000000000001</v>
      </c>
      <c r="AU9" s="529">
        <v>0.19969999999999999</v>
      </c>
      <c r="AV9" s="144">
        <v>0.2145969192163136</v>
      </c>
      <c r="AW9" s="145">
        <v>0.21298580449377358</v>
      </c>
      <c r="AX9" s="145">
        <v>0.21154341175910182</v>
      </c>
      <c r="AY9" s="145">
        <v>0.21409536596163978</v>
      </c>
      <c r="AZ9" s="529">
        <f>AVERAGE(AV9:AY9)</f>
        <v>0.21330537535770722</v>
      </c>
      <c r="BA9" s="144">
        <v>0.20908218103661699</v>
      </c>
      <c r="BB9" s="145">
        <v>0.21</v>
      </c>
      <c r="BC9" s="145"/>
      <c r="BD9" s="145"/>
      <c r="BE9" s="529"/>
    </row>
    <row r="10" spans="1:59" ht="20.25" customHeight="1">
      <c r="A10"/>
      <c r="B10" s="361" t="s">
        <v>653</v>
      </c>
      <c r="C10" s="349" t="s">
        <v>654</v>
      </c>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59"/>
      <c r="AH10" s="359"/>
      <c r="AI10" s="359"/>
      <c r="AJ10" s="359"/>
      <c r="AK10" s="530"/>
      <c r="AL10" s="359"/>
      <c r="AM10" s="359"/>
      <c r="AN10" s="359"/>
      <c r="AO10" s="359"/>
      <c r="AP10" s="530"/>
      <c r="AQ10" s="359"/>
      <c r="AR10" s="359"/>
      <c r="AS10" s="359"/>
      <c r="AT10" s="359"/>
      <c r="AU10" s="530"/>
      <c r="AV10" s="359"/>
      <c r="AW10" s="359"/>
      <c r="AX10" s="359"/>
      <c r="AY10" s="359"/>
      <c r="AZ10" s="530"/>
      <c r="BA10" s="359"/>
      <c r="BB10" s="359"/>
      <c r="BC10" s="359"/>
      <c r="BD10" s="359"/>
      <c r="BE10" s="530"/>
    </row>
    <row r="11" spans="1:59" ht="33" thickBot="1">
      <c r="A11"/>
      <c r="B11" s="663" t="s">
        <v>655</v>
      </c>
      <c r="C11" s="663" t="s">
        <v>656</v>
      </c>
      <c r="D11" s="147"/>
      <c r="E11" s="147"/>
      <c r="F11" s="148"/>
      <c r="G11" s="664"/>
      <c r="H11" s="147"/>
      <c r="I11" s="147"/>
      <c r="J11" s="147"/>
      <c r="K11" s="148"/>
      <c r="L11" s="664"/>
      <c r="M11" s="147"/>
      <c r="N11" s="147"/>
      <c r="O11" s="147"/>
      <c r="P11" s="148"/>
      <c r="Q11" s="664"/>
      <c r="R11" s="147"/>
      <c r="S11" s="147"/>
      <c r="T11" s="147"/>
      <c r="U11" s="148"/>
      <c r="V11" s="664"/>
      <c r="W11" s="147"/>
      <c r="X11" s="147"/>
      <c r="Y11" s="147"/>
      <c r="Z11" s="148"/>
      <c r="AA11" s="664"/>
      <c r="AB11" s="147"/>
      <c r="AC11" s="147"/>
      <c r="AD11" s="147"/>
      <c r="AE11" s="148"/>
      <c r="AF11" s="664"/>
      <c r="AG11" s="146">
        <v>996.4</v>
      </c>
      <c r="AH11" s="147">
        <v>1201.9000000000001</v>
      </c>
      <c r="AI11" s="147">
        <v>871.7</v>
      </c>
      <c r="AJ11" s="147">
        <v>1328.2</v>
      </c>
      <c r="AK11" s="531">
        <v>4398.2</v>
      </c>
      <c r="AL11" s="146">
        <v>965.6</v>
      </c>
      <c r="AM11" s="147">
        <v>1203.5999999999999</v>
      </c>
      <c r="AN11" s="147">
        <v>888.2</v>
      </c>
      <c r="AO11" s="147">
        <v>1324.059</v>
      </c>
      <c r="AP11" s="531">
        <v>4381.5060000000003</v>
      </c>
      <c r="AQ11" s="146">
        <v>933.12800000000004</v>
      </c>
      <c r="AR11" s="147">
        <v>778.1</v>
      </c>
      <c r="AS11" s="147">
        <v>894.93439594398706</v>
      </c>
      <c r="AT11" s="147">
        <v>1387.066</v>
      </c>
      <c r="AU11" s="531">
        <f>SUM(AQ11:AT11)</f>
        <v>3993.2283959439874</v>
      </c>
      <c r="AV11" s="147">
        <v>955.63900000000001</v>
      </c>
      <c r="AW11" s="147">
        <v>1193.1590000000001</v>
      </c>
      <c r="AX11" s="147">
        <v>928.053</v>
      </c>
      <c r="AY11" s="147">
        <v>1439.02</v>
      </c>
      <c r="AZ11" s="531">
        <f>SUM(AV11:AY11)</f>
        <v>4515.8710000000001</v>
      </c>
      <c r="BA11" s="147">
        <v>960.09799999999996</v>
      </c>
      <c r="BB11" s="147">
        <v>1154.3510000000001</v>
      </c>
      <c r="BC11" s="147"/>
      <c r="BD11" s="147"/>
      <c r="BE11" s="531">
        <f>BA11+BB11</f>
        <v>2114.4490000000001</v>
      </c>
      <c r="BG11" s="805"/>
    </row>
    <row r="12" spans="1:59" s="151" customFormat="1" ht="33" thickBot="1">
      <c r="B12" s="377" t="s">
        <v>657</v>
      </c>
      <c r="C12" s="377" t="s">
        <v>658</v>
      </c>
      <c r="D12" s="378"/>
      <c r="E12" s="378"/>
      <c r="F12" s="379"/>
      <c r="G12" s="380"/>
      <c r="H12" s="378"/>
      <c r="I12" s="378"/>
      <c r="J12" s="378"/>
      <c r="K12" s="379"/>
      <c r="L12" s="380"/>
      <c r="M12" s="378"/>
      <c r="N12" s="378"/>
      <c r="O12" s="378"/>
      <c r="P12" s="379"/>
      <c r="Q12" s="380"/>
      <c r="R12" s="378"/>
      <c r="S12" s="378"/>
      <c r="T12" s="378"/>
      <c r="U12" s="379"/>
      <c r="V12" s="380"/>
      <c r="W12" s="378"/>
      <c r="X12" s="378"/>
      <c r="Y12" s="378"/>
      <c r="Z12" s="379"/>
      <c r="AA12" s="380"/>
      <c r="AB12" s="378"/>
      <c r="AC12" s="378"/>
      <c r="AD12" s="378"/>
      <c r="AE12" s="379"/>
      <c r="AF12" s="380"/>
      <c r="AG12" s="381">
        <v>269.10000000000002</v>
      </c>
      <c r="AH12" s="378">
        <v>321.39999999999998</v>
      </c>
      <c r="AI12" s="378">
        <v>240.8</v>
      </c>
      <c r="AJ12" s="378">
        <v>369.9</v>
      </c>
      <c r="AK12" s="532">
        <v>1201.3</v>
      </c>
      <c r="AL12" s="381">
        <v>270.60000000000002</v>
      </c>
      <c r="AM12" s="378">
        <v>324.89999999999998</v>
      </c>
      <c r="AN12" s="378">
        <v>249.9</v>
      </c>
      <c r="AO12" s="378">
        <v>379</v>
      </c>
      <c r="AP12" s="532">
        <v>1224.4000000000001</v>
      </c>
      <c r="AQ12" s="381">
        <v>262.54000000000002</v>
      </c>
      <c r="AR12" s="378">
        <v>212.9</v>
      </c>
      <c r="AS12" s="378">
        <v>252</v>
      </c>
      <c r="AT12" s="379">
        <v>396.08300000000003</v>
      </c>
      <c r="AU12" s="532">
        <v>1123.538</v>
      </c>
      <c r="AV12" s="379">
        <v>271.495</v>
      </c>
      <c r="AW12" s="379">
        <v>330.48700000000002</v>
      </c>
      <c r="AX12" s="379">
        <v>267.33800000000002</v>
      </c>
      <c r="AY12" s="750">
        <v>402.26600000000002</v>
      </c>
      <c r="AZ12" s="532">
        <f>SUM(AV12:AY12)</f>
        <v>1271.586</v>
      </c>
      <c r="BA12" s="379">
        <v>273.03399999999999</v>
      </c>
      <c r="BB12" s="379">
        <v>330.09300000000002</v>
      </c>
      <c r="BC12" s="379"/>
      <c r="BD12" s="750"/>
      <c r="BE12" s="532">
        <f>BA12+BB12</f>
        <v>603.12699999999995</v>
      </c>
      <c r="BG12" s="805"/>
    </row>
    <row r="13" spans="1:59" ht="33" thickBot="1">
      <c r="A13"/>
      <c r="B13" s="369" t="s">
        <v>659</v>
      </c>
      <c r="C13" s="369" t="s">
        <v>660</v>
      </c>
      <c r="D13" s="370"/>
      <c r="E13" s="370"/>
      <c r="F13" s="371"/>
      <c r="G13" s="372"/>
      <c r="H13" s="370"/>
      <c r="I13" s="370"/>
      <c r="J13" s="370"/>
      <c r="K13" s="371"/>
      <c r="L13" s="372"/>
      <c r="M13" s="370"/>
      <c r="N13" s="370"/>
      <c r="O13" s="370"/>
      <c r="P13" s="371"/>
      <c r="Q13" s="372"/>
      <c r="R13" s="370"/>
      <c r="S13" s="370"/>
      <c r="T13" s="370"/>
      <c r="U13" s="371"/>
      <c r="V13" s="372"/>
      <c r="W13" s="370"/>
      <c r="X13" s="370"/>
      <c r="Y13" s="370"/>
      <c r="Z13" s="371"/>
      <c r="AA13" s="372"/>
      <c r="AB13" s="370"/>
      <c r="AC13" s="370"/>
      <c r="AD13" s="370"/>
      <c r="AE13" s="371"/>
      <c r="AF13" s="372"/>
      <c r="AG13" s="374">
        <f>AG12/AG11</f>
        <v>0.27007226013649138</v>
      </c>
      <c r="AH13" s="375">
        <f t="shared" ref="AH13:AT13" si="0">AH12/AH11</f>
        <v>0.26740993427073795</v>
      </c>
      <c r="AI13" s="375">
        <f t="shared" si="0"/>
        <v>0.27624182631639327</v>
      </c>
      <c r="AJ13" s="375">
        <f t="shared" si="0"/>
        <v>0.27849721427495855</v>
      </c>
      <c r="AK13" s="525">
        <f t="shared" si="0"/>
        <v>0.27313446409894959</v>
      </c>
      <c r="AL13" s="374">
        <f t="shared" si="0"/>
        <v>0.28024026512013256</v>
      </c>
      <c r="AM13" s="375">
        <f t="shared" si="0"/>
        <v>0.26994017946161514</v>
      </c>
      <c r="AN13" s="375">
        <f t="shared" si="0"/>
        <v>0.28135555055167755</v>
      </c>
      <c r="AO13" s="375">
        <f t="shared" si="0"/>
        <v>0.28624102098169341</v>
      </c>
      <c r="AP13" s="525">
        <f t="shared" si="0"/>
        <v>0.27944729506247395</v>
      </c>
      <c r="AQ13" s="374">
        <f t="shared" si="0"/>
        <v>0.28135475518899872</v>
      </c>
      <c r="AR13" s="375">
        <f t="shared" si="0"/>
        <v>0.27361521655314225</v>
      </c>
      <c r="AS13" s="375">
        <f t="shared" si="0"/>
        <v>0.28158488615714394</v>
      </c>
      <c r="AT13" s="376">
        <f t="shared" si="0"/>
        <v>0.28555454462873431</v>
      </c>
      <c r="AU13" s="525">
        <f>AU12/AU11</f>
        <v>0.28136081601072532</v>
      </c>
      <c r="AV13" s="375">
        <f t="shared" ref="AV13:AY13" si="1">AV12/AV11</f>
        <v>0.28409786540733478</v>
      </c>
      <c r="AW13" s="375">
        <f>ROUNDUP(AW12/AW11,3)</f>
        <v>0.27700000000000002</v>
      </c>
      <c r="AX13" s="375">
        <f t="shared" si="1"/>
        <v>0.28806328948885462</v>
      </c>
      <c r="AY13" s="376">
        <f t="shared" si="1"/>
        <v>0.27954163249989578</v>
      </c>
      <c r="AZ13" s="525">
        <f>AZ12/AZ11</f>
        <v>0.28158155979211985</v>
      </c>
      <c r="BA13" s="375">
        <f>BA12/BA11</f>
        <v>0.28438138606683899</v>
      </c>
      <c r="BB13" s="375">
        <f>BB12/BB11</f>
        <v>0.28595548494348771</v>
      </c>
      <c r="BC13" s="375"/>
      <c r="BD13" s="376"/>
      <c r="BE13" s="525">
        <f>BE12/BE11</f>
        <v>0.2852407412049191</v>
      </c>
    </row>
    <row r="14" spans="1:59" ht="15">
      <c r="A14"/>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1"/>
      <c r="AH14" s="151"/>
      <c r="AI14" s="151"/>
      <c r="AJ14" s="151"/>
      <c r="AK14" s="151"/>
      <c r="AL14" s="151"/>
      <c r="AM14" s="151"/>
      <c r="AN14" s="151"/>
      <c r="AO14" s="151"/>
      <c r="AP14" s="151"/>
      <c r="AQ14" s="151"/>
      <c r="AR14" s="151"/>
      <c r="AS14" s="151"/>
      <c r="AT14" s="151"/>
      <c r="AU14" s="151"/>
      <c r="AV14" s="195"/>
      <c r="AW14" s="151"/>
      <c r="AX14" s="151"/>
      <c r="AY14" s="151"/>
      <c r="AZ14" s="151"/>
      <c r="BA14" s="195"/>
      <c r="BB14" s="151"/>
      <c r="BC14" s="151"/>
      <c r="BD14" s="151"/>
      <c r="BE14" s="151"/>
    </row>
    <row r="15" spans="1:59" s="139" customFormat="1" hidden="1">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P15"/>
      <c r="AU15"/>
      <c r="AV15" s="196"/>
      <c r="AZ15"/>
      <c r="BA15" s="196"/>
      <c r="BE15"/>
    </row>
    <row r="16" spans="1:59" s="139" customFormat="1" hidden="1">
      <c r="B16" s="153"/>
      <c r="C16" s="153"/>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153"/>
      <c r="AH16" s="153"/>
      <c r="AI16" s="153"/>
      <c r="AK16"/>
      <c r="AP16"/>
      <c r="AU16"/>
      <c r="AZ16"/>
      <c r="BE16"/>
    </row>
    <row r="17" spans="2:57" s="154" customFormat="1" ht="27.75" customHeight="1">
      <c r="B17" s="382" t="s">
        <v>661</v>
      </c>
      <c r="C17" s="382" t="s">
        <v>662</v>
      </c>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2"/>
      <c r="AH17" s="2"/>
      <c r="AI17" s="2"/>
      <c r="AJ17" s="139"/>
      <c r="AK17"/>
      <c r="AL17" s="139"/>
      <c r="AM17" s="139"/>
      <c r="AN17" s="139"/>
      <c r="AO17" s="139"/>
      <c r="AP17"/>
      <c r="AU17" s="360"/>
      <c r="AZ17" s="360"/>
      <c r="BE17" s="360"/>
    </row>
    <row r="18" spans="2:57" s="154" customFormat="1" ht="27.75" customHeight="1" thickBot="1">
      <c r="B18" s="155" t="s">
        <v>663</v>
      </c>
      <c r="C18" s="155" t="s">
        <v>664</v>
      </c>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2"/>
      <c r="AH18" s="2"/>
      <c r="AI18" s="2"/>
      <c r="AJ18" s="139"/>
      <c r="AK18"/>
      <c r="AL18" s="139"/>
      <c r="AM18" s="139"/>
      <c r="AN18" s="139"/>
      <c r="AO18" s="139"/>
      <c r="AP18"/>
      <c r="AU18" s="360"/>
      <c r="AZ18" s="360"/>
      <c r="BE18" s="360"/>
    </row>
    <row r="19" spans="2:57" s="383" customFormat="1" ht="20.25" customHeight="1" thickBot="1">
      <c r="B19" s="856" t="s">
        <v>665</v>
      </c>
      <c r="C19" s="858" t="s">
        <v>666</v>
      </c>
      <c r="D19" s="860"/>
      <c r="E19" s="861"/>
      <c r="F19" s="861"/>
      <c r="G19" s="854"/>
      <c r="H19" s="860"/>
      <c r="I19" s="861"/>
      <c r="J19" s="861"/>
      <c r="K19" s="861"/>
      <c r="L19" s="854"/>
      <c r="M19" s="860"/>
      <c r="N19" s="861"/>
      <c r="O19" s="861"/>
      <c r="P19" s="861"/>
      <c r="Q19" s="854"/>
      <c r="R19" s="860"/>
      <c r="S19" s="861"/>
      <c r="T19" s="861"/>
      <c r="U19" s="861"/>
      <c r="V19" s="854"/>
      <c r="W19" s="860"/>
      <c r="X19" s="861"/>
      <c r="Y19" s="861"/>
      <c r="Z19" s="861"/>
      <c r="AA19" s="854"/>
      <c r="AB19" s="860"/>
      <c r="AC19" s="861"/>
      <c r="AD19" s="861"/>
      <c r="AE19" s="861"/>
      <c r="AF19" s="854"/>
      <c r="AG19" s="850">
        <v>2018</v>
      </c>
      <c r="AH19" s="851"/>
      <c r="AI19" s="851"/>
      <c r="AJ19" s="851"/>
      <c r="AK19" s="848">
        <v>2018</v>
      </c>
      <c r="AL19" s="850">
        <v>2019</v>
      </c>
      <c r="AM19" s="851"/>
      <c r="AN19" s="851"/>
      <c r="AO19" s="851"/>
      <c r="AP19" s="848">
        <v>2019</v>
      </c>
      <c r="AQ19" s="850">
        <v>2020</v>
      </c>
      <c r="AR19" s="851"/>
      <c r="AS19" s="851"/>
      <c r="AT19" s="851"/>
      <c r="AU19" s="848">
        <v>2020</v>
      </c>
      <c r="AV19" s="850">
        <f>AV2</f>
        <v>2021</v>
      </c>
      <c r="AW19" s="851"/>
      <c r="AX19" s="851"/>
      <c r="AY19" s="851"/>
      <c r="AZ19" s="848" t="s">
        <v>639</v>
      </c>
      <c r="BA19" s="850">
        <f>BA2</f>
        <v>2022</v>
      </c>
      <c r="BB19" s="851"/>
      <c r="BC19" s="851"/>
      <c r="BD19" s="851"/>
      <c r="BE19" s="848" t="s">
        <v>640</v>
      </c>
    </row>
    <row r="20" spans="2:57" s="384" customFormat="1" ht="20.25" customHeight="1" thickBot="1">
      <c r="B20" s="857"/>
      <c r="C20" s="859"/>
      <c r="D20" s="364"/>
      <c r="E20" s="365"/>
      <c r="F20" s="365"/>
      <c r="G20" s="855"/>
      <c r="H20" s="364"/>
      <c r="I20" s="365"/>
      <c r="J20" s="365"/>
      <c r="K20" s="365"/>
      <c r="L20" s="855"/>
      <c r="M20" s="364"/>
      <c r="N20" s="365"/>
      <c r="O20" s="365"/>
      <c r="P20" s="365"/>
      <c r="Q20" s="855"/>
      <c r="R20" s="364"/>
      <c r="S20" s="365"/>
      <c r="T20" s="365"/>
      <c r="U20" s="365"/>
      <c r="V20" s="855"/>
      <c r="W20" s="364"/>
      <c r="X20" s="365"/>
      <c r="Y20" s="365"/>
      <c r="Z20" s="365"/>
      <c r="AA20" s="855"/>
      <c r="AB20" s="364"/>
      <c r="AC20" s="365"/>
      <c r="AD20" s="365"/>
      <c r="AE20" s="365"/>
      <c r="AF20" s="855"/>
      <c r="AG20" s="362" t="s">
        <v>583</v>
      </c>
      <c r="AH20" s="363" t="s">
        <v>584</v>
      </c>
      <c r="AI20" s="363" t="s">
        <v>585</v>
      </c>
      <c r="AJ20" s="363" t="s">
        <v>586</v>
      </c>
      <c r="AK20" s="849"/>
      <c r="AL20" s="362" t="s">
        <v>583</v>
      </c>
      <c r="AM20" s="363" t="s">
        <v>584</v>
      </c>
      <c r="AN20" s="363" t="s">
        <v>585</v>
      </c>
      <c r="AO20" s="363" t="s">
        <v>586</v>
      </c>
      <c r="AP20" s="849"/>
      <c r="AQ20" s="362" t="s">
        <v>583</v>
      </c>
      <c r="AR20" s="363" t="s">
        <v>584</v>
      </c>
      <c r="AS20" s="363" t="s">
        <v>585</v>
      </c>
      <c r="AT20" s="363" t="s">
        <v>586</v>
      </c>
      <c r="AU20" s="849"/>
      <c r="AV20" s="362" t="s">
        <v>583</v>
      </c>
      <c r="AW20" s="363" t="s">
        <v>584</v>
      </c>
      <c r="AX20" s="363" t="s">
        <v>585</v>
      </c>
      <c r="AY20" s="363" t="s">
        <v>586</v>
      </c>
      <c r="AZ20" s="849"/>
      <c r="BA20" s="362" t="s">
        <v>583</v>
      </c>
      <c r="BB20" s="363" t="s">
        <v>584</v>
      </c>
      <c r="BC20" s="363" t="s">
        <v>585</v>
      </c>
      <c r="BD20" s="363" t="s">
        <v>586</v>
      </c>
      <c r="BE20" s="849"/>
    </row>
    <row r="21" spans="2:57" s="161" customFormat="1" ht="23.1" customHeight="1">
      <c r="B21" s="156" t="s">
        <v>667</v>
      </c>
      <c r="C21" s="156" t="s">
        <v>668</v>
      </c>
      <c r="D21" s="158"/>
      <c r="E21" s="158"/>
      <c r="F21" s="158"/>
      <c r="G21" s="353"/>
      <c r="H21" s="158"/>
      <c r="I21" s="158"/>
      <c r="J21" s="158"/>
      <c r="K21" s="158"/>
      <c r="L21" s="353"/>
      <c r="M21" s="158"/>
      <c r="N21" s="158"/>
      <c r="O21" s="158"/>
      <c r="P21" s="158"/>
      <c r="Q21" s="353"/>
      <c r="R21" s="158"/>
      <c r="S21" s="158"/>
      <c r="T21" s="158"/>
      <c r="U21" s="158"/>
      <c r="V21" s="353"/>
      <c r="W21" s="158"/>
      <c r="X21" s="158"/>
      <c r="Y21" s="158"/>
      <c r="Z21" s="158"/>
      <c r="AA21" s="353"/>
      <c r="AB21" s="158"/>
      <c r="AC21" s="158"/>
      <c r="AD21" s="158"/>
      <c r="AE21" s="158"/>
      <c r="AF21" s="353"/>
      <c r="AG21" s="159">
        <v>8.9575186666666706</v>
      </c>
      <c r="AH21" s="159">
        <v>9.2269073333333296</v>
      </c>
      <c r="AI21" s="159">
        <v>8.9584399999999995</v>
      </c>
      <c r="AJ21" s="159">
        <v>8.6488606666666694</v>
      </c>
      <c r="AK21" s="533">
        <v>8.9479316666666708</v>
      </c>
      <c r="AL21" s="159">
        <v>9.0586716666666707</v>
      </c>
      <c r="AM21" s="159">
        <v>9.5436246666666662</v>
      </c>
      <c r="AN21" s="159">
        <v>9.9339253333333346</v>
      </c>
      <c r="AO21" s="159">
        <v>9.897098333333334</v>
      </c>
      <c r="AP21" s="533">
        <v>9.6083300000000005</v>
      </c>
      <c r="AQ21" s="159">
        <v>9.8268776666666646</v>
      </c>
      <c r="AR21" s="159">
        <v>10.836056000000001</v>
      </c>
      <c r="AS21" s="160">
        <v>18.484831</v>
      </c>
      <c r="AT21" s="167">
        <v>19.728791999999999</v>
      </c>
      <c r="AU21" s="533">
        <f>AVERAGE(AQ21:AT21)</f>
        <v>14.719139166666666</v>
      </c>
      <c r="AV21" s="160">
        <v>20.181743999999998</v>
      </c>
      <c r="AW21" s="160">
        <v>20.329488000000001</v>
      </c>
      <c r="AX21" s="160">
        <v>19.864871999999998</v>
      </c>
      <c r="AY21" s="160">
        <v>20.539062000000001</v>
      </c>
      <c r="AZ21" s="536">
        <f>AVERAGE(AV21:AY21)</f>
        <v>20.2287915</v>
      </c>
      <c r="BA21" s="160">
        <v>21.168755999999998</v>
      </c>
      <c r="BB21" s="160">
        <v>20.781953999999999</v>
      </c>
      <c r="BC21" s="160"/>
      <c r="BD21" s="160"/>
      <c r="BE21" s="536"/>
    </row>
    <row r="22" spans="2:57" s="163" customFormat="1" ht="23.1" customHeight="1">
      <c r="B22" s="806" t="s">
        <v>669</v>
      </c>
      <c r="C22" s="806" t="s">
        <v>670</v>
      </c>
      <c r="D22" s="149"/>
      <c r="E22" s="149"/>
      <c r="F22" s="149"/>
      <c r="G22" s="353"/>
      <c r="H22" s="149"/>
      <c r="I22" s="149"/>
      <c r="J22" s="149"/>
      <c r="K22" s="149"/>
      <c r="L22" s="353"/>
      <c r="M22" s="149"/>
      <c r="N22" s="149"/>
      <c r="O22" s="149"/>
      <c r="P22" s="149"/>
      <c r="Q22" s="353"/>
      <c r="R22" s="149"/>
      <c r="S22" s="149"/>
      <c r="T22" s="149"/>
      <c r="U22" s="149"/>
      <c r="V22" s="353"/>
      <c r="W22" s="149"/>
      <c r="X22" s="149"/>
      <c r="Y22" s="149"/>
      <c r="Z22" s="149"/>
      <c r="AA22" s="353"/>
      <c r="AB22" s="149"/>
      <c r="AC22" s="149"/>
      <c r="AD22" s="149"/>
      <c r="AE22" s="149"/>
      <c r="AF22" s="353"/>
      <c r="AG22" s="162">
        <v>21.2333173333333</v>
      </c>
      <c r="AH22" s="162">
        <v>20.898015999999998</v>
      </c>
      <c r="AI22" s="162">
        <v>20.942602666666701</v>
      </c>
      <c r="AJ22" s="162">
        <v>21.839365666666701</v>
      </c>
      <c r="AK22" s="534">
        <v>21.228325416666699</v>
      </c>
      <c r="AL22" s="162">
        <v>22.457554666666667</v>
      </c>
      <c r="AM22" s="162">
        <v>21.564558000000002</v>
      </c>
      <c r="AN22" s="162">
        <v>20.811750666666669</v>
      </c>
      <c r="AO22" s="162">
        <v>21.400824666666669</v>
      </c>
      <c r="AP22" s="534">
        <v>21.558671999999998</v>
      </c>
      <c r="AQ22" s="162">
        <v>21.740159999999999</v>
      </c>
      <c r="AR22" s="162">
        <v>21.146581999999999</v>
      </c>
      <c r="AS22" s="162">
        <v>20.966215666666667</v>
      </c>
      <c r="AT22" s="168">
        <v>21.769559999999998</v>
      </c>
      <c r="AU22" s="534">
        <f>AVERAGE(AQ22:AT22)</f>
        <v>21.405629416666667</v>
      </c>
      <c r="AV22" s="162">
        <v>21.706271999999998</v>
      </c>
      <c r="AW22" s="162">
        <v>21.781169999999999</v>
      </c>
      <c r="AX22" s="162">
        <v>21.017016000000002</v>
      </c>
      <c r="AY22" s="162">
        <v>21.063780000000001</v>
      </c>
      <c r="AZ22" s="534">
        <f>AVERAGE(AV22:AY22)</f>
        <v>21.392059500000002</v>
      </c>
      <c r="BA22" s="162">
        <v>22.066668</v>
      </c>
      <c r="BB22" s="162">
        <v>21.783384000000002</v>
      </c>
      <c r="BC22" s="162"/>
      <c r="BD22" s="162"/>
      <c r="BE22" s="534"/>
    </row>
    <row r="23" spans="2:57" s="163" customFormat="1" ht="23.1" customHeight="1">
      <c r="B23" s="806" t="s">
        <v>671</v>
      </c>
      <c r="C23" s="806" t="s">
        <v>672</v>
      </c>
      <c r="D23" s="143"/>
      <c r="E23" s="143"/>
      <c r="F23" s="143"/>
      <c r="G23" s="353"/>
      <c r="H23" s="143"/>
      <c r="I23" s="143"/>
      <c r="J23" s="143"/>
      <c r="K23" s="143"/>
      <c r="L23" s="353"/>
      <c r="M23" s="143"/>
      <c r="N23" s="143"/>
      <c r="O23" s="143"/>
      <c r="P23" s="143"/>
      <c r="Q23" s="353"/>
      <c r="R23" s="143"/>
      <c r="S23" s="143"/>
      <c r="T23" s="143"/>
      <c r="U23" s="143"/>
      <c r="V23" s="353"/>
      <c r="W23" s="143"/>
      <c r="X23" s="143"/>
      <c r="Y23" s="143"/>
      <c r="Z23" s="143"/>
      <c r="AA23" s="353"/>
      <c r="AB23" s="143"/>
      <c r="AC23" s="143"/>
      <c r="AD23" s="143"/>
      <c r="AE23" s="143"/>
      <c r="AF23" s="353"/>
      <c r="AG23" s="162">
        <v>21.468349</v>
      </c>
      <c r="AH23" s="162">
        <v>20.808209333333298</v>
      </c>
      <c r="AI23" s="162">
        <v>20.612301333333299</v>
      </c>
      <c r="AJ23" s="162">
        <v>21.082352</v>
      </c>
      <c r="AK23" s="534">
        <v>20.992802916666701</v>
      </c>
      <c r="AL23" s="162">
        <v>21.450856666666667</v>
      </c>
      <c r="AM23" s="162">
        <v>20.752137333333334</v>
      </c>
      <c r="AN23" s="162">
        <v>20.033246999999999</v>
      </c>
      <c r="AO23" s="162">
        <v>20.897084333333332</v>
      </c>
      <c r="AP23" s="534">
        <v>20.783331333333333</v>
      </c>
      <c r="AQ23" s="162">
        <v>21.910613000000001</v>
      </c>
      <c r="AR23" s="162">
        <v>21.920766666666665</v>
      </c>
      <c r="AS23" s="162">
        <v>20.933972666666669</v>
      </c>
      <c r="AT23" s="168">
        <v>21.592872</v>
      </c>
      <c r="AU23" s="534">
        <f t="shared" ref="AU23:AU25" si="2">AVERAGE(AQ23:AT23)</f>
        <v>21.589556083333335</v>
      </c>
      <c r="AV23" s="162">
        <v>21.562200000000001</v>
      </c>
      <c r="AW23" s="162">
        <v>21.70017</v>
      </c>
      <c r="AX23" s="162">
        <v>22.279806000000001</v>
      </c>
      <c r="AY23" s="162">
        <v>23.346792000000001</v>
      </c>
      <c r="AZ23" s="534">
        <f t="shared" ref="AZ23:AZ25" si="3">AVERAGE(AV23:AY23)</f>
        <v>22.222242000000001</v>
      </c>
      <c r="BA23" s="162">
        <v>22.519566000000001</v>
      </c>
      <c r="BB23" s="162">
        <v>21.660533999999998</v>
      </c>
      <c r="BC23" s="162"/>
      <c r="BD23" s="162"/>
      <c r="BE23" s="534"/>
    </row>
    <row r="24" spans="2:57" s="163" customFormat="1" ht="23.1" customHeight="1">
      <c r="B24" s="806" t="s">
        <v>673</v>
      </c>
      <c r="C24" s="806" t="s">
        <v>674</v>
      </c>
      <c r="D24" s="357"/>
      <c r="E24" s="357"/>
      <c r="F24" s="807"/>
      <c r="G24" s="353"/>
      <c r="H24" s="357"/>
      <c r="I24" s="357"/>
      <c r="J24" s="807"/>
      <c r="K24" s="807"/>
      <c r="L24" s="353"/>
      <c r="M24" s="357"/>
      <c r="N24" s="357"/>
      <c r="O24" s="807"/>
      <c r="P24" s="807"/>
      <c r="Q24" s="353"/>
      <c r="R24" s="357"/>
      <c r="S24" s="357"/>
      <c r="T24" s="807"/>
      <c r="U24" s="807"/>
      <c r="V24" s="353"/>
      <c r="W24" s="357"/>
      <c r="X24" s="357"/>
      <c r="Y24" s="807"/>
      <c r="Z24" s="807"/>
      <c r="AA24" s="353"/>
      <c r="AB24" s="357"/>
      <c r="AC24" s="357"/>
      <c r="AD24" s="807"/>
      <c r="AE24" s="807"/>
      <c r="AF24" s="353"/>
      <c r="AG24" s="808">
        <v>15.9318236666667</v>
      </c>
      <c r="AH24" s="808">
        <v>15.865494</v>
      </c>
      <c r="AI24" s="808">
        <v>16.060423333333301</v>
      </c>
      <c r="AJ24" s="808">
        <v>17.065826666666698</v>
      </c>
      <c r="AK24" s="534">
        <v>16.2308919166667</v>
      </c>
      <c r="AL24" s="808">
        <v>17.787435666666667</v>
      </c>
      <c r="AM24" s="808">
        <v>16.994359333333335</v>
      </c>
      <c r="AN24" s="808">
        <v>16.433279333333335</v>
      </c>
      <c r="AO24" s="808">
        <v>17.680521000000002</v>
      </c>
      <c r="AP24" s="534">
        <v>17.223898833333333</v>
      </c>
      <c r="AQ24" s="808">
        <v>18.596202000000002</v>
      </c>
      <c r="AR24" s="808">
        <v>17.204713999999999</v>
      </c>
      <c r="AS24" s="808">
        <v>15.98324</v>
      </c>
      <c r="AT24" s="808">
        <v>17.756712</v>
      </c>
      <c r="AU24" s="534">
        <f t="shared" si="2"/>
        <v>17.385217000000001</v>
      </c>
      <c r="AV24" s="162">
        <v>17.12556</v>
      </c>
      <c r="AW24" s="162">
        <v>16.734383999999999</v>
      </c>
      <c r="AX24" s="162">
        <v>16.549271999999998</v>
      </c>
      <c r="AY24" s="162">
        <v>17.245547999999999</v>
      </c>
      <c r="AZ24" s="534">
        <f t="shared" si="3"/>
        <v>16.913691</v>
      </c>
      <c r="BA24" s="162">
        <v>17.649467999999999</v>
      </c>
      <c r="BB24" s="162">
        <v>17.706437999999999</v>
      </c>
      <c r="BC24" s="162"/>
      <c r="BD24" s="162"/>
      <c r="BE24" s="534"/>
    </row>
    <row r="25" spans="2:57" s="163" customFormat="1" ht="23.1" customHeight="1" thickBot="1">
      <c r="B25" s="809" t="s">
        <v>675</v>
      </c>
      <c r="C25" s="809" t="s">
        <v>676</v>
      </c>
      <c r="D25" s="740"/>
      <c r="E25" s="740"/>
      <c r="F25" s="810"/>
      <c r="G25" s="354"/>
      <c r="H25" s="740"/>
      <c r="I25" s="740"/>
      <c r="J25" s="810"/>
      <c r="K25" s="810"/>
      <c r="L25" s="354"/>
      <c r="M25" s="740"/>
      <c r="N25" s="740"/>
      <c r="O25" s="810"/>
      <c r="P25" s="810"/>
      <c r="Q25" s="354"/>
      <c r="R25" s="740"/>
      <c r="S25" s="740"/>
      <c r="T25" s="810"/>
      <c r="U25" s="810"/>
      <c r="V25" s="354"/>
      <c r="W25" s="740"/>
      <c r="X25" s="740"/>
      <c r="Y25" s="810"/>
      <c r="Z25" s="810"/>
      <c r="AA25" s="354"/>
      <c r="AB25" s="740"/>
      <c r="AC25" s="740"/>
      <c r="AD25" s="810"/>
      <c r="AE25" s="810"/>
      <c r="AF25" s="354"/>
      <c r="AG25" s="811">
        <v>16.4260943333333</v>
      </c>
      <c r="AH25" s="811">
        <v>15.977968000000001</v>
      </c>
      <c r="AI25" s="811">
        <v>16.207808</v>
      </c>
      <c r="AJ25" s="811">
        <v>17.236224666666701</v>
      </c>
      <c r="AK25" s="535">
        <v>16.46202375</v>
      </c>
      <c r="AL25" s="811">
        <v>17.738139</v>
      </c>
      <c r="AM25" s="811">
        <v>16.633941666666665</v>
      </c>
      <c r="AN25" s="811">
        <v>15.505186333333333</v>
      </c>
      <c r="AO25" s="811">
        <v>16.117697666666668</v>
      </c>
      <c r="AP25" s="535">
        <v>16.498741166666665</v>
      </c>
      <c r="AQ25" s="811">
        <v>16.987466000000001</v>
      </c>
      <c r="AR25" s="741">
        <v>16.000780333333335</v>
      </c>
      <c r="AS25" s="741">
        <v>14.976542333333335</v>
      </c>
      <c r="AT25" s="811">
        <v>17.669664000000001</v>
      </c>
      <c r="AU25" s="535">
        <f t="shared" si="2"/>
        <v>16.408613166666669</v>
      </c>
      <c r="AV25" s="746">
        <v>17.595576000000001</v>
      </c>
      <c r="AW25" s="746">
        <v>17.638991999999998</v>
      </c>
      <c r="AX25" s="746">
        <v>17.396370000000001</v>
      </c>
      <c r="AY25" s="746">
        <v>17.984159999999999</v>
      </c>
      <c r="AZ25" s="748">
        <f t="shared" si="3"/>
        <v>17.653774500000001</v>
      </c>
      <c r="BA25" s="746">
        <v>18.547865999999999</v>
      </c>
      <c r="BB25" s="746">
        <v>17.891604000000001</v>
      </c>
      <c r="BC25" s="746"/>
      <c r="BD25" s="746"/>
      <c r="BE25" s="748"/>
    </row>
    <row r="26" spans="2:57" s="139" customFormat="1" ht="20.100000000000001" customHeight="1">
      <c r="D26"/>
      <c r="E26"/>
      <c r="F26"/>
      <c r="G26"/>
      <c r="H26"/>
      <c r="I26"/>
      <c r="J26"/>
      <c r="K26"/>
      <c r="L26"/>
      <c r="M26"/>
      <c r="N26"/>
      <c r="O26"/>
      <c r="P26"/>
      <c r="Q26"/>
      <c r="R26"/>
      <c r="S26"/>
      <c r="T26"/>
      <c r="U26"/>
      <c r="V26"/>
      <c r="W26"/>
      <c r="X26"/>
      <c r="Y26"/>
      <c r="Z26"/>
      <c r="AA26"/>
      <c r="AB26"/>
      <c r="AC26"/>
      <c r="AD26"/>
      <c r="AE26"/>
      <c r="AF26"/>
      <c r="AK26"/>
      <c r="AP26"/>
      <c r="AU26"/>
      <c r="AZ26"/>
      <c r="BE26"/>
    </row>
    <row r="27" spans="2:57" s="139" customFormat="1" ht="27.75" customHeight="1" thickBot="1">
      <c r="B27" s="164" t="s">
        <v>677</v>
      </c>
      <c r="C27" s="164" t="s">
        <v>678</v>
      </c>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K27"/>
      <c r="AP27"/>
      <c r="AU27"/>
      <c r="AZ27"/>
      <c r="BE27"/>
    </row>
    <row r="28" spans="2:57" s="385" customFormat="1" ht="20.25" customHeight="1">
      <c r="B28" s="856" t="s">
        <v>679</v>
      </c>
      <c r="C28" s="856" t="s">
        <v>680</v>
      </c>
      <c r="D28" s="850"/>
      <c r="E28" s="851"/>
      <c r="F28" s="851"/>
      <c r="G28" s="848"/>
      <c r="H28" s="850"/>
      <c r="I28" s="851"/>
      <c r="J28" s="851"/>
      <c r="K28" s="851"/>
      <c r="L28" s="848"/>
      <c r="M28" s="850"/>
      <c r="N28" s="851"/>
      <c r="O28" s="851"/>
      <c r="P28" s="851"/>
      <c r="Q28" s="848"/>
      <c r="R28" s="850"/>
      <c r="S28" s="851"/>
      <c r="T28" s="851"/>
      <c r="U28" s="851"/>
      <c r="V28" s="848"/>
      <c r="W28" s="850"/>
      <c r="X28" s="851"/>
      <c r="Y28" s="851"/>
      <c r="Z28" s="851"/>
      <c r="AA28" s="848"/>
      <c r="AB28" s="850"/>
      <c r="AC28" s="851"/>
      <c r="AD28" s="851"/>
      <c r="AE28" s="851"/>
      <c r="AF28" s="848"/>
      <c r="AG28" s="850">
        <v>2018</v>
      </c>
      <c r="AH28" s="851"/>
      <c r="AI28" s="851"/>
      <c r="AJ28" s="851"/>
      <c r="AK28" s="848">
        <v>2018</v>
      </c>
      <c r="AL28" s="850">
        <v>2019</v>
      </c>
      <c r="AM28" s="851"/>
      <c r="AN28" s="851"/>
      <c r="AO28" s="851"/>
      <c r="AP28" s="848">
        <v>2019</v>
      </c>
      <c r="AQ28" s="850">
        <v>2020</v>
      </c>
      <c r="AR28" s="851"/>
      <c r="AS28" s="851"/>
      <c r="AT28" s="851"/>
      <c r="AU28" s="848">
        <v>2020</v>
      </c>
      <c r="AV28" s="850">
        <f>AV2</f>
        <v>2021</v>
      </c>
      <c r="AW28" s="851"/>
      <c r="AX28" s="851"/>
      <c r="AY28" s="851"/>
      <c r="AZ28" s="848" t="s">
        <v>639</v>
      </c>
      <c r="BA28" s="850">
        <f>BA2</f>
        <v>2022</v>
      </c>
      <c r="BB28" s="851"/>
      <c r="BC28" s="851"/>
      <c r="BD28" s="851"/>
      <c r="BE28" s="848" t="s">
        <v>640</v>
      </c>
    </row>
    <row r="29" spans="2:57" s="386" customFormat="1" ht="20.25" customHeight="1" thickBot="1">
      <c r="B29" s="857"/>
      <c r="C29" s="857"/>
      <c r="D29" s="362"/>
      <c r="E29" s="363"/>
      <c r="F29" s="363"/>
      <c r="G29" s="849"/>
      <c r="H29" s="362"/>
      <c r="I29" s="363"/>
      <c r="J29" s="363"/>
      <c r="K29" s="363"/>
      <c r="L29" s="849"/>
      <c r="M29" s="362"/>
      <c r="N29" s="363"/>
      <c r="O29" s="363"/>
      <c r="P29" s="363"/>
      <c r="Q29" s="849"/>
      <c r="R29" s="362"/>
      <c r="S29" s="363"/>
      <c r="T29" s="363"/>
      <c r="U29" s="363"/>
      <c r="V29" s="849"/>
      <c r="W29" s="362"/>
      <c r="X29" s="363"/>
      <c r="Y29" s="363"/>
      <c r="Z29" s="363"/>
      <c r="AA29" s="849"/>
      <c r="AB29" s="362"/>
      <c r="AC29" s="363"/>
      <c r="AD29" s="363"/>
      <c r="AE29" s="363"/>
      <c r="AF29" s="849"/>
      <c r="AG29" s="362" t="s">
        <v>583</v>
      </c>
      <c r="AH29" s="363" t="s">
        <v>584</v>
      </c>
      <c r="AI29" s="363" t="s">
        <v>585</v>
      </c>
      <c r="AJ29" s="363" t="s">
        <v>586</v>
      </c>
      <c r="AK29" s="849"/>
      <c r="AL29" s="362" t="s">
        <v>583</v>
      </c>
      <c r="AM29" s="363" t="s">
        <v>584</v>
      </c>
      <c r="AN29" s="363" t="s">
        <v>585</v>
      </c>
      <c r="AO29" s="363" t="s">
        <v>586</v>
      </c>
      <c r="AP29" s="849"/>
      <c r="AQ29" s="362" t="s">
        <v>583</v>
      </c>
      <c r="AR29" s="363" t="s">
        <v>584</v>
      </c>
      <c r="AS29" s="363" t="s">
        <v>585</v>
      </c>
      <c r="AT29" s="363" t="s">
        <v>586</v>
      </c>
      <c r="AU29" s="849"/>
      <c r="AV29" s="362" t="s">
        <v>583</v>
      </c>
      <c r="AW29" s="363" t="s">
        <v>584</v>
      </c>
      <c r="AX29" s="363" t="s">
        <v>585</v>
      </c>
      <c r="AY29" s="363" t="s">
        <v>586</v>
      </c>
      <c r="AZ29" s="849"/>
      <c r="BA29" s="362" t="s">
        <v>583</v>
      </c>
      <c r="BB29" s="363" t="s">
        <v>584</v>
      </c>
      <c r="BC29" s="363" t="s">
        <v>585</v>
      </c>
      <c r="BD29" s="363" t="s">
        <v>586</v>
      </c>
      <c r="BE29" s="849"/>
    </row>
    <row r="30" spans="2:57" s="166" customFormat="1" ht="20.100000000000001" customHeight="1">
      <c r="B30" s="156" t="s">
        <v>681</v>
      </c>
      <c r="C30" s="156" t="s">
        <v>682</v>
      </c>
      <c r="D30" s="158"/>
      <c r="E30" s="158"/>
      <c r="F30" s="158"/>
      <c r="G30" s="353"/>
      <c r="H30" s="158"/>
      <c r="I30" s="158"/>
      <c r="J30" s="158"/>
      <c r="K30" s="158"/>
      <c r="L30" s="353"/>
      <c r="M30" s="158"/>
      <c r="N30" s="158"/>
      <c r="O30" s="158"/>
      <c r="P30" s="158"/>
      <c r="Q30" s="353"/>
      <c r="R30" s="158"/>
      <c r="S30" s="158"/>
      <c r="T30" s="158"/>
      <c r="U30" s="158"/>
      <c r="V30" s="353"/>
      <c r="W30" s="158"/>
      <c r="X30" s="158"/>
      <c r="Y30" s="158"/>
      <c r="Z30" s="158"/>
      <c r="AA30" s="353"/>
      <c r="AB30" s="158"/>
      <c r="AC30" s="158"/>
      <c r="AD30" s="158"/>
      <c r="AE30" s="158"/>
      <c r="AF30" s="353"/>
      <c r="AG30" s="165">
        <v>119.246591</v>
      </c>
      <c r="AH30" s="165">
        <v>122.659119</v>
      </c>
      <c r="AI30" s="165">
        <v>115.47829</v>
      </c>
      <c r="AJ30" s="165">
        <v>124.290809</v>
      </c>
      <c r="AK30" s="540">
        <v>120.418702</v>
      </c>
      <c r="AL30" s="165">
        <v>141.89801766666699</v>
      </c>
      <c r="AM30" s="165">
        <v>142.39620733333334</v>
      </c>
      <c r="AN30" s="165">
        <v>147.647065</v>
      </c>
      <c r="AO30" s="165">
        <v>147.21163000000001</v>
      </c>
      <c r="AP30" s="540">
        <v>144.52833590909091</v>
      </c>
      <c r="AQ30" s="165">
        <v>156.99415033333335</v>
      </c>
      <c r="AR30" s="165">
        <v>175.901262</v>
      </c>
      <c r="AS30" s="157">
        <v>1489.1514456666669</v>
      </c>
      <c r="AT30" s="158">
        <v>1713.2906539999999</v>
      </c>
      <c r="AU30" s="540">
        <f>AVERAGE(AQ30:AT30)</f>
        <v>883.83437800000002</v>
      </c>
      <c r="AV30" s="157">
        <v>1739.0040570000001</v>
      </c>
      <c r="AW30" s="157">
        <v>2028.1014210000001</v>
      </c>
      <c r="AX30" s="157">
        <v>1995.4577059999999</v>
      </c>
      <c r="AY30" s="157">
        <v>1963.315611</v>
      </c>
      <c r="AZ30" s="537">
        <f>AVERAGE(AV30:AY30)</f>
        <v>1931.4696987500001</v>
      </c>
      <c r="BA30" s="157">
        <v>2170.3631930000001</v>
      </c>
      <c r="BB30" s="157">
        <v>2022.7836483333333</v>
      </c>
      <c r="BC30" s="157"/>
      <c r="BD30" s="157"/>
      <c r="BE30" s="537"/>
    </row>
    <row r="31" spans="2:57" s="139" customFormat="1" ht="20.100000000000001" customHeight="1">
      <c r="B31" s="806" t="s">
        <v>669</v>
      </c>
      <c r="C31" s="806" t="s">
        <v>670</v>
      </c>
      <c r="D31" s="149"/>
      <c r="E31" s="149"/>
      <c r="F31" s="149"/>
      <c r="G31" s="353"/>
      <c r="H31" s="149"/>
      <c r="I31" s="149"/>
      <c r="J31" s="149"/>
      <c r="K31" s="149"/>
      <c r="L31" s="353"/>
      <c r="M31" s="149"/>
      <c r="N31" s="149"/>
      <c r="O31" s="149"/>
      <c r="P31" s="149"/>
      <c r="Q31" s="353"/>
      <c r="R31" s="149"/>
      <c r="S31" s="149"/>
      <c r="T31" s="149"/>
      <c r="U31" s="149"/>
      <c r="V31" s="353"/>
      <c r="W31" s="149"/>
      <c r="X31" s="149"/>
      <c r="Y31" s="149"/>
      <c r="Z31" s="149"/>
      <c r="AA31" s="353"/>
      <c r="AB31" s="149"/>
      <c r="AC31" s="149"/>
      <c r="AD31" s="149"/>
      <c r="AE31" s="149"/>
      <c r="AF31" s="353"/>
      <c r="AG31" s="96">
        <v>3986.0391209999998</v>
      </c>
      <c r="AH31" s="96">
        <v>2843.8153569999999</v>
      </c>
      <c r="AI31" s="96">
        <v>2795.8327979999999</v>
      </c>
      <c r="AJ31" s="96">
        <v>2824.1565719999999</v>
      </c>
      <c r="AK31" s="538">
        <v>3112.4609620000001</v>
      </c>
      <c r="AL31" s="96">
        <v>3067.8559336666667</v>
      </c>
      <c r="AM31" s="96">
        <v>2816.4148613333336</v>
      </c>
      <c r="AN31" s="96">
        <v>2891.7096685000001</v>
      </c>
      <c r="AO31" s="96">
        <v>2865.860862</v>
      </c>
      <c r="AP31" s="538">
        <v>2912.164937090909</v>
      </c>
      <c r="AQ31" s="96">
        <v>3348.4315183333333</v>
      </c>
      <c r="AR31" s="96">
        <v>3454.8804993333333</v>
      </c>
      <c r="AS31" s="96">
        <v>2850.2637966666666</v>
      </c>
      <c r="AT31" s="149">
        <v>3489.1977529999999</v>
      </c>
      <c r="AU31" s="538">
        <f>AVERAGE(AQ31:AT31)</f>
        <v>3285.6933918333334</v>
      </c>
      <c r="AV31" s="96">
        <v>3448.092208</v>
      </c>
      <c r="AW31" s="96">
        <v>3363.2307430000001</v>
      </c>
      <c r="AX31" s="96">
        <v>3250.0863800000002</v>
      </c>
      <c r="AY31" s="96">
        <v>3592.842443</v>
      </c>
      <c r="AZ31" s="538">
        <f>AVERAGE(AV31:AY31)</f>
        <v>3413.5629435000001</v>
      </c>
      <c r="BA31" s="96">
        <v>4208.8861299999999</v>
      </c>
      <c r="BB31" s="96">
        <v>3907.9663673333334</v>
      </c>
      <c r="BC31" s="96"/>
      <c r="BD31" s="96"/>
      <c r="BE31" s="538"/>
    </row>
    <row r="32" spans="2:57" s="139" customFormat="1" ht="20.100000000000001" customHeight="1">
      <c r="B32" s="806" t="s">
        <v>671</v>
      </c>
      <c r="C32" s="806" t="s">
        <v>672</v>
      </c>
      <c r="D32" s="143"/>
      <c r="E32" s="143"/>
      <c r="F32" s="143"/>
      <c r="G32" s="353"/>
      <c r="H32" s="143"/>
      <c r="I32" s="143"/>
      <c r="J32" s="143"/>
      <c r="K32" s="143"/>
      <c r="L32" s="353"/>
      <c r="M32" s="143"/>
      <c r="N32" s="143"/>
      <c r="O32" s="143"/>
      <c r="P32" s="143"/>
      <c r="Q32" s="353"/>
      <c r="R32" s="143"/>
      <c r="S32" s="143"/>
      <c r="T32" s="143"/>
      <c r="U32" s="143"/>
      <c r="V32" s="353"/>
      <c r="W32" s="143"/>
      <c r="X32" s="143"/>
      <c r="Y32" s="143"/>
      <c r="Z32" s="143"/>
      <c r="AA32" s="353"/>
      <c r="AB32" s="143"/>
      <c r="AC32" s="143"/>
      <c r="AD32" s="143"/>
      <c r="AE32" s="143"/>
      <c r="AF32" s="353"/>
      <c r="AG32" s="96">
        <v>3147.101705</v>
      </c>
      <c r="AH32" s="96">
        <v>2634.622558</v>
      </c>
      <c r="AI32" s="96">
        <v>2262.472448</v>
      </c>
      <c r="AJ32" s="96">
        <v>1989.323279</v>
      </c>
      <c r="AK32" s="538">
        <v>2508.379997</v>
      </c>
      <c r="AL32" s="96">
        <v>2306.4432736666663</v>
      </c>
      <c r="AM32" s="96">
        <v>2056.0130949999998</v>
      </c>
      <c r="AN32" s="96">
        <v>2009.5032535</v>
      </c>
      <c r="AO32" s="96">
        <v>2040.8401793333333</v>
      </c>
      <c r="AP32" s="538">
        <v>2111.7178319090908</v>
      </c>
      <c r="AQ32" s="96">
        <v>2424.047912</v>
      </c>
      <c r="AR32" s="96">
        <v>2514.4230903333337</v>
      </c>
      <c r="AS32" s="96">
        <v>2247.1015526666665</v>
      </c>
      <c r="AT32" s="149">
        <v>2523.0223740000001</v>
      </c>
      <c r="AU32" s="538">
        <f t="shared" ref="AU32:AU34" si="4">AVERAGE(AQ32:AT32)</f>
        <v>2427.1487322500002</v>
      </c>
      <c r="AV32" s="96">
        <v>2360.7921510000001</v>
      </c>
      <c r="AW32" s="96">
        <v>2293.3762510000001</v>
      </c>
      <c r="AX32" s="96">
        <v>2353.431529</v>
      </c>
      <c r="AY32" s="96">
        <v>2488.5984250000001</v>
      </c>
      <c r="AZ32" s="538">
        <f t="shared" ref="AZ32:AZ34" si="5">AVERAGE(AV32:AY32)</f>
        <v>2374.0495890000002</v>
      </c>
      <c r="BA32" s="96">
        <v>3253.3832609999999</v>
      </c>
      <c r="BB32" s="96">
        <v>2762.1132349999998</v>
      </c>
      <c r="BC32" s="96"/>
      <c r="BD32" s="96"/>
      <c r="BE32" s="538"/>
    </row>
    <row r="33" spans="2:57" s="139" customFormat="1" ht="20.100000000000001" customHeight="1">
      <c r="B33" s="806" t="s">
        <v>673</v>
      </c>
      <c r="C33" s="806" t="s">
        <v>674</v>
      </c>
      <c r="D33" s="357"/>
      <c r="E33" s="357"/>
      <c r="F33" s="807"/>
      <c r="G33" s="353"/>
      <c r="H33" s="357"/>
      <c r="I33" s="357"/>
      <c r="J33" s="807"/>
      <c r="K33" s="807"/>
      <c r="L33" s="353"/>
      <c r="M33" s="357"/>
      <c r="N33" s="357"/>
      <c r="O33" s="807"/>
      <c r="P33" s="807"/>
      <c r="Q33" s="353"/>
      <c r="R33" s="357"/>
      <c r="S33" s="357"/>
      <c r="T33" s="807"/>
      <c r="U33" s="807"/>
      <c r="V33" s="353"/>
      <c r="W33" s="357"/>
      <c r="X33" s="357"/>
      <c r="Y33" s="807"/>
      <c r="Z33" s="807"/>
      <c r="AA33" s="353"/>
      <c r="AB33" s="357"/>
      <c r="AC33" s="357"/>
      <c r="AD33" s="807"/>
      <c r="AE33" s="807"/>
      <c r="AF33" s="353"/>
      <c r="AG33" s="812">
        <v>496.51288099999999</v>
      </c>
      <c r="AH33" s="812">
        <v>494.34597000000002</v>
      </c>
      <c r="AI33" s="812">
        <v>475.84753799999999</v>
      </c>
      <c r="AJ33" s="812">
        <v>550.75379799999996</v>
      </c>
      <c r="AK33" s="538">
        <v>504.365047</v>
      </c>
      <c r="AL33" s="812">
        <v>653.34457066666664</v>
      </c>
      <c r="AM33" s="812">
        <v>688.13588766666658</v>
      </c>
      <c r="AN33" s="812">
        <v>704.99070133333339</v>
      </c>
      <c r="AO33" s="812">
        <v>733.35113000000001</v>
      </c>
      <c r="AP33" s="538">
        <v>694.95557241666666</v>
      </c>
      <c r="AQ33" s="812">
        <v>908.30737366666665</v>
      </c>
      <c r="AR33" s="812">
        <v>796.95762233333335</v>
      </c>
      <c r="AS33" s="812">
        <v>826.83673199999998</v>
      </c>
      <c r="AT33" s="149">
        <v>914.32968500000004</v>
      </c>
      <c r="AU33" s="538">
        <f t="shared" si="4"/>
        <v>861.60785324999995</v>
      </c>
      <c r="AV33" s="812">
        <v>918.73843299999999</v>
      </c>
      <c r="AW33" s="812">
        <v>816.42182000000003</v>
      </c>
      <c r="AX33" s="812">
        <v>824.29132700000002</v>
      </c>
      <c r="AY33" s="812">
        <v>859.91131800000005</v>
      </c>
      <c r="AZ33" s="538">
        <f t="shared" si="5"/>
        <v>854.84072449999996</v>
      </c>
      <c r="BA33" s="812">
        <v>830.924621</v>
      </c>
      <c r="BB33" s="812">
        <v>832.0364933333334</v>
      </c>
      <c r="BC33" s="812"/>
      <c r="BD33" s="812"/>
      <c r="BE33" s="538"/>
    </row>
    <row r="34" spans="2:57" s="139" customFormat="1" ht="20.100000000000001" customHeight="1" thickBot="1">
      <c r="B34" s="809" t="s">
        <v>675</v>
      </c>
      <c r="C34" s="809" t="s">
        <v>676</v>
      </c>
      <c r="D34" s="740"/>
      <c r="E34" s="740"/>
      <c r="F34" s="810"/>
      <c r="G34" s="354"/>
      <c r="H34" s="740"/>
      <c r="I34" s="740"/>
      <c r="J34" s="810"/>
      <c r="K34" s="810"/>
      <c r="L34" s="354"/>
      <c r="M34" s="740"/>
      <c r="N34" s="740"/>
      <c r="O34" s="810"/>
      <c r="P34" s="810"/>
      <c r="Q34" s="354"/>
      <c r="R34" s="740"/>
      <c r="S34" s="740"/>
      <c r="T34" s="810"/>
      <c r="U34" s="810"/>
      <c r="V34" s="354"/>
      <c r="W34" s="740"/>
      <c r="X34" s="740"/>
      <c r="Y34" s="810"/>
      <c r="Z34" s="810"/>
      <c r="AA34" s="354"/>
      <c r="AB34" s="740"/>
      <c r="AC34" s="740"/>
      <c r="AD34" s="810"/>
      <c r="AE34" s="810"/>
      <c r="AF34" s="354"/>
      <c r="AG34" s="813">
        <v>701.28572999999994</v>
      </c>
      <c r="AH34" s="813">
        <v>632.023324</v>
      </c>
      <c r="AI34" s="813">
        <v>599.56303200000002</v>
      </c>
      <c r="AJ34" s="813">
        <v>627.25341200000003</v>
      </c>
      <c r="AK34" s="539">
        <v>640.03137500000003</v>
      </c>
      <c r="AL34" s="813">
        <v>652.00119633333338</v>
      </c>
      <c r="AM34" s="813">
        <v>532.50463433333334</v>
      </c>
      <c r="AN34" s="813">
        <v>542.2565065</v>
      </c>
      <c r="AO34" s="813">
        <v>522.11580900000001</v>
      </c>
      <c r="AP34" s="539">
        <v>564.03435745454544</v>
      </c>
      <c r="AQ34" s="813">
        <v>645.25113733333342</v>
      </c>
      <c r="AR34" s="742">
        <v>585.152736</v>
      </c>
      <c r="AS34" s="742">
        <v>505.00412899999998</v>
      </c>
      <c r="AT34" s="743">
        <v>608.30699400000003</v>
      </c>
      <c r="AU34" s="539">
        <f t="shared" si="4"/>
        <v>585.92874908333329</v>
      </c>
      <c r="AV34" s="747">
        <v>589.85531400000002</v>
      </c>
      <c r="AW34" s="747">
        <v>572.48614299999997</v>
      </c>
      <c r="AX34" s="747">
        <v>605.14870599999995</v>
      </c>
      <c r="AY34" s="747">
        <v>608.22494300000005</v>
      </c>
      <c r="AZ34" s="749">
        <f t="shared" si="5"/>
        <v>593.92877650000003</v>
      </c>
      <c r="BA34" s="747">
        <v>708.24070340000003</v>
      </c>
      <c r="BB34" s="747">
        <v>574.09954033333338</v>
      </c>
      <c r="BC34" s="747"/>
      <c r="BD34" s="747"/>
      <c r="BE34" s="749"/>
    </row>
    <row r="35" spans="2:57" s="139" customFormat="1" ht="20.100000000000001" customHeight="1">
      <c r="D35"/>
      <c r="E35"/>
      <c r="F35"/>
      <c r="G35"/>
      <c r="H35"/>
      <c r="I35"/>
      <c r="J35"/>
      <c r="K35"/>
      <c r="L35"/>
      <c r="M35"/>
      <c r="N35"/>
      <c r="O35"/>
      <c r="P35"/>
      <c r="Q35"/>
      <c r="R35"/>
      <c r="S35"/>
      <c r="T35"/>
      <c r="U35"/>
      <c r="V35"/>
      <c r="W35"/>
      <c r="X35"/>
      <c r="Y35"/>
      <c r="Z35"/>
      <c r="AA35"/>
      <c r="AB35"/>
      <c r="AC35"/>
      <c r="AD35"/>
      <c r="AE35"/>
      <c r="AF35"/>
      <c r="AK35"/>
      <c r="AP35"/>
      <c r="AU35"/>
      <c r="AZ35"/>
      <c r="BE35"/>
    </row>
    <row r="36" spans="2:57" s="139" customFormat="1" ht="288">
      <c r="B36" s="152" t="s">
        <v>683</v>
      </c>
      <c r="C36" s="152" t="s">
        <v>684</v>
      </c>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K36"/>
      <c r="AP36"/>
      <c r="AR36"/>
      <c r="AS36" s="190"/>
      <c r="AT36" s="190"/>
      <c r="AU36"/>
      <c r="AW36"/>
      <c r="AX36" s="190"/>
      <c r="AY36" s="190"/>
      <c r="AZ36"/>
      <c r="BB36"/>
      <c r="BC36" s="190"/>
      <c r="BD36" s="190"/>
      <c r="BE36"/>
    </row>
    <row r="66" customFormat="1"/>
    <row r="67" customFormat="1"/>
  </sheetData>
  <mergeCells count="72">
    <mergeCell ref="BE28:BE29"/>
    <mergeCell ref="AB28:AE28"/>
    <mergeCell ref="AF28:AF29"/>
    <mergeCell ref="AG28:AJ28"/>
    <mergeCell ref="AK28:AK29"/>
    <mergeCell ref="AL28:AO28"/>
    <mergeCell ref="AP28:AP29"/>
    <mergeCell ref="AQ28:AT28"/>
    <mergeCell ref="AU28:AU29"/>
    <mergeCell ref="AV28:AY28"/>
    <mergeCell ref="AZ28:AZ29"/>
    <mergeCell ref="BA28:BD28"/>
    <mergeCell ref="AA28:AA29"/>
    <mergeCell ref="B28:B29"/>
    <mergeCell ref="C28:C29"/>
    <mergeCell ref="D28:F28"/>
    <mergeCell ref="G28:G29"/>
    <mergeCell ref="H28:K28"/>
    <mergeCell ref="L28:L29"/>
    <mergeCell ref="M28:P28"/>
    <mergeCell ref="Q28:Q29"/>
    <mergeCell ref="R28:U28"/>
    <mergeCell ref="V28:V29"/>
    <mergeCell ref="W28:Z28"/>
    <mergeCell ref="BE19:BE20"/>
    <mergeCell ref="AB19:AE19"/>
    <mergeCell ref="AF19:AF20"/>
    <mergeCell ref="AG19:AJ19"/>
    <mergeCell ref="AK19:AK20"/>
    <mergeCell ref="AL19:AO19"/>
    <mergeCell ref="AP19:AP20"/>
    <mergeCell ref="AQ19:AT19"/>
    <mergeCell ref="AU19:AU20"/>
    <mergeCell ref="AV19:AY19"/>
    <mergeCell ref="AZ19:AZ20"/>
    <mergeCell ref="BA19:BD19"/>
    <mergeCell ref="AA19:AA20"/>
    <mergeCell ref="B19:B20"/>
    <mergeCell ref="C19:C20"/>
    <mergeCell ref="D19:F19"/>
    <mergeCell ref="G19:G20"/>
    <mergeCell ref="H19:K19"/>
    <mergeCell ref="L19:L20"/>
    <mergeCell ref="M19:P19"/>
    <mergeCell ref="Q19:Q20"/>
    <mergeCell ref="R19:U19"/>
    <mergeCell ref="V19:V20"/>
    <mergeCell ref="W19:Z19"/>
    <mergeCell ref="BE2:BE3"/>
    <mergeCell ref="AB2:AE2"/>
    <mergeCell ref="AF2:AF3"/>
    <mergeCell ref="AG2:AJ2"/>
    <mergeCell ref="AK2:AK3"/>
    <mergeCell ref="AL2:AO2"/>
    <mergeCell ref="AP2:AP3"/>
    <mergeCell ref="AQ2:AT2"/>
    <mergeCell ref="AU2:AU3"/>
    <mergeCell ref="AV2:AY2"/>
    <mergeCell ref="AZ2:AZ3"/>
    <mergeCell ref="BA2:BD2"/>
    <mergeCell ref="AA2:AA3"/>
    <mergeCell ref="B2:B3"/>
    <mergeCell ref="C2:C3"/>
    <mergeCell ref="D2:F2"/>
    <mergeCell ref="G2:G3"/>
    <mergeCell ref="H2:K2"/>
    <mergeCell ref="L2:L3"/>
    <mergeCell ref="M2:P2"/>
    <mergeCell ref="Q2:Q3"/>
    <mergeCell ref="R2:U2"/>
    <mergeCell ref="V2:V3"/>
    <mergeCell ref="W2:Z2"/>
  </mergeCells>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6"/>
  <sheetViews>
    <sheetView showGridLines="0" topLeftCell="AJ1" zoomScaleNormal="100" zoomScaleSheetLayoutView="85" workbookViewId="0">
      <selection activeCell="BN36" sqref="BN36"/>
    </sheetView>
  </sheetViews>
  <sheetFormatPr defaultColWidth="9" defaultRowHeight="28.5" customHeight="1" outlineLevelRow="1" outlineLevelCol="1"/>
  <cols>
    <col min="1" max="2" width="40.625" style="1" customWidth="1"/>
    <col min="3" max="14" width="10.625" style="1" customWidth="1" outlineLevel="1"/>
    <col min="15" max="15" width="9" style="1" customWidth="1" outlineLevel="1"/>
    <col min="16" max="17" width="10.625" style="1" customWidth="1" outlineLevel="1"/>
    <col min="18" max="20" width="9" style="1" customWidth="1" outlineLevel="1"/>
    <col min="21" max="22" width="10.625" style="1" customWidth="1" outlineLevel="1"/>
    <col min="23" max="25" width="9" style="1" customWidth="1" outlineLevel="1"/>
    <col min="26" max="27" width="10.625" style="1" customWidth="1" outlineLevel="1"/>
    <col min="28" max="30" width="9" style="1" customWidth="1" outlineLevel="1"/>
    <col min="31" max="32" width="10.625" style="1" customWidth="1" outlineLevel="1"/>
    <col min="33" max="35" width="9" style="1"/>
    <col min="36" max="37" width="10.625" style="1" customWidth="1"/>
    <col min="38" max="16384" width="9" style="1"/>
  </cols>
  <sheetData>
    <row r="1" spans="1:53" s="9" customFormat="1" ht="89.25" customHeight="1">
      <c r="A1" s="3"/>
      <c r="B1" s="3"/>
      <c r="C1" s="3"/>
      <c r="AM1" s="10"/>
      <c r="AN1" s="10"/>
      <c r="AR1" s="10"/>
      <c r="AS1" s="10"/>
      <c r="AW1" s="10"/>
      <c r="AX1" s="10"/>
    </row>
    <row r="2" spans="1:53" s="33" customFormat="1" ht="12.75" thickBot="1">
      <c r="A2" s="864"/>
      <c r="B2" s="864"/>
      <c r="C2" s="864"/>
      <c r="D2" s="864"/>
      <c r="E2" s="864"/>
      <c r="F2" s="864"/>
      <c r="G2" s="864"/>
      <c r="H2" s="864"/>
      <c r="I2" s="864"/>
      <c r="J2" s="864"/>
      <c r="K2" s="864"/>
      <c r="L2" s="864"/>
      <c r="M2" s="864"/>
      <c r="N2" s="864"/>
      <c r="O2" s="864"/>
      <c r="AK2" s="77"/>
      <c r="AM2" s="1"/>
      <c r="AN2" s="1"/>
      <c r="AR2" s="1"/>
      <c r="AS2" s="1"/>
      <c r="AW2" s="1"/>
      <c r="AX2" s="1"/>
    </row>
    <row r="3" spans="1:53" s="342" customFormat="1" ht="20.100000000000001" customHeight="1">
      <c r="A3" s="207" t="s">
        <v>581</v>
      </c>
      <c r="B3" s="208" t="s">
        <v>582</v>
      </c>
      <c r="C3" s="862">
        <v>2012</v>
      </c>
      <c r="D3" s="863"/>
      <c r="E3" s="863"/>
      <c r="F3" s="863"/>
      <c r="G3" s="865">
        <v>2012</v>
      </c>
      <c r="H3" s="862">
        <v>2013</v>
      </c>
      <c r="I3" s="863"/>
      <c r="J3" s="863"/>
      <c r="K3" s="863"/>
      <c r="L3" s="865">
        <v>2013</v>
      </c>
      <c r="M3" s="862">
        <v>2014</v>
      </c>
      <c r="N3" s="863"/>
      <c r="O3" s="863"/>
      <c r="P3" s="863"/>
      <c r="Q3" s="865">
        <v>2014</v>
      </c>
      <c r="R3" s="862">
        <v>2015</v>
      </c>
      <c r="S3" s="863"/>
      <c r="T3" s="863"/>
      <c r="U3" s="863"/>
      <c r="V3" s="865">
        <v>2015</v>
      </c>
      <c r="W3" s="862">
        <v>2016</v>
      </c>
      <c r="X3" s="863"/>
      <c r="Y3" s="863"/>
      <c r="Z3" s="863"/>
      <c r="AA3" s="865">
        <v>2016</v>
      </c>
      <c r="AB3" s="862">
        <v>2017</v>
      </c>
      <c r="AC3" s="863"/>
      <c r="AD3" s="863"/>
      <c r="AE3" s="863"/>
      <c r="AF3" s="865">
        <v>2017</v>
      </c>
      <c r="AG3" s="862">
        <v>2018</v>
      </c>
      <c r="AH3" s="863"/>
      <c r="AI3" s="863"/>
      <c r="AJ3" s="863"/>
      <c r="AK3" s="865" t="s">
        <v>685</v>
      </c>
      <c r="AL3" s="862">
        <v>2019</v>
      </c>
      <c r="AM3" s="863"/>
      <c r="AN3" s="863"/>
      <c r="AO3" s="863"/>
      <c r="AP3" s="865" t="s">
        <v>24</v>
      </c>
      <c r="AQ3" s="862">
        <v>2020</v>
      </c>
      <c r="AR3" s="863"/>
      <c r="AS3" s="863"/>
      <c r="AT3" s="863"/>
      <c r="AU3" s="865" t="s">
        <v>25</v>
      </c>
      <c r="AV3" s="862">
        <v>2021</v>
      </c>
      <c r="AW3" s="863"/>
      <c r="AX3" s="863"/>
      <c r="AY3" s="863"/>
      <c r="AZ3" s="865" t="s">
        <v>26</v>
      </c>
    </row>
    <row r="4" spans="1:53" s="342" customFormat="1" ht="21.75" customHeight="1" thickBot="1">
      <c r="A4" s="209"/>
      <c r="B4" s="210"/>
      <c r="C4" s="291" t="s">
        <v>583</v>
      </c>
      <c r="D4" s="292" t="s">
        <v>584</v>
      </c>
      <c r="E4" s="292" t="s">
        <v>585</v>
      </c>
      <c r="F4" s="292" t="s">
        <v>586</v>
      </c>
      <c r="G4" s="866"/>
      <c r="H4" s="343" t="s">
        <v>583</v>
      </c>
      <c r="I4" s="344" t="s">
        <v>584</v>
      </c>
      <c r="J4" s="344" t="s">
        <v>585</v>
      </c>
      <c r="K4" s="344" t="s">
        <v>586</v>
      </c>
      <c r="L4" s="866"/>
      <c r="M4" s="343" t="s">
        <v>583</v>
      </c>
      <c r="N4" s="344" t="s">
        <v>584</v>
      </c>
      <c r="O4" s="344" t="s">
        <v>585</v>
      </c>
      <c r="P4" s="344" t="s">
        <v>586</v>
      </c>
      <c r="Q4" s="866"/>
      <c r="R4" s="343" t="s">
        <v>583</v>
      </c>
      <c r="S4" s="344" t="s">
        <v>584</v>
      </c>
      <c r="T4" s="344" t="s">
        <v>585</v>
      </c>
      <c r="U4" s="344" t="s">
        <v>586</v>
      </c>
      <c r="V4" s="866"/>
      <c r="W4" s="343" t="s">
        <v>583</v>
      </c>
      <c r="X4" s="292" t="s">
        <v>584</v>
      </c>
      <c r="Y4" s="292" t="s">
        <v>585</v>
      </c>
      <c r="Z4" s="344" t="s">
        <v>586</v>
      </c>
      <c r="AA4" s="866"/>
      <c r="AB4" s="343" t="s">
        <v>583</v>
      </c>
      <c r="AC4" s="292" t="s">
        <v>584</v>
      </c>
      <c r="AD4" s="292" t="s">
        <v>585</v>
      </c>
      <c r="AE4" s="344" t="s">
        <v>586</v>
      </c>
      <c r="AF4" s="866"/>
      <c r="AG4" s="343" t="s">
        <v>583</v>
      </c>
      <c r="AH4" s="292" t="s">
        <v>686</v>
      </c>
      <c r="AI4" s="292" t="s">
        <v>687</v>
      </c>
      <c r="AJ4" s="344" t="s">
        <v>688</v>
      </c>
      <c r="AK4" s="866"/>
      <c r="AL4" s="343" t="s">
        <v>689</v>
      </c>
      <c r="AM4" s="292" t="s">
        <v>686</v>
      </c>
      <c r="AN4" s="292" t="s">
        <v>687</v>
      </c>
      <c r="AO4" s="344" t="s">
        <v>688</v>
      </c>
      <c r="AP4" s="866"/>
      <c r="AQ4" s="343" t="s">
        <v>689</v>
      </c>
      <c r="AR4" s="292" t="s">
        <v>686</v>
      </c>
      <c r="AS4" s="292" t="s">
        <v>687</v>
      </c>
      <c r="AT4" s="344" t="s">
        <v>688</v>
      </c>
      <c r="AU4" s="866"/>
      <c r="AV4" s="343" t="s">
        <v>689</v>
      </c>
      <c r="AW4" s="292" t="s">
        <v>686</v>
      </c>
      <c r="AX4" s="292" t="s">
        <v>687</v>
      </c>
      <c r="AY4" s="344" t="s">
        <v>688</v>
      </c>
      <c r="AZ4" s="866"/>
    </row>
    <row r="5" spans="1:53" s="4" customFormat="1" ht="20.100000000000001" customHeight="1" thickBot="1">
      <c r="A5" s="202" t="s">
        <v>690</v>
      </c>
      <c r="B5" s="202" t="s">
        <v>691</v>
      </c>
      <c r="C5" s="294" t="s">
        <v>692</v>
      </c>
      <c r="D5" s="295" t="s">
        <v>692</v>
      </c>
      <c r="E5" s="295" t="s">
        <v>692</v>
      </c>
      <c r="F5" s="295" t="s">
        <v>692</v>
      </c>
      <c r="G5" s="296" t="s">
        <v>692</v>
      </c>
      <c r="H5" s="298">
        <f t="shared" ref="H5:AJ5" si="0">H7+H24</f>
        <v>16348336</v>
      </c>
      <c r="I5" s="299">
        <f t="shared" si="0"/>
        <v>16434266</v>
      </c>
      <c r="J5" s="299">
        <f t="shared" si="0"/>
        <v>16627551</v>
      </c>
      <c r="K5" s="299">
        <f t="shared" si="0"/>
        <v>16447334</v>
      </c>
      <c r="L5" s="335">
        <f t="shared" si="0"/>
        <v>16447334</v>
      </c>
      <c r="M5" s="298">
        <f t="shared" si="0"/>
        <v>16333003</v>
      </c>
      <c r="N5" s="299">
        <f t="shared" si="0"/>
        <v>16250497</v>
      </c>
      <c r="O5" s="299">
        <f t="shared" si="0"/>
        <v>16449992</v>
      </c>
      <c r="P5" s="299">
        <f t="shared" si="0"/>
        <v>16482031</v>
      </c>
      <c r="Q5" s="335">
        <f t="shared" si="0"/>
        <v>16482031</v>
      </c>
      <c r="R5" s="298">
        <f t="shared" si="0"/>
        <v>16429469</v>
      </c>
      <c r="S5" s="299">
        <f t="shared" si="0"/>
        <v>16349090</v>
      </c>
      <c r="T5" s="299">
        <f t="shared" si="0"/>
        <v>16395514</v>
      </c>
      <c r="U5" s="299">
        <f t="shared" si="0"/>
        <v>16469696</v>
      </c>
      <c r="V5" s="335">
        <f t="shared" si="0"/>
        <v>16469696</v>
      </c>
      <c r="W5" s="298">
        <f t="shared" si="0"/>
        <v>16531833</v>
      </c>
      <c r="X5" s="299">
        <f t="shared" si="0"/>
        <v>16711541</v>
      </c>
      <c r="Y5" s="299">
        <f t="shared" si="0"/>
        <v>16545653</v>
      </c>
      <c r="Z5" s="299">
        <f t="shared" si="0"/>
        <v>16524936</v>
      </c>
      <c r="AA5" s="335">
        <f t="shared" si="0"/>
        <v>16524936</v>
      </c>
      <c r="AB5" s="298">
        <f t="shared" si="0"/>
        <v>16216128</v>
      </c>
      <c r="AC5" s="299">
        <f t="shared" si="0"/>
        <v>16273840</v>
      </c>
      <c r="AD5" s="299">
        <f t="shared" si="0"/>
        <v>16410325</v>
      </c>
      <c r="AE5" s="299">
        <f t="shared" si="0"/>
        <v>16522597</v>
      </c>
      <c r="AF5" s="335">
        <f t="shared" si="0"/>
        <v>16522597</v>
      </c>
      <c r="AG5" s="298">
        <f>AG7+AG24</f>
        <v>16579337</v>
      </c>
      <c r="AH5" s="299">
        <f t="shared" si="0"/>
        <v>16698622</v>
      </c>
      <c r="AI5" s="299">
        <f>AI7+AI24</f>
        <v>16851153</v>
      </c>
      <c r="AJ5" s="299">
        <f t="shared" si="0"/>
        <v>16906133</v>
      </c>
      <c r="AK5" s="335">
        <f>AK7+AK24</f>
        <v>16906133</v>
      </c>
      <c r="AL5" s="298">
        <f t="shared" ref="AL5:AT5" si="1">AL7+AL24</f>
        <v>16973770</v>
      </c>
      <c r="AM5" s="299">
        <f t="shared" si="1"/>
        <v>17058921</v>
      </c>
      <c r="AN5" s="299">
        <f t="shared" si="1"/>
        <v>17266759</v>
      </c>
      <c r="AO5" s="299">
        <f t="shared" si="1"/>
        <v>17386252</v>
      </c>
      <c r="AP5" s="335">
        <f t="shared" si="1"/>
        <v>17386252</v>
      </c>
      <c r="AQ5" s="298">
        <f t="shared" si="1"/>
        <v>17435613</v>
      </c>
      <c r="AR5" s="299">
        <f>AR7+AR24</f>
        <v>17504720</v>
      </c>
      <c r="AS5" s="299">
        <f t="shared" si="1"/>
        <v>17840155</v>
      </c>
      <c r="AT5" s="299">
        <f t="shared" si="1"/>
        <v>17989701</v>
      </c>
      <c r="AU5" s="335">
        <f>AU7+AU24</f>
        <v>17989701</v>
      </c>
      <c r="AV5" s="298">
        <f t="shared" ref="AV5" si="2">AV7+AV24</f>
        <v>18094192</v>
      </c>
      <c r="AW5" s="299">
        <f>AW7+AW24</f>
        <v>18022621</v>
      </c>
      <c r="AX5" s="299">
        <f t="shared" ref="AX5:AY5" si="3">AX7+AX24</f>
        <v>18121078</v>
      </c>
      <c r="AY5" s="299">
        <f t="shared" si="3"/>
        <v>0</v>
      </c>
      <c r="AZ5" s="335">
        <f>AZ7+AZ24</f>
        <v>18121078</v>
      </c>
    </row>
    <row r="6" spans="1:53" s="293" customFormat="1" ht="20.100000000000001" customHeight="1" thickBot="1">
      <c r="A6" s="207" t="s">
        <v>693</v>
      </c>
      <c r="B6" s="207" t="s">
        <v>694</v>
      </c>
      <c r="C6" s="315"/>
      <c r="D6" s="316"/>
      <c r="E6" s="316"/>
      <c r="F6" s="316"/>
      <c r="G6" s="317"/>
      <c r="H6" s="318"/>
      <c r="I6" s="316"/>
      <c r="J6" s="316"/>
      <c r="K6" s="316"/>
      <c r="L6" s="317"/>
      <c r="M6" s="319"/>
      <c r="N6" s="316"/>
      <c r="O6" s="316"/>
      <c r="P6" s="316"/>
      <c r="Q6" s="317"/>
      <c r="R6" s="319"/>
      <c r="S6" s="316"/>
      <c r="T6" s="316"/>
      <c r="U6" s="316"/>
      <c r="V6" s="317"/>
      <c r="W6" s="319"/>
      <c r="X6" s="320"/>
      <c r="Y6" s="320"/>
      <c r="Z6" s="316"/>
      <c r="AA6" s="317"/>
      <c r="AB6" s="319"/>
      <c r="AC6" s="320"/>
      <c r="AD6" s="320"/>
      <c r="AE6" s="316"/>
      <c r="AF6" s="317"/>
      <c r="AG6" s="320"/>
      <c r="AH6" s="320"/>
      <c r="AI6" s="320"/>
      <c r="AJ6" s="320"/>
      <c r="AK6" s="317"/>
      <c r="AL6" s="320"/>
      <c r="AM6" s="320"/>
      <c r="AN6" s="320"/>
      <c r="AO6" s="320"/>
      <c r="AP6" s="317"/>
      <c r="AQ6" s="320"/>
      <c r="AR6" s="320"/>
      <c r="AS6" s="320"/>
      <c r="AT6" s="320"/>
      <c r="AU6" s="317"/>
      <c r="AV6" s="320"/>
      <c r="AW6" s="320"/>
      <c r="AX6" s="320"/>
      <c r="AY6" s="320"/>
      <c r="AZ6" s="317"/>
    </row>
    <row r="7" spans="1:53" ht="20.100000000000001" customHeight="1" thickBot="1">
      <c r="A7" s="303" t="s">
        <v>695</v>
      </c>
      <c r="B7" s="304" t="s">
        <v>696</v>
      </c>
      <c r="C7" s="305">
        <f>C8+C10+C11</f>
        <v>11532547</v>
      </c>
      <c r="D7" s="306">
        <f t="shared" ref="D7:N7" si="4">D8+D10+D11</f>
        <v>11516833</v>
      </c>
      <c r="E7" s="306">
        <f t="shared" si="4"/>
        <v>11605099</v>
      </c>
      <c r="F7" s="306">
        <f t="shared" si="4"/>
        <v>11735100</v>
      </c>
      <c r="G7" s="314">
        <f>SUM(G8,G10:G11)</f>
        <v>11735100</v>
      </c>
      <c r="H7" s="305">
        <f t="shared" si="4"/>
        <v>11799951</v>
      </c>
      <c r="I7" s="306">
        <f t="shared" si="4"/>
        <v>11868947</v>
      </c>
      <c r="J7" s="306">
        <f t="shared" si="4"/>
        <v>11908422</v>
      </c>
      <c r="K7" s="306">
        <f t="shared" si="4"/>
        <v>11978807</v>
      </c>
      <c r="L7" s="314">
        <f>SUM(L8,L10:L11)</f>
        <v>11978807</v>
      </c>
      <c r="M7" s="305">
        <f t="shared" si="4"/>
        <v>11982678</v>
      </c>
      <c r="N7" s="306">
        <f t="shared" si="4"/>
        <v>12023369</v>
      </c>
      <c r="O7" s="306">
        <f>O8+O10+O11</f>
        <v>12230798</v>
      </c>
      <c r="P7" s="306">
        <f>P8+P10+P11</f>
        <v>12347828</v>
      </c>
      <c r="Q7" s="314">
        <f>Q8+Q10+Q11</f>
        <v>12347828</v>
      </c>
      <c r="R7" s="305">
        <f t="shared" ref="R7:AJ7" si="5">R8+R10+R11</f>
        <v>12394712</v>
      </c>
      <c r="S7" s="306">
        <f t="shared" si="5"/>
        <v>12377021</v>
      </c>
      <c r="T7" s="306">
        <f t="shared" si="5"/>
        <v>12418707</v>
      </c>
      <c r="U7" s="306">
        <f t="shared" si="5"/>
        <v>12614703</v>
      </c>
      <c r="V7" s="314">
        <f t="shared" si="5"/>
        <v>12614703</v>
      </c>
      <c r="W7" s="305">
        <f t="shared" si="5"/>
        <v>12744166</v>
      </c>
      <c r="X7" s="306">
        <f t="shared" si="5"/>
        <v>12880725</v>
      </c>
      <c r="Y7" s="306">
        <f t="shared" si="5"/>
        <v>13017749</v>
      </c>
      <c r="Z7" s="306">
        <f t="shared" si="5"/>
        <v>13254598</v>
      </c>
      <c r="AA7" s="314">
        <f t="shared" si="5"/>
        <v>13254598</v>
      </c>
      <c r="AB7" s="305">
        <f t="shared" si="5"/>
        <v>13337038</v>
      </c>
      <c r="AC7" s="306">
        <f t="shared" si="5"/>
        <v>13419539</v>
      </c>
      <c r="AD7" s="306">
        <f t="shared" si="5"/>
        <v>13530164</v>
      </c>
      <c r="AE7" s="306">
        <f t="shared" si="5"/>
        <v>13685044</v>
      </c>
      <c r="AF7" s="314">
        <f t="shared" si="5"/>
        <v>13685044</v>
      </c>
      <c r="AG7" s="306">
        <f t="shared" si="5"/>
        <v>13796153</v>
      </c>
      <c r="AH7" s="306">
        <v>13929804</v>
      </c>
      <c r="AI7" s="306">
        <v>14057045</v>
      </c>
      <c r="AJ7" s="306">
        <f t="shared" si="5"/>
        <v>14259264</v>
      </c>
      <c r="AK7" s="314">
        <f>AK8+AK10+AK11</f>
        <v>14259264</v>
      </c>
      <c r="AL7" s="306">
        <f>SUM(AL8,AL10:AL11)</f>
        <v>14330995</v>
      </c>
      <c r="AM7" s="306">
        <f t="shared" ref="AM7:AP7" si="6">SUM(AM8,AM10:AM11)</f>
        <v>14451610</v>
      </c>
      <c r="AN7" s="306">
        <f t="shared" si="6"/>
        <v>14587869</v>
      </c>
      <c r="AO7" s="306">
        <f t="shared" si="6"/>
        <v>14728758</v>
      </c>
      <c r="AP7" s="314">
        <f t="shared" si="6"/>
        <v>14728758</v>
      </c>
      <c r="AQ7" s="306">
        <f>SUM(AQ8,AQ10:AQ11)</f>
        <v>14796975</v>
      </c>
      <c r="AR7" s="306">
        <f t="shared" ref="AR7:AT7" si="7">SUM(AR8,AR10:AR11)</f>
        <v>14979496</v>
      </c>
      <c r="AS7" s="306">
        <f t="shared" si="7"/>
        <v>15168916</v>
      </c>
      <c r="AT7" s="306">
        <f t="shared" si="7"/>
        <v>15371888</v>
      </c>
      <c r="AU7" s="314">
        <f>SUM(AU8,AU10:AU11)</f>
        <v>15371888</v>
      </c>
      <c r="AV7" s="306">
        <f>SUM(AV8,AV10:AV11)</f>
        <v>15358097</v>
      </c>
      <c r="AW7" s="306">
        <f t="shared" ref="AW7:AZ7" si="8">SUM(AW8,AW10:AW11)</f>
        <v>15426731</v>
      </c>
      <c r="AX7" s="306">
        <f t="shared" si="8"/>
        <v>15490364</v>
      </c>
      <c r="AY7" s="306">
        <f t="shared" si="8"/>
        <v>0</v>
      </c>
      <c r="AZ7" s="314">
        <f t="shared" si="8"/>
        <v>15490364</v>
      </c>
      <c r="BA7" s="271"/>
    </row>
    <row r="8" spans="1:53" ht="20.100000000000001" customHeight="1">
      <c r="A8" s="272" t="s">
        <v>697</v>
      </c>
      <c r="B8" s="272" t="s">
        <v>698</v>
      </c>
      <c r="C8" s="270">
        <v>3885022</v>
      </c>
      <c r="D8" s="80">
        <v>3868733</v>
      </c>
      <c r="E8" s="80">
        <v>3921673</v>
      </c>
      <c r="F8" s="80">
        <v>3994875</v>
      </c>
      <c r="G8" s="313">
        <f>F8</f>
        <v>3994875</v>
      </c>
      <c r="H8" s="270">
        <v>4047592</v>
      </c>
      <c r="I8" s="80">
        <v>4127560</v>
      </c>
      <c r="J8" s="80">
        <v>4160343</v>
      </c>
      <c r="K8" s="80">
        <v>4212323</v>
      </c>
      <c r="L8" s="313">
        <f>K8</f>
        <v>4212323</v>
      </c>
      <c r="M8" s="270">
        <v>4236986</v>
      </c>
      <c r="N8" s="80">
        <v>4255544</v>
      </c>
      <c r="O8" s="273">
        <v>4344773</v>
      </c>
      <c r="P8" s="80">
        <v>4391702</v>
      </c>
      <c r="Q8" s="313">
        <v>4391702</v>
      </c>
      <c r="R8" s="270">
        <v>4405464</v>
      </c>
      <c r="S8" s="80">
        <v>4374517</v>
      </c>
      <c r="T8" s="80">
        <v>4396361</v>
      </c>
      <c r="U8" s="80">
        <v>4503320</v>
      </c>
      <c r="V8" s="313">
        <f t="shared" ref="V8:V12" si="9">U8</f>
        <v>4503320</v>
      </c>
      <c r="W8" s="270">
        <v>4560267</v>
      </c>
      <c r="X8" s="80">
        <v>4632246</v>
      </c>
      <c r="Y8" s="80">
        <v>4679114</v>
      </c>
      <c r="Z8" s="80">
        <v>4766429</v>
      </c>
      <c r="AA8" s="313">
        <f t="shared" ref="AA8:AA12" si="10">Z8</f>
        <v>4766429</v>
      </c>
      <c r="AB8" s="270">
        <v>4785947</v>
      </c>
      <c r="AC8" s="80">
        <v>4835534</v>
      </c>
      <c r="AD8" s="80">
        <v>4882505</v>
      </c>
      <c r="AE8" s="80">
        <v>4942640</v>
      </c>
      <c r="AF8" s="313">
        <f t="shared" ref="AF8:AF12" si="11">AE8</f>
        <v>4942640</v>
      </c>
      <c r="AG8" s="80">
        <v>4984391</v>
      </c>
      <c r="AH8" s="80">
        <v>5027520</v>
      </c>
      <c r="AI8" s="80">
        <v>5038210</v>
      </c>
      <c r="AJ8" s="80">
        <v>5098917</v>
      </c>
      <c r="AK8" s="313">
        <v>5098917</v>
      </c>
      <c r="AL8" s="80">
        <v>5077221</v>
      </c>
      <c r="AM8" s="80">
        <v>5058740</v>
      </c>
      <c r="AN8" s="80">
        <v>5033398</v>
      </c>
      <c r="AO8" s="80">
        <v>5038448</v>
      </c>
      <c r="AP8" s="313">
        <f>AO8</f>
        <v>5038448</v>
      </c>
      <c r="AQ8" s="80">
        <v>4992356</v>
      </c>
      <c r="AR8" s="80">
        <v>5000734</v>
      </c>
      <c r="AS8" s="80">
        <v>5010376</v>
      </c>
      <c r="AT8" s="80">
        <v>5010358</v>
      </c>
      <c r="AU8" s="313">
        <f>AT8</f>
        <v>5010358</v>
      </c>
      <c r="AV8" s="80">
        <v>4985621</v>
      </c>
      <c r="AW8" s="80">
        <v>4961196</v>
      </c>
      <c r="AX8" s="80">
        <v>4922037</v>
      </c>
      <c r="AY8" s="79"/>
      <c r="AZ8" s="313">
        <f>AX8</f>
        <v>4922037</v>
      </c>
      <c r="BA8" s="271"/>
    </row>
    <row r="9" spans="1:53" ht="20.100000000000001" customHeight="1">
      <c r="A9" s="274" t="s">
        <v>699</v>
      </c>
      <c r="B9" s="274" t="s">
        <v>699</v>
      </c>
      <c r="C9" s="275">
        <v>394001</v>
      </c>
      <c r="D9" s="90">
        <v>416027</v>
      </c>
      <c r="E9" s="90">
        <v>470578</v>
      </c>
      <c r="F9" s="90">
        <v>510617</v>
      </c>
      <c r="G9" s="334">
        <f t="shared" ref="G9:G11" si="12">F9</f>
        <v>510617</v>
      </c>
      <c r="H9" s="275">
        <v>559997</v>
      </c>
      <c r="I9" s="90">
        <v>633475</v>
      </c>
      <c r="J9" s="90">
        <v>680316</v>
      </c>
      <c r="K9" s="90">
        <v>719935</v>
      </c>
      <c r="L9" s="334">
        <f>K9</f>
        <v>719935</v>
      </c>
      <c r="M9" s="275">
        <v>749319</v>
      </c>
      <c r="N9" s="90">
        <v>771481</v>
      </c>
      <c r="O9" s="276">
        <v>806064</v>
      </c>
      <c r="P9" s="90">
        <v>844809</v>
      </c>
      <c r="Q9" s="334">
        <v>844809</v>
      </c>
      <c r="R9" s="275">
        <v>872628</v>
      </c>
      <c r="S9" s="90">
        <v>886305</v>
      </c>
      <c r="T9" s="90">
        <v>901271</v>
      </c>
      <c r="U9" s="90">
        <v>936307</v>
      </c>
      <c r="V9" s="334">
        <f t="shared" si="9"/>
        <v>936307</v>
      </c>
      <c r="W9" s="275">
        <v>957952</v>
      </c>
      <c r="X9" s="90">
        <v>972771</v>
      </c>
      <c r="Y9" s="90">
        <v>982068</v>
      </c>
      <c r="Z9" s="90">
        <v>1021720</v>
      </c>
      <c r="AA9" s="334">
        <f t="shared" si="10"/>
        <v>1021720</v>
      </c>
      <c r="AB9" s="275">
        <v>1031294</v>
      </c>
      <c r="AC9" s="90">
        <v>1058982</v>
      </c>
      <c r="AD9" s="90">
        <v>1072513</v>
      </c>
      <c r="AE9" s="90">
        <v>1099582</v>
      </c>
      <c r="AF9" s="334">
        <f t="shared" si="11"/>
        <v>1099582</v>
      </c>
      <c r="AG9" s="90">
        <v>1114833</v>
      </c>
      <c r="AH9" s="90">
        <v>1127285</v>
      </c>
      <c r="AI9" s="90">
        <v>1141820</v>
      </c>
      <c r="AJ9" s="90">
        <v>1160353</v>
      </c>
      <c r="AK9" s="334">
        <v>1160353</v>
      </c>
      <c r="AL9" s="90">
        <v>1167983</v>
      </c>
      <c r="AM9" s="90">
        <v>1173866</v>
      </c>
      <c r="AN9" s="90">
        <v>1180891</v>
      </c>
      <c r="AO9" s="90">
        <v>1192984</v>
      </c>
      <c r="AP9" s="334">
        <f t="shared" ref="AP9:AP12" si="13">AO9</f>
        <v>1192984</v>
      </c>
      <c r="AQ9" s="90">
        <v>1187199</v>
      </c>
      <c r="AR9" s="90">
        <v>1197486</v>
      </c>
      <c r="AS9" s="90">
        <v>1200561</v>
      </c>
      <c r="AT9" s="90">
        <v>1208676</v>
      </c>
      <c r="AU9" s="334">
        <f>AT9</f>
        <v>1208676</v>
      </c>
      <c r="AV9" s="90">
        <v>1206068</v>
      </c>
      <c r="AW9" s="90">
        <v>1202991</v>
      </c>
      <c r="AX9" s="90">
        <v>1198803</v>
      </c>
      <c r="AY9" s="90"/>
      <c r="AZ9" s="334">
        <f t="shared" ref="AZ9:AZ11" si="14">AX9</f>
        <v>1198803</v>
      </c>
      <c r="BA9" s="271"/>
    </row>
    <row r="10" spans="1:53" ht="20.100000000000001" customHeight="1">
      <c r="A10" s="272" t="s">
        <v>593</v>
      </c>
      <c r="B10" s="272" t="s">
        <v>594</v>
      </c>
      <c r="C10" s="270">
        <v>6985015</v>
      </c>
      <c r="D10" s="80">
        <v>6978192</v>
      </c>
      <c r="E10" s="80">
        <v>6976594</v>
      </c>
      <c r="F10" s="80">
        <v>6979590</v>
      </c>
      <c r="G10" s="313">
        <f t="shared" si="12"/>
        <v>6979590</v>
      </c>
      <c r="H10" s="270">
        <v>6941638</v>
      </c>
      <c r="I10" s="80">
        <v>6891314</v>
      </c>
      <c r="J10" s="80">
        <v>6834719</v>
      </c>
      <c r="K10" s="80">
        <v>6778675</v>
      </c>
      <c r="L10" s="313">
        <f t="shared" ref="L10:L11" si="15">K10</f>
        <v>6778675</v>
      </c>
      <c r="M10" s="270">
        <v>6713629</v>
      </c>
      <c r="N10" s="80">
        <v>6644687</v>
      </c>
      <c r="O10" s="273">
        <v>6617382</v>
      </c>
      <c r="P10" s="80">
        <v>6587915</v>
      </c>
      <c r="Q10" s="313">
        <v>6587915</v>
      </c>
      <c r="R10" s="270">
        <v>6552365</v>
      </c>
      <c r="S10" s="80">
        <v>6519311</v>
      </c>
      <c r="T10" s="80">
        <v>6505016</v>
      </c>
      <c r="U10" s="80">
        <v>6516643</v>
      </c>
      <c r="V10" s="313">
        <f t="shared" si="9"/>
        <v>6516643</v>
      </c>
      <c r="W10" s="270">
        <v>6536366</v>
      </c>
      <c r="X10" s="80">
        <v>6559223</v>
      </c>
      <c r="Y10" s="80">
        <v>6616579</v>
      </c>
      <c r="Z10" s="80">
        <v>6730427</v>
      </c>
      <c r="AA10" s="313">
        <f t="shared" si="10"/>
        <v>6730427</v>
      </c>
      <c r="AB10" s="270">
        <v>6785002</v>
      </c>
      <c r="AC10" s="80">
        <v>6810999</v>
      </c>
      <c r="AD10" s="80">
        <v>6864787</v>
      </c>
      <c r="AE10" s="80">
        <v>6932676</v>
      </c>
      <c r="AF10" s="313">
        <f t="shared" si="11"/>
        <v>6932676</v>
      </c>
      <c r="AG10" s="80">
        <v>6997850</v>
      </c>
      <c r="AH10" s="80">
        <v>7098239</v>
      </c>
      <c r="AI10" s="80">
        <v>7209240</v>
      </c>
      <c r="AJ10" s="80">
        <v>7345213</v>
      </c>
      <c r="AK10" s="313">
        <v>7345213</v>
      </c>
      <c r="AL10" s="80">
        <v>7452479</v>
      </c>
      <c r="AM10" s="80">
        <v>7597611</v>
      </c>
      <c r="AN10" s="80">
        <v>7752113</v>
      </c>
      <c r="AO10" s="80">
        <v>7894581</v>
      </c>
      <c r="AP10" s="313">
        <f t="shared" si="13"/>
        <v>7894581</v>
      </c>
      <c r="AQ10" s="80">
        <v>8016501</v>
      </c>
      <c r="AR10" s="80">
        <v>8188807</v>
      </c>
      <c r="AS10" s="80">
        <v>8366901.0000000009</v>
      </c>
      <c r="AT10" s="80">
        <v>8534841</v>
      </c>
      <c r="AU10" s="313">
        <f>AT10</f>
        <v>8534841</v>
      </c>
      <c r="AV10" s="80">
        <v>8551871</v>
      </c>
      <c r="AW10" s="80">
        <v>8649761</v>
      </c>
      <c r="AX10" s="80">
        <v>8781111</v>
      </c>
      <c r="AY10" s="80"/>
      <c r="AZ10" s="313">
        <f t="shared" si="14"/>
        <v>8781111</v>
      </c>
      <c r="BA10" s="271"/>
    </row>
    <row r="11" spans="1:53" ht="20.100000000000001" customHeight="1" thickBot="1">
      <c r="A11" s="272" t="s">
        <v>596</v>
      </c>
      <c r="B11" s="272" t="s">
        <v>596</v>
      </c>
      <c r="C11" s="270">
        <v>662510</v>
      </c>
      <c r="D11" s="80">
        <v>669908</v>
      </c>
      <c r="E11" s="80">
        <v>706832</v>
      </c>
      <c r="F11" s="80">
        <v>760635</v>
      </c>
      <c r="G11" s="313">
        <f t="shared" si="12"/>
        <v>760635</v>
      </c>
      <c r="H11" s="270">
        <v>810721</v>
      </c>
      <c r="I11" s="80">
        <v>850073</v>
      </c>
      <c r="J11" s="80">
        <v>913360</v>
      </c>
      <c r="K11" s="80">
        <v>987809</v>
      </c>
      <c r="L11" s="313">
        <f t="shared" si="15"/>
        <v>987809</v>
      </c>
      <c r="M11" s="277">
        <v>1032063</v>
      </c>
      <c r="N11" s="81">
        <v>1123138</v>
      </c>
      <c r="O11" s="273">
        <v>1268643</v>
      </c>
      <c r="P11" s="1">
        <v>1368211</v>
      </c>
      <c r="Q11" s="313">
        <v>1368211</v>
      </c>
      <c r="R11" s="277">
        <v>1436883</v>
      </c>
      <c r="S11" s="81">
        <v>1483193</v>
      </c>
      <c r="T11" s="81">
        <v>1517330</v>
      </c>
      <c r="U11" s="80">
        <v>1594740</v>
      </c>
      <c r="V11" s="313">
        <f t="shared" si="9"/>
        <v>1594740</v>
      </c>
      <c r="W11" s="277">
        <v>1647533</v>
      </c>
      <c r="X11" s="81">
        <v>1689256</v>
      </c>
      <c r="Y11" s="81">
        <v>1722056</v>
      </c>
      <c r="Z11" s="80">
        <v>1757742</v>
      </c>
      <c r="AA11" s="313">
        <f t="shared" si="10"/>
        <v>1757742</v>
      </c>
      <c r="AB11" s="277">
        <v>1766089</v>
      </c>
      <c r="AC11" s="81">
        <v>1773006</v>
      </c>
      <c r="AD11" s="81">
        <v>1782872</v>
      </c>
      <c r="AE11" s="81">
        <v>1809728</v>
      </c>
      <c r="AF11" s="313">
        <f t="shared" si="11"/>
        <v>1809728</v>
      </c>
      <c r="AG11" s="81">
        <v>1813912</v>
      </c>
      <c r="AH11" s="81">
        <v>1804045</v>
      </c>
      <c r="AI11" s="81">
        <v>1809595</v>
      </c>
      <c r="AJ11" s="81">
        <v>1815134</v>
      </c>
      <c r="AK11" s="313">
        <v>1815134</v>
      </c>
      <c r="AL11" s="81">
        <v>1801295</v>
      </c>
      <c r="AM11" s="81">
        <v>1795259</v>
      </c>
      <c r="AN11" s="81">
        <v>1802358</v>
      </c>
      <c r="AO11" s="81">
        <v>1795729</v>
      </c>
      <c r="AP11" s="313">
        <f t="shared" si="13"/>
        <v>1795729</v>
      </c>
      <c r="AQ11" s="81">
        <v>1788118</v>
      </c>
      <c r="AR11" s="81">
        <v>1789955</v>
      </c>
      <c r="AS11" s="81">
        <v>1791639</v>
      </c>
      <c r="AT11" s="81">
        <v>1826689</v>
      </c>
      <c r="AU11" s="313">
        <f>AT11</f>
        <v>1826689</v>
      </c>
      <c r="AV11" s="81">
        <v>1820605</v>
      </c>
      <c r="AW11" s="81">
        <v>1815774</v>
      </c>
      <c r="AX11" s="80">
        <v>1787216</v>
      </c>
      <c r="AY11" s="81"/>
      <c r="AZ11" s="313">
        <f t="shared" si="14"/>
        <v>1787216</v>
      </c>
      <c r="BA11" s="271"/>
    </row>
    <row r="12" spans="1:53" ht="20.100000000000001" customHeight="1" thickBot="1">
      <c r="A12" s="202" t="s">
        <v>700</v>
      </c>
      <c r="B12" s="202" t="s">
        <v>701</v>
      </c>
      <c r="C12" s="298">
        <v>6282300</v>
      </c>
      <c r="D12" s="299">
        <v>6264412</v>
      </c>
      <c r="E12" s="299">
        <v>6281184</v>
      </c>
      <c r="F12" s="299">
        <v>6313423</v>
      </c>
      <c r="G12" s="300">
        <f>F12</f>
        <v>6313423</v>
      </c>
      <c r="H12" s="298">
        <v>6318321</v>
      </c>
      <c r="I12" s="299">
        <v>6306877</v>
      </c>
      <c r="J12" s="299">
        <v>6285607</v>
      </c>
      <c r="K12" s="299">
        <v>6287658</v>
      </c>
      <c r="L12" s="300">
        <f>K12</f>
        <v>6287658</v>
      </c>
      <c r="M12" s="298">
        <v>6260662</v>
      </c>
      <c r="N12" s="299">
        <v>6221111</v>
      </c>
      <c r="O12" s="299">
        <v>6184775</v>
      </c>
      <c r="P12" s="299">
        <v>6137531</v>
      </c>
      <c r="Q12" s="300">
        <v>6137531</v>
      </c>
      <c r="R12" s="298">
        <v>6068839</v>
      </c>
      <c r="S12" s="299">
        <v>5990051</v>
      </c>
      <c r="T12" s="299">
        <v>5937768</v>
      </c>
      <c r="U12" s="299">
        <v>5916103</v>
      </c>
      <c r="V12" s="300">
        <f t="shared" si="9"/>
        <v>5916103</v>
      </c>
      <c r="W12" s="298">
        <v>5893225</v>
      </c>
      <c r="X12" s="299">
        <v>5862310</v>
      </c>
      <c r="Y12" s="299">
        <v>5860884</v>
      </c>
      <c r="Z12" s="299">
        <v>5882804</v>
      </c>
      <c r="AA12" s="300">
        <f t="shared" si="10"/>
        <v>5882804</v>
      </c>
      <c r="AB12" s="298">
        <v>5847401</v>
      </c>
      <c r="AC12" s="299">
        <v>5819386</v>
      </c>
      <c r="AD12" s="299">
        <v>5791841</v>
      </c>
      <c r="AE12" s="299">
        <v>5776598</v>
      </c>
      <c r="AF12" s="300">
        <f t="shared" si="11"/>
        <v>5776598</v>
      </c>
      <c r="AG12" s="298">
        <v>5743832</v>
      </c>
      <c r="AH12" s="299">
        <v>5724492</v>
      </c>
      <c r="AI12" s="299">
        <v>5712151</v>
      </c>
      <c r="AJ12" s="299">
        <v>5706147</v>
      </c>
      <c r="AK12" s="300">
        <v>5706147</v>
      </c>
      <c r="AL12" s="298">
        <v>5672790</v>
      </c>
      <c r="AM12" s="299">
        <v>5652912</v>
      </c>
      <c r="AN12" s="299">
        <v>5644291</v>
      </c>
      <c r="AO12" s="299">
        <v>5637734</v>
      </c>
      <c r="AP12" s="300">
        <f t="shared" si="13"/>
        <v>5637734</v>
      </c>
      <c r="AQ12" s="298">
        <v>5601300</v>
      </c>
      <c r="AR12" s="299">
        <v>5587104</v>
      </c>
      <c r="AS12" s="299">
        <v>5569734</v>
      </c>
      <c r="AT12" s="299">
        <v>5548417</v>
      </c>
      <c r="AU12" s="300">
        <f>AT12</f>
        <v>5548417</v>
      </c>
      <c r="AV12" s="298">
        <v>5504797</v>
      </c>
      <c r="AW12" s="299">
        <v>5472855</v>
      </c>
      <c r="AX12" s="299">
        <v>5446111</v>
      </c>
      <c r="AY12" s="299"/>
      <c r="AZ12" s="300">
        <f>AX12</f>
        <v>5446111</v>
      </c>
      <c r="BA12" s="271"/>
    </row>
    <row r="13" spans="1:53" s="312" customFormat="1" ht="20.100000000000001" customHeight="1" thickBot="1">
      <c r="A13" s="310" t="s">
        <v>702</v>
      </c>
      <c r="B13" s="311" t="s">
        <v>703</v>
      </c>
      <c r="C13" s="308"/>
      <c r="D13" s="309"/>
      <c r="E13" s="309"/>
      <c r="F13" s="309"/>
      <c r="G13" s="307"/>
      <c r="H13" s="308"/>
      <c r="I13" s="309"/>
      <c r="J13" s="309"/>
      <c r="K13" s="309"/>
      <c r="L13" s="307"/>
      <c r="M13" s="308"/>
      <c r="N13" s="309"/>
      <c r="O13" s="309"/>
      <c r="P13" s="309"/>
      <c r="Q13" s="307"/>
      <c r="R13" s="308"/>
      <c r="S13" s="309"/>
      <c r="T13" s="309"/>
      <c r="U13" s="309"/>
      <c r="V13" s="307"/>
      <c r="W13" s="308"/>
      <c r="X13" s="309"/>
      <c r="Y13" s="309"/>
      <c r="Z13" s="309"/>
      <c r="AA13" s="307"/>
      <c r="AB13" s="308">
        <v>80.3</v>
      </c>
      <c r="AC13" s="309">
        <v>81.2</v>
      </c>
      <c r="AD13" s="309">
        <v>80.5</v>
      </c>
      <c r="AE13" s="309">
        <v>81.900000000000006</v>
      </c>
      <c r="AF13" s="307"/>
      <c r="AG13" s="309">
        <v>81.900000000000006</v>
      </c>
      <c r="AH13" s="309">
        <v>82.9</v>
      </c>
      <c r="AI13" s="309">
        <v>84</v>
      </c>
      <c r="AJ13" s="309">
        <v>84</v>
      </c>
      <c r="AK13" s="307">
        <v>83.2</v>
      </c>
      <c r="AL13" s="309">
        <v>82.9</v>
      </c>
      <c r="AM13" s="309">
        <v>83.4</v>
      </c>
      <c r="AN13" s="309">
        <v>84.8</v>
      </c>
      <c r="AO13" s="309">
        <v>85.6</v>
      </c>
      <c r="AP13" s="307">
        <v>84.2</v>
      </c>
      <c r="AQ13" s="309">
        <v>85.4</v>
      </c>
      <c r="AR13" s="309">
        <v>86.5</v>
      </c>
      <c r="AS13" s="309">
        <v>86.9</v>
      </c>
      <c r="AT13" s="309">
        <v>89.9</v>
      </c>
      <c r="AU13" s="307">
        <v>87.2</v>
      </c>
      <c r="AV13" s="309">
        <v>90.5</v>
      </c>
      <c r="AW13" s="309">
        <v>91.427769176968681</v>
      </c>
      <c r="AX13" s="309">
        <v>90.3</v>
      </c>
      <c r="AY13" s="309"/>
      <c r="AZ13" s="307">
        <v>90.737123963303631</v>
      </c>
    </row>
    <row r="14" spans="1:53" ht="20.100000000000001" hidden="1" customHeight="1" outlineLevel="1">
      <c r="A14" s="279" t="s">
        <v>704</v>
      </c>
      <c r="B14" s="279" t="s">
        <v>705</v>
      </c>
      <c r="C14" s="280">
        <v>92.5</v>
      </c>
      <c r="D14" s="91">
        <v>94.4</v>
      </c>
      <c r="E14" s="91">
        <v>93.8</v>
      </c>
      <c r="F14" s="91">
        <v>93.8</v>
      </c>
      <c r="G14" s="297">
        <v>93.6</v>
      </c>
      <c r="H14" s="280">
        <v>89.1</v>
      </c>
      <c r="I14" s="91">
        <v>90.3</v>
      </c>
      <c r="J14" s="91">
        <v>87.6</v>
      </c>
      <c r="K14" s="91">
        <v>87.1</v>
      </c>
      <c r="L14" s="297">
        <v>88.5</v>
      </c>
      <c r="M14" s="280">
        <v>84.8</v>
      </c>
      <c r="N14" s="91">
        <v>85.3</v>
      </c>
      <c r="O14" s="278">
        <v>86.5</v>
      </c>
      <c r="P14" s="91">
        <v>87.2</v>
      </c>
      <c r="Q14" s="297">
        <v>85.9</v>
      </c>
      <c r="R14" s="280">
        <v>85.8</v>
      </c>
      <c r="S14" s="91">
        <v>87</v>
      </c>
      <c r="T14" s="91">
        <v>88.1</v>
      </c>
      <c r="U14" s="91">
        <v>88.3</v>
      </c>
      <c r="V14" s="297">
        <v>87.3</v>
      </c>
      <c r="W14" s="280">
        <v>87</v>
      </c>
      <c r="X14" s="91">
        <v>88.4</v>
      </c>
      <c r="Y14" s="91">
        <v>88.6</v>
      </c>
      <c r="Z14" s="91">
        <v>90.7</v>
      </c>
      <c r="AA14" s="297">
        <v>88.7</v>
      </c>
      <c r="AB14" s="280">
        <v>89.1</v>
      </c>
      <c r="AC14" s="91">
        <v>89.6</v>
      </c>
      <c r="AD14" s="91">
        <v>88.4</v>
      </c>
      <c r="AE14" s="91">
        <v>89</v>
      </c>
      <c r="AF14" s="297">
        <v>89</v>
      </c>
      <c r="AG14" s="280">
        <v>88.7</v>
      </c>
      <c r="AH14" s="91">
        <v>89.6</v>
      </c>
      <c r="AI14" s="91">
        <v>90.1</v>
      </c>
      <c r="AJ14" s="91">
        <v>90.5</v>
      </c>
      <c r="AK14" s="297">
        <v>89.7</v>
      </c>
      <c r="AL14" s="280"/>
      <c r="AM14" s="91"/>
      <c r="AN14" s="91"/>
      <c r="AO14" s="91"/>
      <c r="AP14" s="297"/>
      <c r="AQ14" s="280"/>
      <c r="AR14" s="91"/>
      <c r="AS14" s="91"/>
      <c r="AT14" s="91">
        <v>6.4768102002308398E-2</v>
      </c>
      <c r="AU14" s="297"/>
      <c r="AV14" s="280"/>
      <c r="AW14" s="280">
        <v>7.00890484236706E-2</v>
      </c>
      <c r="AX14" s="91">
        <v>7.0767951058226197E-2</v>
      </c>
      <c r="AY14" s="91"/>
      <c r="AZ14" s="297"/>
      <c r="BA14" s="271"/>
    </row>
    <row r="15" spans="1:53" ht="20.100000000000001" customHeight="1" collapsed="1">
      <c r="A15" s="281" t="s">
        <v>706</v>
      </c>
      <c r="B15" s="281" t="s">
        <v>707</v>
      </c>
      <c r="C15" s="270" t="s">
        <v>692</v>
      </c>
      <c r="D15" s="80" t="s">
        <v>692</v>
      </c>
      <c r="E15" s="80" t="s">
        <v>692</v>
      </c>
      <c r="F15" s="82">
        <v>8.4252884188563901E-2</v>
      </c>
      <c r="G15" s="301">
        <f>F15</f>
        <v>8.4252884188563901E-2</v>
      </c>
      <c r="H15" s="282">
        <v>8.6500864834109098E-2</v>
      </c>
      <c r="I15" s="82">
        <v>8.7995678097648605E-2</v>
      </c>
      <c r="J15" s="82">
        <v>8.95665783401738E-2</v>
      </c>
      <c r="K15" s="82">
        <v>9.1612274770678806E-2</v>
      </c>
      <c r="L15" s="301">
        <f>K15</f>
        <v>9.1612274770678806E-2</v>
      </c>
      <c r="M15" s="282">
        <v>9.0641340484564806E-2</v>
      </c>
      <c r="N15" s="82">
        <v>8.7627794752018207E-2</v>
      </c>
      <c r="O15" s="283">
        <f>8.8%</f>
        <v>8.8000000000000009E-2</v>
      </c>
      <c r="P15" s="82">
        <v>9.0976359886998898E-2</v>
      </c>
      <c r="Q15" s="301">
        <v>9.0999999999999998E-2</v>
      </c>
      <c r="R15" s="282">
        <v>9.5000000000000001E-2</v>
      </c>
      <c r="S15" s="82">
        <v>0.10100000000000001</v>
      </c>
      <c r="T15" s="82">
        <v>0.10199999999999999</v>
      </c>
      <c r="U15" s="82">
        <v>0.1</v>
      </c>
      <c r="V15" s="301">
        <v>0.1</v>
      </c>
      <c r="W15" s="282">
        <v>9.8000000000000004E-2</v>
      </c>
      <c r="X15" s="82">
        <v>0.09</v>
      </c>
      <c r="Y15" s="82">
        <v>8.5000000000000006E-2</v>
      </c>
      <c r="Z15" s="82">
        <v>8.3000000000000004E-2</v>
      </c>
      <c r="AA15" s="301">
        <v>8.3000000000000004E-2</v>
      </c>
      <c r="AB15" s="282">
        <v>8.5000000000000006E-2</v>
      </c>
      <c r="AC15" s="82">
        <v>8.5999999999999993E-2</v>
      </c>
      <c r="AD15" s="82">
        <v>8.7999999999999995E-2</v>
      </c>
      <c r="AE15" s="82">
        <v>8.7999999999999995E-2</v>
      </c>
      <c r="AF15" s="301">
        <v>8.7999999999999995E-2</v>
      </c>
      <c r="AG15" s="82">
        <v>8.5000000000000006E-2</v>
      </c>
      <c r="AH15" s="82">
        <v>8.3000000000000004E-2</v>
      </c>
      <c r="AI15" s="82">
        <v>7.9000000000000001E-2</v>
      </c>
      <c r="AJ15" s="82">
        <v>7.5999999999999998E-2</v>
      </c>
      <c r="AK15" s="301">
        <v>7.5999999999999998E-2</v>
      </c>
      <c r="AL15" s="82">
        <v>7.1999999999999995E-2</v>
      </c>
      <c r="AM15" s="82">
        <v>7.0000000000000007E-2</v>
      </c>
      <c r="AN15" s="82">
        <v>6.8000000000000005E-2</v>
      </c>
      <c r="AO15" s="82">
        <v>6.4000000000000001E-2</v>
      </c>
      <c r="AP15" s="301">
        <f>AO15:AO16</f>
        <v>6.4000000000000001E-2</v>
      </c>
      <c r="AQ15" s="82">
        <v>6.6000000000000003E-2</v>
      </c>
      <c r="AR15" s="82">
        <v>6.4000000000000001E-2</v>
      </c>
      <c r="AS15" s="82">
        <v>6.0999999999999999E-2</v>
      </c>
      <c r="AT15" s="82">
        <v>6.5000000000000002E-2</v>
      </c>
      <c r="AU15" s="301">
        <f>AT15</f>
        <v>6.5000000000000002E-2</v>
      </c>
      <c r="AV15" s="82">
        <v>6.7000000000000004E-2</v>
      </c>
      <c r="AW15" s="82">
        <v>7.00890484236706E-2</v>
      </c>
      <c r="AX15" s="82">
        <v>7.0999999999999994E-2</v>
      </c>
      <c r="AY15" s="82"/>
      <c r="AZ15" s="301">
        <f t="shared" ref="AZ15:AZ16" si="16">AX15</f>
        <v>7.0999999999999994E-2</v>
      </c>
      <c r="BA15" s="271"/>
    </row>
    <row r="16" spans="1:53" ht="20.100000000000001" customHeight="1" thickBot="1">
      <c r="A16" s="281" t="s">
        <v>708</v>
      </c>
      <c r="B16" s="281" t="s">
        <v>709</v>
      </c>
      <c r="C16" s="328">
        <f t="shared" ref="C16:N16" si="17">C7/C12</f>
        <v>1.8357205163713926</v>
      </c>
      <c r="D16" s="329">
        <f t="shared" si="17"/>
        <v>1.838453952262399</v>
      </c>
      <c r="E16" s="329">
        <f t="shared" si="17"/>
        <v>1.8475973638091163</v>
      </c>
      <c r="F16" s="329">
        <f t="shared" si="17"/>
        <v>1.858753959619053</v>
      </c>
      <c r="G16" s="302">
        <f t="shared" si="17"/>
        <v>1.858753959619053</v>
      </c>
      <c r="H16" s="328">
        <f t="shared" si="17"/>
        <v>1.8675770034475931</v>
      </c>
      <c r="I16" s="329">
        <f t="shared" si="17"/>
        <v>1.8819055770391591</v>
      </c>
      <c r="J16" s="329">
        <f t="shared" si="17"/>
        <v>1.8945540184106324</v>
      </c>
      <c r="K16" s="329">
        <f t="shared" si="17"/>
        <v>1.9051301772456453</v>
      </c>
      <c r="L16" s="302">
        <f t="shared" si="17"/>
        <v>1.9051301772456453</v>
      </c>
      <c r="M16" s="328">
        <f t="shared" si="17"/>
        <v>1.9139634115369908</v>
      </c>
      <c r="N16" s="329">
        <f t="shared" si="17"/>
        <v>1.9326723152825918</v>
      </c>
      <c r="O16" s="330">
        <v>1.98</v>
      </c>
      <c r="P16" s="329">
        <v>2.0099999999999998</v>
      </c>
      <c r="Q16" s="302">
        <v>2.0099999999999998</v>
      </c>
      <c r="R16" s="328">
        <f>R7/R12</f>
        <v>2.0423530760990696</v>
      </c>
      <c r="S16" s="329">
        <v>2.0699999999999998</v>
      </c>
      <c r="T16" s="329">
        <v>2.09</v>
      </c>
      <c r="U16" s="329">
        <v>2.13</v>
      </c>
      <c r="V16" s="302">
        <v>2.13</v>
      </c>
      <c r="W16" s="328">
        <v>2.16</v>
      </c>
      <c r="X16" s="329">
        <v>2.2000000000000002</v>
      </c>
      <c r="Y16" s="329">
        <v>2.2200000000000002</v>
      </c>
      <c r="Z16" s="329">
        <v>2.25</v>
      </c>
      <c r="AA16" s="302">
        <f>Z16</f>
        <v>2.25</v>
      </c>
      <c r="AB16" s="328">
        <v>2.2799999999999998</v>
      </c>
      <c r="AC16" s="329">
        <v>2.31</v>
      </c>
      <c r="AD16" s="329">
        <v>2.34</v>
      </c>
      <c r="AE16" s="329">
        <v>2.37</v>
      </c>
      <c r="AF16" s="302">
        <v>2.37</v>
      </c>
      <c r="AG16" s="329">
        <v>2.4</v>
      </c>
      <c r="AH16" s="329">
        <v>2.4300000000000002</v>
      </c>
      <c r="AI16" s="329">
        <v>2.46</v>
      </c>
      <c r="AJ16" s="329">
        <v>2.5</v>
      </c>
      <c r="AK16" s="302">
        <v>2.5</v>
      </c>
      <c r="AL16" s="329">
        <v>2.5299999999999998</v>
      </c>
      <c r="AM16" s="329">
        <v>2.56</v>
      </c>
      <c r="AN16" s="329">
        <v>2.58</v>
      </c>
      <c r="AO16" s="329">
        <v>2.61</v>
      </c>
      <c r="AP16" s="302">
        <f>AO16</f>
        <v>2.61</v>
      </c>
      <c r="AQ16" s="329">
        <v>2.64</v>
      </c>
      <c r="AR16" s="329">
        <v>2.68</v>
      </c>
      <c r="AS16" s="329">
        <v>2.72</v>
      </c>
      <c r="AT16" s="329">
        <v>2.77</v>
      </c>
      <c r="AU16" s="302">
        <f>AT16</f>
        <v>2.77</v>
      </c>
      <c r="AV16" s="329">
        <v>2.79</v>
      </c>
      <c r="AW16" s="329">
        <v>2.8187721034085502</v>
      </c>
      <c r="AX16" s="329">
        <v>2.84</v>
      </c>
      <c r="AY16" s="329"/>
      <c r="AZ16" s="302">
        <f t="shared" si="16"/>
        <v>2.84</v>
      </c>
      <c r="BA16" s="271"/>
    </row>
    <row r="17" spans="1:53" ht="20.100000000000001" customHeight="1" thickBot="1">
      <c r="A17" s="303" t="s">
        <v>710</v>
      </c>
      <c r="B17" s="304" t="s">
        <v>711</v>
      </c>
      <c r="C17" s="331">
        <f>C18+C20+C21</f>
        <v>11497022</v>
      </c>
      <c r="D17" s="332">
        <f t="shared" ref="D17:N17" si="18">D18+D20+D21</f>
        <v>11521707</v>
      </c>
      <c r="E17" s="332">
        <f t="shared" si="18"/>
        <v>11558288</v>
      </c>
      <c r="F17" s="332">
        <f t="shared" si="18"/>
        <v>11659474</v>
      </c>
      <c r="G17" s="333">
        <f t="shared" si="18"/>
        <v>11559122.75</v>
      </c>
      <c r="H17" s="331">
        <f t="shared" si="18"/>
        <v>11772318</v>
      </c>
      <c r="I17" s="332">
        <f t="shared" si="18"/>
        <v>11846507</v>
      </c>
      <c r="J17" s="332">
        <f t="shared" si="18"/>
        <v>11884574</v>
      </c>
      <c r="K17" s="332">
        <f t="shared" si="18"/>
        <v>11924710</v>
      </c>
      <c r="L17" s="333">
        <f t="shared" si="18"/>
        <v>11857027.25</v>
      </c>
      <c r="M17" s="331">
        <f t="shared" si="18"/>
        <v>11986199</v>
      </c>
      <c r="N17" s="332">
        <f t="shared" si="18"/>
        <v>11981389</v>
      </c>
      <c r="O17" s="332">
        <f>O18+O20+O21</f>
        <v>12125363</v>
      </c>
      <c r="P17" s="332">
        <f>P18+P20+P21</f>
        <v>12272311</v>
      </c>
      <c r="Q17" s="333">
        <f>Q18+Q20+Q21</f>
        <v>12091316</v>
      </c>
      <c r="R17" s="331">
        <f t="shared" ref="R17:AJ17" si="19">R18+R20+R21</f>
        <v>12376603</v>
      </c>
      <c r="S17" s="332">
        <f t="shared" si="19"/>
        <v>12391326</v>
      </c>
      <c r="T17" s="332">
        <f t="shared" si="19"/>
        <v>12378586</v>
      </c>
      <c r="U17" s="332">
        <f t="shared" si="19"/>
        <v>12496080</v>
      </c>
      <c r="V17" s="333">
        <f t="shared" si="19"/>
        <v>12410649</v>
      </c>
      <c r="W17" s="331">
        <f t="shared" si="19"/>
        <v>12675864</v>
      </c>
      <c r="X17" s="332">
        <f t="shared" si="19"/>
        <v>12809438</v>
      </c>
      <c r="Y17" s="332">
        <f t="shared" si="19"/>
        <v>12940680</v>
      </c>
      <c r="Z17" s="332">
        <f t="shared" si="19"/>
        <v>13119033</v>
      </c>
      <c r="AA17" s="333">
        <f t="shared" si="19"/>
        <v>12886254</v>
      </c>
      <c r="AB17" s="331">
        <f t="shared" si="19"/>
        <v>13313971</v>
      </c>
      <c r="AC17" s="332">
        <f t="shared" si="19"/>
        <v>13379081</v>
      </c>
      <c r="AD17" s="332">
        <f t="shared" si="19"/>
        <v>13467835</v>
      </c>
      <c r="AE17" s="332">
        <f t="shared" si="19"/>
        <v>13596202</v>
      </c>
      <c r="AF17" s="333">
        <f t="shared" si="19"/>
        <v>13439272</v>
      </c>
      <c r="AG17" s="332">
        <f t="shared" si="19"/>
        <v>13741811</v>
      </c>
      <c r="AH17" s="332">
        <f t="shared" si="19"/>
        <v>13858205</v>
      </c>
      <c r="AI17" s="332">
        <f t="shared" si="19"/>
        <v>13995952</v>
      </c>
      <c r="AJ17" s="332">
        <f t="shared" si="19"/>
        <v>14159632</v>
      </c>
      <c r="AK17" s="333">
        <f>AK18+AK20+AK21</f>
        <v>13938900</v>
      </c>
      <c r="AL17" s="332">
        <f>AL18+AL20+AL21</f>
        <v>14283823</v>
      </c>
      <c r="AM17" s="332">
        <f t="shared" ref="AM17:AP17" si="20">AM18+AM20+AM21</f>
        <v>14381445</v>
      </c>
      <c r="AN17" s="332">
        <f t="shared" si="20"/>
        <v>14515058</v>
      </c>
      <c r="AO17" s="332">
        <f t="shared" si="20"/>
        <v>14660255</v>
      </c>
      <c r="AP17" s="336">
        <f t="shared" si="20"/>
        <v>14460145</v>
      </c>
      <c r="AQ17" s="332">
        <f>AQ18+AQ20+AQ21</f>
        <v>14774076</v>
      </c>
      <c r="AR17" s="332">
        <f t="shared" ref="AR17:AU17" si="21">AR18+AR20+AR21</f>
        <v>14867672</v>
      </c>
      <c r="AS17" s="332">
        <f t="shared" si="21"/>
        <v>15080830</v>
      </c>
      <c r="AT17" s="332">
        <f t="shared" si="21"/>
        <v>15265725</v>
      </c>
      <c r="AU17" s="336">
        <f t="shared" si="21"/>
        <v>14997076</v>
      </c>
      <c r="AV17" s="332">
        <f>AV18+AV20+AV21</f>
        <v>15350346</v>
      </c>
      <c r="AW17" s="332">
        <f t="shared" ref="AW17:AZ17" si="22">AW18+AW20+AW21</f>
        <v>15390843.999999998</v>
      </c>
      <c r="AX17" s="332">
        <f t="shared" si="22"/>
        <v>15454487</v>
      </c>
      <c r="AY17" s="332">
        <f t="shared" si="22"/>
        <v>0</v>
      </c>
      <c r="AZ17" s="336">
        <f t="shared" si="22"/>
        <v>15398559.11111111</v>
      </c>
      <c r="BA17" s="271"/>
    </row>
    <row r="18" spans="1:53" ht="20.100000000000001" customHeight="1">
      <c r="A18" s="272" t="s">
        <v>697</v>
      </c>
      <c r="B18" s="272" t="s">
        <v>698</v>
      </c>
      <c r="C18" s="270">
        <v>3858338</v>
      </c>
      <c r="D18" s="80">
        <v>3879834</v>
      </c>
      <c r="E18" s="80">
        <v>3894623</v>
      </c>
      <c r="F18" s="80">
        <v>3955082</v>
      </c>
      <c r="G18" s="313">
        <f>AVERAGE(C18:F18)</f>
        <v>3896969.25</v>
      </c>
      <c r="H18" s="270">
        <v>4018307</v>
      </c>
      <c r="I18" s="80">
        <v>4098051</v>
      </c>
      <c r="J18" s="80">
        <v>4144131</v>
      </c>
      <c r="K18" s="80">
        <v>4175145</v>
      </c>
      <c r="L18" s="313">
        <f>AVERAGE(H18:K18)</f>
        <v>4108908.5</v>
      </c>
      <c r="M18" s="270">
        <v>4227450</v>
      </c>
      <c r="N18" s="80">
        <v>4243880</v>
      </c>
      <c r="O18" s="273">
        <v>4301558</v>
      </c>
      <c r="P18" s="80">
        <v>4361890</v>
      </c>
      <c r="Q18" s="313">
        <v>4283695</v>
      </c>
      <c r="R18" s="270">
        <v>4403541</v>
      </c>
      <c r="S18" s="80">
        <v>4397999</v>
      </c>
      <c r="T18" s="80">
        <v>4376405</v>
      </c>
      <c r="U18" s="80">
        <v>4441918</v>
      </c>
      <c r="V18" s="313">
        <v>4404966</v>
      </c>
      <c r="W18" s="270">
        <v>4532806</v>
      </c>
      <c r="X18" s="80">
        <v>4595313</v>
      </c>
      <c r="Y18" s="80">
        <v>4654591</v>
      </c>
      <c r="Z18" s="80">
        <v>4712813</v>
      </c>
      <c r="AA18" s="313">
        <v>4623881</v>
      </c>
      <c r="AB18" s="270">
        <v>4781680</v>
      </c>
      <c r="AC18" s="80">
        <v>4817543</v>
      </c>
      <c r="AD18" s="80">
        <v>4856979</v>
      </c>
      <c r="AE18" s="80">
        <v>4905839</v>
      </c>
      <c r="AF18" s="313">
        <v>4840510</v>
      </c>
      <c r="AG18" s="80">
        <v>4963830</v>
      </c>
      <c r="AH18" s="80">
        <v>5013604</v>
      </c>
      <c r="AI18" s="80">
        <v>5029344</v>
      </c>
      <c r="AJ18" s="80">
        <v>5070219</v>
      </c>
      <c r="AK18" s="313">
        <v>5019249</v>
      </c>
      <c r="AL18" s="80">
        <v>5090723</v>
      </c>
      <c r="AM18" s="80">
        <v>5066146</v>
      </c>
      <c r="AN18" s="80">
        <v>5036833</v>
      </c>
      <c r="AO18" s="80">
        <v>5039351</v>
      </c>
      <c r="AP18" s="313">
        <v>5058263</v>
      </c>
      <c r="AQ18" s="80">
        <v>5018607</v>
      </c>
      <c r="AR18" s="80">
        <v>4995884</v>
      </c>
      <c r="AS18" s="80">
        <v>5007407</v>
      </c>
      <c r="AT18" s="80">
        <v>5009102</v>
      </c>
      <c r="AU18" s="313">
        <v>5007750</v>
      </c>
      <c r="AV18" s="80">
        <v>4996954</v>
      </c>
      <c r="AW18" s="80">
        <v>4973593.833333333</v>
      </c>
      <c r="AX18" s="80">
        <v>4944068</v>
      </c>
      <c r="AY18" s="80"/>
      <c r="AZ18" s="313">
        <v>4971538.5</v>
      </c>
      <c r="BA18" s="271"/>
    </row>
    <row r="19" spans="1:53" ht="20.100000000000001" customHeight="1">
      <c r="A19" s="274" t="s">
        <v>699</v>
      </c>
      <c r="B19" s="274" t="s">
        <v>699</v>
      </c>
      <c r="C19" s="275">
        <v>358652</v>
      </c>
      <c r="D19" s="90">
        <v>406943</v>
      </c>
      <c r="E19" s="90">
        <v>443743.5</v>
      </c>
      <c r="F19" s="90">
        <v>494506</v>
      </c>
      <c r="G19" s="334">
        <f>AVERAGE(C19:F19)</f>
        <v>425961.125</v>
      </c>
      <c r="H19" s="275">
        <v>535271</v>
      </c>
      <c r="I19" s="90">
        <v>600411</v>
      </c>
      <c r="J19" s="90">
        <v>658475</v>
      </c>
      <c r="K19" s="90">
        <v>697978</v>
      </c>
      <c r="L19" s="334">
        <f t="shared" ref="L19:L21" si="23">AVERAGE(H19:K19)</f>
        <v>623033.75</v>
      </c>
      <c r="M19" s="284">
        <v>736315</v>
      </c>
      <c r="N19" s="90">
        <v>759922</v>
      </c>
      <c r="O19" s="276">
        <v>787736</v>
      </c>
      <c r="P19" s="90">
        <v>822568</v>
      </c>
      <c r="Q19" s="334">
        <v>776635</v>
      </c>
      <c r="R19" s="284">
        <v>860827</v>
      </c>
      <c r="S19" s="90">
        <v>881296</v>
      </c>
      <c r="T19" s="90">
        <v>893001</v>
      </c>
      <c r="U19" s="90">
        <v>915940</v>
      </c>
      <c r="V19" s="334">
        <v>887766</v>
      </c>
      <c r="W19" s="284">
        <v>948366</v>
      </c>
      <c r="X19" s="83">
        <v>964197</v>
      </c>
      <c r="Y19" s="83">
        <v>977142</v>
      </c>
      <c r="Z19" s="90">
        <v>995820</v>
      </c>
      <c r="AA19" s="334">
        <v>971381</v>
      </c>
      <c r="AB19" s="284">
        <v>1029294</v>
      </c>
      <c r="AC19" s="80">
        <v>1051692</v>
      </c>
      <c r="AD19" s="83">
        <v>1064544</v>
      </c>
      <c r="AE19" s="83">
        <v>1082951</v>
      </c>
      <c r="AF19" s="334">
        <v>1057120</v>
      </c>
      <c r="AG19" s="83">
        <v>1108316</v>
      </c>
      <c r="AH19" s="83">
        <v>1121333</v>
      </c>
      <c r="AI19" s="83">
        <v>1134327</v>
      </c>
      <c r="AJ19" s="83">
        <v>1149795</v>
      </c>
      <c r="AK19" s="334">
        <v>1128443</v>
      </c>
      <c r="AL19" s="83">
        <v>1164591</v>
      </c>
      <c r="AM19" s="83">
        <v>1171425</v>
      </c>
      <c r="AN19" s="83">
        <v>1177222</v>
      </c>
      <c r="AO19" s="83">
        <v>1185919</v>
      </c>
      <c r="AP19" s="334">
        <v>1174789</v>
      </c>
      <c r="AQ19" s="83">
        <v>1193663</v>
      </c>
      <c r="AR19" s="83">
        <v>1193706</v>
      </c>
      <c r="AS19" s="83">
        <v>1199160</v>
      </c>
      <c r="AT19" s="83">
        <v>1203210</v>
      </c>
      <c r="AU19" s="334">
        <v>1197435</v>
      </c>
      <c r="AV19" s="83">
        <v>1207961</v>
      </c>
      <c r="AW19" s="83">
        <v>1204404.5</v>
      </c>
      <c r="AX19" s="83">
        <v>1201462</v>
      </c>
      <c r="AY19" s="83"/>
      <c r="AZ19" s="334">
        <v>1204609.1666666667</v>
      </c>
      <c r="BA19" s="271"/>
    </row>
    <row r="20" spans="1:53" ht="20.100000000000001" customHeight="1">
      <c r="A20" s="272" t="s">
        <v>593</v>
      </c>
      <c r="B20" s="272" t="s">
        <v>594</v>
      </c>
      <c r="C20" s="270">
        <v>6986951</v>
      </c>
      <c r="D20" s="80">
        <v>6977393</v>
      </c>
      <c r="E20" s="80">
        <v>6978772</v>
      </c>
      <c r="F20" s="80">
        <v>6974525</v>
      </c>
      <c r="G20" s="313">
        <f t="shared" ref="G20:G21" si="24">AVERAGE(C20:F20)</f>
        <v>6979410.25</v>
      </c>
      <c r="H20" s="270">
        <v>6965606</v>
      </c>
      <c r="I20" s="80">
        <v>6917102</v>
      </c>
      <c r="J20" s="80">
        <v>6862047</v>
      </c>
      <c r="K20" s="80">
        <v>6801845</v>
      </c>
      <c r="L20" s="313">
        <f t="shared" si="23"/>
        <v>6886650</v>
      </c>
      <c r="M20" s="285">
        <v>6749396</v>
      </c>
      <c r="N20" s="80">
        <v>6670820</v>
      </c>
      <c r="O20" s="273">
        <v>6628199</v>
      </c>
      <c r="P20" s="80">
        <v>6597742</v>
      </c>
      <c r="Q20" s="313">
        <v>6661539</v>
      </c>
      <c r="R20" s="285">
        <v>6570344</v>
      </c>
      <c r="S20" s="80">
        <v>6532488</v>
      </c>
      <c r="T20" s="80">
        <v>6508391</v>
      </c>
      <c r="U20" s="80">
        <v>6502872</v>
      </c>
      <c r="V20" s="313">
        <v>6528524</v>
      </c>
      <c r="W20" s="285">
        <v>6523316</v>
      </c>
      <c r="X20" s="84">
        <v>6546774</v>
      </c>
      <c r="Y20" s="84">
        <v>6579908</v>
      </c>
      <c r="Z20" s="80">
        <v>6667869</v>
      </c>
      <c r="AA20" s="313">
        <v>6579467</v>
      </c>
      <c r="AB20" s="285">
        <v>6769379</v>
      </c>
      <c r="AC20" s="80">
        <v>6790804</v>
      </c>
      <c r="AD20" s="84">
        <v>6836282</v>
      </c>
      <c r="AE20" s="84">
        <v>6894295</v>
      </c>
      <c r="AF20" s="313">
        <v>6822690</v>
      </c>
      <c r="AG20" s="84">
        <v>6963584</v>
      </c>
      <c r="AH20" s="84">
        <v>7036346</v>
      </c>
      <c r="AI20" s="84">
        <v>7161022</v>
      </c>
      <c r="AJ20" s="84">
        <v>7276732</v>
      </c>
      <c r="AK20" s="313">
        <v>7109421</v>
      </c>
      <c r="AL20" s="84">
        <v>7384746</v>
      </c>
      <c r="AM20" s="84">
        <v>7519107</v>
      </c>
      <c r="AN20" s="84">
        <v>7679532</v>
      </c>
      <c r="AO20" s="84">
        <v>7823962</v>
      </c>
      <c r="AP20" s="313">
        <v>7601837</v>
      </c>
      <c r="AQ20" s="84">
        <v>7964689</v>
      </c>
      <c r="AR20" s="84">
        <v>8082768</v>
      </c>
      <c r="AS20" s="84">
        <v>8283242</v>
      </c>
      <c r="AT20" s="84">
        <v>8452883</v>
      </c>
      <c r="AU20" s="313">
        <v>8195896</v>
      </c>
      <c r="AV20" s="84">
        <v>8529814</v>
      </c>
      <c r="AW20" s="84">
        <v>8598959</v>
      </c>
      <c r="AX20" s="84">
        <v>8715614</v>
      </c>
      <c r="AY20" s="83"/>
      <c r="AZ20" s="313">
        <v>8614795.666666666</v>
      </c>
      <c r="BA20" s="271"/>
    </row>
    <row r="21" spans="1:53" ht="20.100000000000001" customHeight="1" thickBot="1">
      <c r="A21" s="272" t="s">
        <v>596</v>
      </c>
      <c r="B21" s="272" t="s">
        <v>596</v>
      </c>
      <c r="C21" s="270">
        <v>651733</v>
      </c>
      <c r="D21" s="80">
        <v>664480</v>
      </c>
      <c r="E21" s="80">
        <v>684893</v>
      </c>
      <c r="F21" s="80">
        <v>729867</v>
      </c>
      <c r="G21" s="313">
        <f t="shared" si="24"/>
        <v>682743.25</v>
      </c>
      <c r="H21" s="270">
        <v>788405</v>
      </c>
      <c r="I21" s="80">
        <v>831354</v>
      </c>
      <c r="J21" s="80">
        <v>878396</v>
      </c>
      <c r="K21" s="80">
        <v>947720</v>
      </c>
      <c r="L21" s="313">
        <f t="shared" si="23"/>
        <v>861468.75</v>
      </c>
      <c r="M21" s="285">
        <v>1009353</v>
      </c>
      <c r="N21" s="80">
        <v>1066689</v>
      </c>
      <c r="O21" s="273">
        <v>1195606</v>
      </c>
      <c r="P21" s="80">
        <v>1312679</v>
      </c>
      <c r="Q21" s="313">
        <v>1146082</v>
      </c>
      <c r="R21" s="285">
        <v>1402718</v>
      </c>
      <c r="S21" s="80">
        <v>1460839</v>
      </c>
      <c r="T21" s="80">
        <v>1493790</v>
      </c>
      <c r="U21" s="80">
        <v>1551290</v>
      </c>
      <c r="V21" s="313">
        <v>1477159</v>
      </c>
      <c r="W21" s="285">
        <v>1619742</v>
      </c>
      <c r="X21" s="84">
        <v>1667351</v>
      </c>
      <c r="Y21" s="84">
        <v>1706181</v>
      </c>
      <c r="Z21" s="80">
        <v>1738351</v>
      </c>
      <c r="AA21" s="313">
        <v>1682906</v>
      </c>
      <c r="AB21" s="285">
        <v>1762912</v>
      </c>
      <c r="AC21" s="80">
        <v>1770734</v>
      </c>
      <c r="AD21" s="84">
        <v>1774574</v>
      </c>
      <c r="AE21" s="84">
        <v>1796068</v>
      </c>
      <c r="AF21" s="313">
        <v>1776072</v>
      </c>
      <c r="AG21" s="84">
        <v>1814397</v>
      </c>
      <c r="AH21" s="84">
        <v>1808255</v>
      </c>
      <c r="AI21" s="84">
        <v>1805586</v>
      </c>
      <c r="AJ21" s="84">
        <v>1812681</v>
      </c>
      <c r="AK21" s="313">
        <v>1810230</v>
      </c>
      <c r="AL21" s="84">
        <v>1808354</v>
      </c>
      <c r="AM21" s="84">
        <v>1796192</v>
      </c>
      <c r="AN21" s="84">
        <v>1798693</v>
      </c>
      <c r="AO21" s="84">
        <v>1796942</v>
      </c>
      <c r="AP21" s="313">
        <v>1800045</v>
      </c>
      <c r="AQ21" s="84">
        <v>1790780</v>
      </c>
      <c r="AR21" s="84">
        <v>1789020</v>
      </c>
      <c r="AS21" s="84">
        <v>1790181</v>
      </c>
      <c r="AT21" s="84">
        <v>1803740</v>
      </c>
      <c r="AU21" s="313">
        <v>1793430</v>
      </c>
      <c r="AV21" s="84">
        <v>1823578</v>
      </c>
      <c r="AW21" s="84">
        <v>1818291.1666666667</v>
      </c>
      <c r="AX21" s="84">
        <v>1794805</v>
      </c>
      <c r="AY21" s="84"/>
      <c r="AZ21" s="313">
        <v>1812224.9444444445</v>
      </c>
      <c r="BA21" s="271"/>
    </row>
    <row r="22" spans="1:53" ht="20.100000000000001" customHeight="1">
      <c r="A22" s="321" t="s">
        <v>712</v>
      </c>
      <c r="B22" s="322" t="s">
        <v>713</v>
      </c>
      <c r="C22" s="323">
        <v>6288609</v>
      </c>
      <c r="D22" s="324">
        <v>6272029</v>
      </c>
      <c r="E22" s="324">
        <v>6271838</v>
      </c>
      <c r="F22" s="324">
        <v>6291791</v>
      </c>
      <c r="G22" s="325">
        <f>AVERAGE(C22:F22)</f>
        <v>6281066.75</v>
      </c>
      <c r="H22" s="323">
        <v>6316275</v>
      </c>
      <c r="I22" s="324">
        <v>6317333</v>
      </c>
      <c r="J22" s="324">
        <v>6293472</v>
      </c>
      <c r="K22" s="324">
        <v>6279979</v>
      </c>
      <c r="L22" s="325">
        <f>AVERAGE(H22:K22)</f>
        <v>6301764.75</v>
      </c>
      <c r="M22" s="323">
        <v>6274951</v>
      </c>
      <c r="N22" s="324">
        <v>6242450</v>
      </c>
      <c r="O22" s="324">
        <v>6201335</v>
      </c>
      <c r="P22" s="324">
        <v>6159902.666666667</v>
      </c>
      <c r="Q22" s="325">
        <v>6219660</v>
      </c>
      <c r="R22" s="323">
        <v>6105250</v>
      </c>
      <c r="S22" s="324">
        <v>6031638</v>
      </c>
      <c r="T22" s="324">
        <v>5960463</v>
      </c>
      <c r="U22" s="324">
        <v>5922397</v>
      </c>
      <c r="V22" s="325">
        <v>6004937</v>
      </c>
      <c r="W22" s="323">
        <v>5902526</v>
      </c>
      <c r="X22" s="324">
        <v>5876458</v>
      </c>
      <c r="Y22" s="324">
        <v>5858477</v>
      </c>
      <c r="Z22" s="324">
        <v>5868541</v>
      </c>
      <c r="AA22" s="325">
        <v>5876500</v>
      </c>
      <c r="AB22" s="323">
        <v>5872517</v>
      </c>
      <c r="AC22" s="324">
        <v>5828405</v>
      </c>
      <c r="AD22" s="324">
        <v>5803517</v>
      </c>
      <c r="AE22" s="324">
        <v>5781207</v>
      </c>
      <c r="AF22" s="325">
        <v>5821411</v>
      </c>
      <c r="AG22" s="324">
        <v>5760338</v>
      </c>
      <c r="AH22" s="324">
        <v>5732091</v>
      </c>
      <c r="AI22" s="324">
        <v>5717882</v>
      </c>
      <c r="AJ22" s="324">
        <v>5708353</v>
      </c>
      <c r="AK22" s="325">
        <v>5729666</v>
      </c>
      <c r="AL22" s="324">
        <v>5688071</v>
      </c>
      <c r="AM22" s="324">
        <v>5662168</v>
      </c>
      <c r="AN22" s="324">
        <v>5649225</v>
      </c>
      <c r="AO22" s="324">
        <v>5641301</v>
      </c>
      <c r="AP22" s="325">
        <v>5660191</v>
      </c>
      <c r="AQ22" s="324">
        <v>5625993</v>
      </c>
      <c r="AR22" s="324">
        <v>5591571</v>
      </c>
      <c r="AS22" s="324">
        <v>5579661</v>
      </c>
      <c r="AT22" s="324">
        <v>5558348</v>
      </c>
      <c r="AU22" s="325">
        <v>5588893</v>
      </c>
      <c r="AV22" s="324">
        <v>5526063</v>
      </c>
      <c r="AW22" s="324">
        <v>5487976.333333333</v>
      </c>
      <c r="AX22" s="324">
        <v>5461033</v>
      </c>
      <c r="AY22" s="324"/>
      <c r="AZ22" s="325">
        <v>5491690.888888889</v>
      </c>
      <c r="BA22" s="271"/>
    </row>
    <row r="23" spans="1:53" s="293" customFormat="1" ht="20.100000000000001" customHeight="1" thickBot="1">
      <c r="A23" s="326" t="s">
        <v>608</v>
      </c>
      <c r="B23" s="326" t="s">
        <v>609</v>
      </c>
      <c r="C23" s="315"/>
      <c r="D23" s="316"/>
      <c r="E23" s="316"/>
      <c r="F23" s="316"/>
      <c r="G23" s="327"/>
      <c r="H23" s="315"/>
      <c r="I23" s="316"/>
      <c r="J23" s="316"/>
      <c r="K23" s="316"/>
      <c r="L23" s="327"/>
      <c r="M23" s="319"/>
      <c r="N23" s="316"/>
      <c r="O23" s="316"/>
      <c r="P23" s="316"/>
      <c r="Q23" s="327"/>
      <c r="R23" s="319"/>
      <c r="S23" s="316"/>
      <c r="T23" s="316"/>
      <c r="U23" s="316"/>
      <c r="V23" s="327"/>
      <c r="W23" s="319"/>
      <c r="X23" s="320"/>
      <c r="Y23" s="320"/>
      <c r="Z23" s="316"/>
      <c r="AA23" s="327"/>
      <c r="AB23" s="319"/>
      <c r="AC23" s="320"/>
      <c r="AD23" s="320"/>
      <c r="AE23" s="316"/>
      <c r="AF23" s="327"/>
      <c r="AG23" s="320"/>
      <c r="AH23" s="320"/>
      <c r="AI23" s="320"/>
      <c r="AJ23" s="320"/>
      <c r="AK23" s="327"/>
      <c r="AL23" s="320"/>
      <c r="AM23" s="320"/>
      <c r="AN23" s="320"/>
      <c r="AO23" s="320"/>
      <c r="AP23" s="327"/>
      <c r="AQ23" s="320"/>
      <c r="AR23" s="320"/>
      <c r="AS23" s="320"/>
      <c r="AT23" s="320"/>
      <c r="AU23" s="327"/>
      <c r="AV23" s="320"/>
      <c r="AW23" s="320"/>
      <c r="AX23" s="320"/>
      <c r="AY23" s="320"/>
      <c r="AZ23" s="327"/>
    </row>
    <row r="24" spans="1:53" s="271" customFormat="1" ht="20.100000000000001" customHeight="1" thickBot="1">
      <c r="A24" s="340" t="s">
        <v>695</v>
      </c>
      <c r="B24" s="341" t="s">
        <v>714</v>
      </c>
      <c r="C24" s="305" t="s">
        <v>692</v>
      </c>
      <c r="D24" s="306" t="s">
        <v>692</v>
      </c>
      <c r="E24" s="306" t="s">
        <v>692</v>
      </c>
      <c r="F24" s="306" t="s">
        <v>692</v>
      </c>
      <c r="G24" s="314" t="s">
        <v>692</v>
      </c>
      <c r="H24" s="305">
        <f>SUM(H25:H27)</f>
        <v>4548385</v>
      </c>
      <c r="I24" s="306">
        <f t="shared" ref="I24:N24" si="25">SUM(I25:I27)</f>
        <v>4565319</v>
      </c>
      <c r="J24" s="306">
        <f t="shared" si="25"/>
        <v>4719129</v>
      </c>
      <c r="K24" s="306">
        <f t="shared" si="25"/>
        <v>4468527</v>
      </c>
      <c r="L24" s="314">
        <f t="shared" si="25"/>
        <v>4468527</v>
      </c>
      <c r="M24" s="305">
        <f t="shared" si="25"/>
        <v>4350325</v>
      </c>
      <c r="N24" s="306">
        <f t="shared" si="25"/>
        <v>4227128</v>
      </c>
      <c r="O24" s="306">
        <f>SUM(O25:O27)</f>
        <v>4219194</v>
      </c>
      <c r="P24" s="306">
        <f>SUM(P25:P27)</f>
        <v>4134203</v>
      </c>
      <c r="Q24" s="314">
        <f>SUM(Q25:Q27)</f>
        <v>4134203</v>
      </c>
      <c r="R24" s="305">
        <f t="shared" ref="R24:AK24" si="26">SUM(R25:R27)</f>
        <v>4034757</v>
      </c>
      <c r="S24" s="306">
        <f t="shared" si="26"/>
        <v>3972069</v>
      </c>
      <c r="T24" s="306">
        <f t="shared" si="26"/>
        <v>3976807</v>
      </c>
      <c r="U24" s="306">
        <f t="shared" si="26"/>
        <v>3854993</v>
      </c>
      <c r="V24" s="314">
        <f t="shared" si="26"/>
        <v>3854993</v>
      </c>
      <c r="W24" s="305">
        <f t="shared" si="26"/>
        <v>3787667</v>
      </c>
      <c r="X24" s="306">
        <f t="shared" si="26"/>
        <v>3830816</v>
      </c>
      <c r="Y24" s="306">
        <f t="shared" si="26"/>
        <v>3527904</v>
      </c>
      <c r="Z24" s="306">
        <f t="shared" si="26"/>
        <v>3270338</v>
      </c>
      <c r="AA24" s="314">
        <f t="shared" si="26"/>
        <v>3270338</v>
      </c>
      <c r="AB24" s="305">
        <f t="shared" si="26"/>
        <v>2879090</v>
      </c>
      <c r="AC24" s="306">
        <f t="shared" si="26"/>
        <v>2854301</v>
      </c>
      <c r="AD24" s="306">
        <f t="shared" si="26"/>
        <v>2880161</v>
      </c>
      <c r="AE24" s="306">
        <f t="shared" si="26"/>
        <v>2837553</v>
      </c>
      <c r="AF24" s="314">
        <f t="shared" si="26"/>
        <v>2837553</v>
      </c>
      <c r="AG24" s="306">
        <f t="shared" si="26"/>
        <v>2783184</v>
      </c>
      <c r="AH24" s="306">
        <f t="shared" si="26"/>
        <v>2768818</v>
      </c>
      <c r="AI24" s="306">
        <f>SUM(AI25:AI27)</f>
        <v>2794108</v>
      </c>
      <c r="AJ24" s="306">
        <f t="shared" si="26"/>
        <v>2646869</v>
      </c>
      <c r="AK24" s="314">
        <f t="shared" si="26"/>
        <v>2646869</v>
      </c>
      <c r="AL24" s="306">
        <f>SUM(AL25:AL27)</f>
        <v>2642775</v>
      </c>
      <c r="AM24" s="306">
        <f t="shared" ref="AM24:AP24" si="27">SUM(AM25:AM27)</f>
        <v>2607311</v>
      </c>
      <c r="AN24" s="306">
        <f t="shared" si="27"/>
        <v>2678890</v>
      </c>
      <c r="AO24" s="306">
        <f t="shared" si="27"/>
        <v>2657494</v>
      </c>
      <c r="AP24" s="314">
        <f t="shared" si="27"/>
        <v>2657494</v>
      </c>
      <c r="AQ24" s="306">
        <f>SUM(AQ25:AQ27)</f>
        <v>2638638</v>
      </c>
      <c r="AR24" s="306">
        <f>SUM(AR25:AR27)</f>
        <v>2525224</v>
      </c>
      <c r="AS24" s="306">
        <f t="shared" ref="AS24:AU24" si="28">SUM(AS25:AS27)</f>
        <v>2671239</v>
      </c>
      <c r="AT24" s="306">
        <f t="shared" si="28"/>
        <v>2617813</v>
      </c>
      <c r="AU24" s="314">
        <f t="shared" si="28"/>
        <v>2617813</v>
      </c>
      <c r="AV24" s="306">
        <f>SUM(AV25:AV27)</f>
        <v>2736095</v>
      </c>
      <c r="AW24" s="306">
        <f>SUM(AW25:AW27)</f>
        <v>2595890</v>
      </c>
      <c r="AX24" s="306">
        <f t="shared" ref="AX24:AY24" si="29">SUM(AX25:AX27)</f>
        <v>2630714</v>
      </c>
      <c r="AY24" s="306">
        <f t="shared" si="29"/>
        <v>0</v>
      </c>
      <c r="AZ24" s="314">
        <f>SUM(AZ25:AZ27)</f>
        <v>2630714</v>
      </c>
    </row>
    <row r="25" spans="1:53" s="271" customFormat="1" ht="20.100000000000001" customHeight="1">
      <c r="A25" s="337" t="s">
        <v>612</v>
      </c>
      <c r="B25" s="337" t="s">
        <v>613</v>
      </c>
      <c r="C25" s="270" t="s">
        <v>692</v>
      </c>
      <c r="D25" s="80" t="s">
        <v>692</v>
      </c>
      <c r="E25" s="80" t="s">
        <v>692</v>
      </c>
      <c r="F25" s="80" t="s">
        <v>692</v>
      </c>
      <c r="G25" s="313" t="s">
        <v>692</v>
      </c>
      <c r="H25" s="270">
        <v>85574</v>
      </c>
      <c r="I25" s="80">
        <v>81441</v>
      </c>
      <c r="J25" s="80">
        <v>84538</v>
      </c>
      <c r="K25" s="80">
        <v>77771</v>
      </c>
      <c r="L25" s="313">
        <f>K25</f>
        <v>77771</v>
      </c>
      <c r="M25" s="270">
        <v>81619</v>
      </c>
      <c r="N25" s="80">
        <v>66578</v>
      </c>
      <c r="O25" s="273">
        <v>98136</v>
      </c>
      <c r="P25" s="80">
        <v>122787</v>
      </c>
      <c r="Q25" s="313">
        <v>122787</v>
      </c>
      <c r="R25" s="270">
        <v>66163</v>
      </c>
      <c r="S25" s="80">
        <v>41517</v>
      </c>
      <c r="T25" s="80">
        <v>60471</v>
      </c>
      <c r="U25" s="80">
        <v>31972</v>
      </c>
      <c r="V25" s="313">
        <f>U25</f>
        <v>31972</v>
      </c>
      <c r="W25" s="270">
        <v>35754</v>
      </c>
      <c r="X25" s="80">
        <v>73544</v>
      </c>
      <c r="Y25" s="80">
        <v>44913</v>
      </c>
      <c r="Z25" s="80">
        <v>79306</v>
      </c>
      <c r="AA25" s="313">
        <f>Z25</f>
        <v>79306</v>
      </c>
      <c r="AB25" s="270">
        <v>48224</v>
      </c>
      <c r="AC25" s="80">
        <v>57183</v>
      </c>
      <c r="AD25" s="80">
        <v>63627</v>
      </c>
      <c r="AE25" s="80">
        <v>79561</v>
      </c>
      <c r="AF25" s="313">
        <f>AE25</f>
        <v>79561</v>
      </c>
      <c r="AG25" s="80">
        <v>75159</v>
      </c>
      <c r="AH25" s="80">
        <v>59722</v>
      </c>
      <c r="AI25" s="80">
        <v>91261</v>
      </c>
      <c r="AJ25" s="80">
        <v>95685</v>
      </c>
      <c r="AK25" s="313">
        <v>95685</v>
      </c>
      <c r="AL25" s="80">
        <v>144586</v>
      </c>
      <c r="AM25" s="80">
        <v>87176</v>
      </c>
      <c r="AN25" s="80">
        <v>142886</v>
      </c>
      <c r="AO25" s="80">
        <v>161208</v>
      </c>
      <c r="AP25" s="313">
        <v>161208</v>
      </c>
      <c r="AQ25" s="80">
        <v>171958</v>
      </c>
      <c r="AR25" s="80">
        <v>93292</v>
      </c>
      <c r="AS25" s="80">
        <v>158060</v>
      </c>
      <c r="AT25" s="80">
        <v>114416</v>
      </c>
      <c r="AU25" s="313">
        <f>AT25</f>
        <v>114416</v>
      </c>
      <c r="AV25" s="80">
        <v>224608</v>
      </c>
      <c r="AW25" s="80">
        <v>135476</v>
      </c>
      <c r="AX25" s="80">
        <v>144885</v>
      </c>
      <c r="AY25" s="80"/>
      <c r="AZ25" s="313">
        <f t="shared" ref="AZ25:AZ27" si="30">AX25</f>
        <v>144885</v>
      </c>
    </row>
    <row r="26" spans="1:53" s="271" customFormat="1" ht="20.100000000000001" customHeight="1">
      <c r="A26" s="337" t="s">
        <v>593</v>
      </c>
      <c r="B26" s="337" t="s">
        <v>614</v>
      </c>
      <c r="C26" s="270" t="s">
        <v>692</v>
      </c>
      <c r="D26" s="80" t="s">
        <v>692</v>
      </c>
      <c r="E26" s="80" t="s">
        <v>692</v>
      </c>
      <c r="F26" s="80" t="s">
        <v>692</v>
      </c>
      <c r="G26" s="313" t="s">
        <v>692</v>
      </c>
      <c r="H26" s="270">
        <v>4385742</v>
      </c>
      <c r="I26" s="80">
        <v>4379630</v>
      </c>
      <c r="J26" s="80">
        <v>4475541</v>
      </c>
      <c r="K26" s="80">
        <v>4171810</v>
      </c>
      <c r="L26" s="313">
        <f>K26</f>
        <v>4171810</v>
      </c>
      <c r="M26" s="270">
        <v>4042605</v>
      </c>
      <c r="N26" s="80">
        <v>3923778</v>
      </c>
      <c r="O26" s="273">
        <v>3855669</v>
      </c>
      <c r="P26" s="80">
        <v>3792978</v>
      </c>
      <c r="Q26" s="313">
        <v>3792978</v>
      </c>
      <c r="R26" s="270">
        <v>3775976</v>
      </c>
      <c r="S26" s="80">
        <v>3737282</v>
      </c>
      <c r="T26" s="80">
        <v>3685092</v>
      </c>
      <c r="U26" s="80">
        <v>3591736</v>
      </c>
      <c r="V26" s="313">
        <f t="shared" ref="V26:V27" si="31">U26</f>
        <v>3591736</v>
      </c>
      <c r="W26" s="270">
        <v>3495733</v>
      </c>
      <c r="X26" s="80">
        <v>3473228</v>
      </c>
      <c r="Y26" s="80">
        <v>3223224</v>
      </c>
      <c r="Z26" s="80">
        <v>2972443</v>
      </c>
      <c r="AA26" s="313">
        <f t="shared" ref="AA26:AA27" si="32">Z26</f>
        <v>2972443</v>
      </c>
      <c r="AB26" s="270">
        <v>2646477</v>
      </c>
      <c r="AC26" s="80">
        <v>2616592</v>
      </c>
      <c r="AD26" s="80">
        <v>2623950</v>
      </c>
      <c r="AE26" s="80">
        <v>2579613</v>
      </c>
      <c r="AF26" s="313">
        <f t="shared" ref="AF26:AF27" si="33">AE26</f>
        <v>2579613</v>
      </c>
      <c r="AG26" s="80">
        <v>2539402</v>
      </c>
      <c r="AH26" s="80">
        <v>2545749</v>
      </c>
      <c r="AI26" s="80">
        <v>2550355</v>
      </c>
      <c r="AJ26" s="80">
        <v>2423774</v>
      </c>
      <c r="AK26" s="313">
        <v>2423774</v>
      </c>
      <c r="AL26" s="80">
        <v>2387672</v>
      </c>
      <c r="AM26" s="80">
        <v>2418370</v>
      </c>
      <c r="AN26" s="80">
        <v>2443295</v>
      </c>
      <c r="AO26" s="80">
        <v>2415819</v>
      </c>
      <c r="AP26" s="313">
        <v>2415819</v>
      </c>
      <c r="AQ26" s="80">
        <v>2393373</v>
      </c>
      <c r="AR26" s="80">
        <v>2364248</v>
      </c>
      <c r="AS26" s="80">
        <v>2449237</v>
      </c>
      <c r="AT26" s="80">
        <v>2445873</v>
      </c>
      <c r="AU26" s="313">
        <f>AT26</f>
        <v>2445873</v>
      </c>
      <c r="AV26" s="80">
        <v>2458165</v>
      </c>
      <c r="AW26" s="80">
        <v>2413672</v>
      </c>
      <c r="AX26" s="80">
        <v>2441939</v>
      </c>
      <c r="AY26" s="80"/>
      <c r="AZ26" s="313">
        <f t="shared" si="30"/>
        <v>2441939</v>
      </c>
    </row>
    <row r="27" spans="1:53" s="271" customFormat="1" ht="20.100000000000001" customHeight="1" thickBot="1">
      <c r="A27" s="337" t="s">
        <v>595</v>
      </c>
      <c r="B27" s="337" t="s">
        <v>595</v>
      </c>
      <c r="C27" s="270" t="s">
        <v>692</v>
      </c>
      <c r="D27" s="80" t="s">
        <v>692</v>
      </c>
      <c r="E27" s="80" t="s">
        <v>692</v>
      </c>
      <c r="F27" s="80" t="s">
        <v>692</v>
      </c>
      <c r="G27" s="313" t="s">
        <v>692</v>
      </c>
      <c r="H27" s="270">
        <v>77069</v>
      </c>
      <c r="I27" s="80">
        <v>104248</v>
      </c>
      <c r="J27" s="80">
        <v>159050</v>
      </c>
      <c r="K27" s="80">
        <v>218946</v>
      </c>
      <c r="L27" s="313">
        <f>K27</f>
        <v>218946</v>
      </c>
      <c r="M27" s="270">
        <v>226101</v>
      </c>
      <c r="N27" s="80">
        <v>236772</v>
      </c>
      <c r="O27" s="273">
        <v>265389</v>
      </c>
      <c r="P27" s="80">
        <v>218438</v>
      </c>
      <c r="Q27" s="313">
        <v>218438</v>
      </c>
      <c r="R27" s="270">
        <v>192618</v>
      </c>
      <c r="S27" s="80">
        <v>193270</v>
      </c>
      <c r="T27" s="80">
        <v>231244</v>
      </c>
      <c r="U27" s="80">
        <v>231285</v>
      </c>
      <c r="V27" s="313">
        <f t="shared" si="31"/>
        <v>231285</v>
      </c>
      <c r="W27" s="270">
        <v>256180</v>
      </c>
      <c r="X27" s="80">
        <v>284044</v>
      </c>
      <c r="Y27" s="80">
        <v>259767</v>
      </c>
      <c r="Z27" s="80">
        <v>218589</v>
      </c>
      <c r="AA27" s="313">
        <f t="shared" si="32"/>
        <v>218589</v>
      </c>
      <c r="AB27" s="270">
        <v>184389</v>
      </c>
      <c r="AC27" s="80">
        <v>180526</v>
      </c>
      <c r="AD27" s="80">
        <v>192584</v>
      </c>
      <c r="AE27" s="80">
        <v>178379</v>
      </c>
      <c r="AF27" s="313">
        <f t="shared" si="33"/>
        <v>178379</v>
      </c>
      <c r="AG27" s="80">
        <v>168623</v>
      </c>
      <c r="AH27" s="80">
        <v>163347</v>
      </c>
      <c r="AI27" s="80">
        <v>152492</v>
      </c>
      <c r="AJ27" s="80">
        <v>127410</v>
      </c>
      <c r="AK27" s="313">
        <v>127410</v>
      </c>
      <c r="AL27" s="80">
        <v>110517</v>
      </c>
      <c r="AM27" s="80">
        <v>101765</v>
      </c>
      <c r="AN27" s="80">
        <v>92709</v>
      </c>
      <c r="AO27" s="80">
        <v>80467</v>
      </c>
      <c r="AP27" s="313">
        <v>80467</v>
      </c>
      <c r="AQ27" s="80">
        <v>73307</v>
      </c>
      <c r="AR27" s="80">
        <v>67684</v>
      </c>
      <c r="AS27" s="80">
        <v>63942</v>
      </c>
      <c r="AT27" s="80">
        <v>57524</v>
      </c>
      <c r="AU27" s="313">
        <f>AT27</f>
        <v>57524</v>
      </c>
      <c r="AV27" s="80">
        <v>53322</v>
      </c>
      <c r="AW27" s="80">
        <v>46742</v>
      </c>
      <c r="AX27" s="80">
        <v>43890</v>
      </c>
      <c r="AY27" s="80"/>
      <c r="AZ27" s="313">
        <f t="shared" si="30"/>
        <v>43890</v>
      </c>
    </row>
    <row r="28" spans="1:53" s="312" customFormat="1" ht="20.100000000000001" customHeight="1" thickBot="1">
      <c r="A28" s="310" t="s">
        <v>715</v>
      </c>
      <c r="B28" s="311" t="s">
        <v>716</v>
      </c>
      <c r="C28" s="308" t="s">
        <v>692</v>
      </c>
      <c r="D28" s="309" t="s">
        <v>692</v>
      </c>
      <c r="E28" s="309" t="s">
        <v>692</v>
      </c>
      <c r="F28" s="309" t="s">
        <v>692</v>
      </c>
      <c r="G28" s="307" t="s">
        <v>692</v>
      </c>
      <c r="H28" s="308">
        <v>18</v>
      </c>
      <c r="I28" s="309">
        <v>19.2</v>
      </c>
      <c r="J28" s="309">
        <v>18.2</v>
      </c>
      <c r="K28" s="309">
        <v>17.5</v>
      </c>
      <c r="L28" s="307">
        <v>18.2</v>
      </c>
      <c r="M28" s="308">
        <v>16.5</v>
      </c>
      <c r="N28" s="309">
        <v>17.899999999999999</v>
      </c>
      <c r="O28" s="309">
        <v>18.3</v>
      </c>
      <c r="P28" s="309">
        <v>18.2</v>
      </c>
      <c r="Q28" s="307">
        <v>17.7</v>
      </c>
      <c r="R28" s="308">
        <v>17.3</v>
      </c>
      <c r="S28" s="309">
        <v>18.3</v>
      </c>
      <c r="T28" s="309">
        <v>19</v>
      </c>
      <c r="U28" s="309">
        <v>18.5</v>
      </c>
      <c r="V28" s="307">
        <v>18.3</v>
      </c>
      <c r="W28" s="308">
        <v>17.7</v>
      </c>
      <c r="X28" s="309">
        <v>18.899999999999999</v>
      </c>
      <c r="Y28" s="309">
        <v>18.7</v>
      </c>
      <c r="Z28" s="309">
        <v>19.2</v>
      </c>
      <c r="AA28" s="307">
        <v>18.600000000000001</v>
      </c>
      <c r="AB28" s="308">
        <v>18.7</v>
      </c>
      <c r="AC28" s="309">
        <v>20.5</v>
      </c>
      <c r="AD28" s="309">
        <v>20.2</v>
      </c>
      <c r="AE28" s="309">
        <v>20.100000000000001</v>
      </c>
      <c r="AF28" s="307">
        <v>19.899999999999999</v>
      </c>
      <c r="AG28" s="309">
        <v>20.100000000000001</v>
      </c>
      <c r="AH28" s="309">
        <v>20.399999999999999</v>
      </c>
      <c r="AI28" s="309">
        <v>20.8</v>
      </c>
      <c r="AJ28" s="309">
        <v>20.3</v>
      </c>
      <c r="AK28" s="307">
        <v>20.399999999999999</v>
      </c>
      <c r="AL28" s="309">
        <v>20.100000000000001</v>
      </c>
      <c r="AM28" s="309">
        <v>20.8</v>
      </c>
      <c r="AN28" s="309">
        <v>20.8</v>
      </c>
      <c r="AO28" s="309">
        <v>20.3</v>
      </c>
      <c r="AP28" s="307">
        <v>20.5</v>
      </c>
      <c r="AQ28" s="309">
        <v>20.7</v>
      </c>
      <c r="AR28" s="309">
        <v>21.4</v>
      </c>
      <c r="AS28" s="309">
        <v>21.5</v>
      </c>
      <c r="AT28" s="309">
        <v>21.8</v>
      </c>
      <c r="AU28" s="307">
        <v>21.4</v>
      </c>
      <c r="AV28" s="309">
        <v>21.5</v>
      </c>
      <c r="AW28" s="309">
        <v>21.967114718613772</v>
      </c>
      <c r="AX28" s="309">
        <v>21.4</v>
      </c>
      <c r="AY28" s="309"/>
      <c r="AZ28" s="307">
        <v>21.61653706970829</v>
      </c>
    </row>
    <row r="29" spans="1:53" s="271" customFormat="1" ht="20.100000000000001" customHeight="1" thickBot="1">
      <c r="A29" s="340" t="s">
        <v>710</v>
      </c>
      <c r="B29" s="341" t="s">
        <v>717</v>
      </c>
      <c r="C29" s="305" t="s">
        <v>692</v>
      </c>
      <c r="D29" s="306" t="s">
        <v>692</v>
      </c>
      <c r="E29" s="306" t="s">
        <v>692</v>
      </c>
      <c r="F29" s="306" t="s">
        <v>692</v>
      </c>
      <c r="G29" s="314" t="s">
        <v>692</v>
      </c>
      <c r="H29" s="305">
        <f>SUM(H30:H32)</f>
        <v>4549031</v>
      </c>
      <c r="I29" s="306">
        <f t="shared" ref="I29:N29" si="34">SUM(I30:I32)</f>
        <v>4532090</v>
      </c>
      <c r="J29" s="306">
        <f t="shared" si="34"/>
        <v>4635182</v>
      </c>
      <c r="K29" s="306">
        <f t="shared" si="34"/>
        <v>4599374</v>
      </c>
      <c r="L29" s="314">
        <f t="shared" si="34"/>
        <v>4578919.25</v>
      </c>
      <c r="M29" s="305">
        <f t="shared" si="34"/>
        <v>4398038</v>
      </c>
      <c r="N29" s="306">
        <f t="shared" si="34"/>
        <v>4285747</v>
      </c>
      <c r="O29" s="306">
        <f>SUM(O30:O32)</f>
        <v>4212274</v>
      </c>
      <c r="P29" s="306">
        <f>SUM(P30:P32)</f>
        <v>4172129</v>
      </c>
      <c r="Q29" s="314">
        <f>SUM(Q30:Q32)</f>
        <v>4267047</v>
      </c>
      <c r="R29" s="305">
        <f t="shared" ref="R29:AU29" si="35">SUM(R30:R32)</f>
        <v>4068646</v>
      </c>
      <c r="S29" s="306">
        <f t="shared" si="35"/>
        <v>4006108</v>
      </c>
      <c r="T29" s="306">
        <f t="shared" si="35"/>
        <v>3970091</v>
      </c>
      <c r="U29" s="306">
        <f t="shared" si="35"/>
        <v>3917979</v>
      </c>
      <c r="V29" s="314">
        <f t="shared" si="35"/>
        <v>3990706</v>
      </c>
      <c r="W29" s="305">
        <f t="shared" si="35"/>
        <v>3801870</v>
      </c>
      <c r="X29" s="306">
        <f t="shared" si="35"/>
        <v>3794613</v>
      </c>
      <c r="Y29" s="306">
        <f t="shared" si="35"/>
        <v>3713417</v>
      </c>
      <c r="Z29" s="306">
        <f t="shared" si="35"/>
        <v>3341220</v>
      </c>
      <c r="AA29" s="314">
        <f t="shared" si="35"/>
        <v>3662780</v>
      </c>
      <c r="AB29" s="305">
        <f t="shared" si="35"/>
        <v>3050604</v>
      </c>
      <c r="AC29" s="306">
        <f t="shared" si="35"/>
        <v>2882155</v>
      </c>
      <c r="AD29" s="306">
        <f t="shared" si="35"/>
        <v>2863783</v>
      </c>
      <c r="AE29" s="306">
        <f t="shared" si="35"/>
        <v>2851766</v>
      </c>
      <c r="AF29" s="314">
        <f t="shared" si="35"/>
        <v>2912076</v>
      </c>
      <c r="AG29" s="306">
        <f t="shared" si="35"/>
        <v>2789695</v>
      </c>
      <c r="AH29" s="306">
        <f t="shared" si="35"/>
        <v>2771707.333333333</v>
      </c>
      <c r="AI29" s="306">
        <f t="shared" si="35"/>
        <v>2774199</v>
      </c>
      <c r="AJ29" s="306">
        <f t="shared" si="35"/>
        <v>2745638</v>
      </c>
      <c r="AK29" s="314">
        <f t="shared" si="35"/>
        <v>2770309</v>
      </c>
      <c r="AL29" s="306">
        <f t="shared" si="35"/>
        <v>2613613</v>
      </c>
      <c r="AM29" s="306">
        <f t="shared" si="35"/>
        <v>2616887</v>
      </c>
      <c r="AN29" s="306">
        <f t="shared" si="35"/>
        <v>2633673</v>
      </c>
      <c r="AO29" s="306">
        <f t="shared" si="35"/>
        <v>2656703</v>
      </c>
      <c r="AP29" s="314">
        <f t="shared" si="35"/>
        <v>2630219</v>
      </c>
      <c r="AQ29" s="306">
        <f t="shared" si="35"/>
        <v>2604742</v>
      </c>
      <c r="AR29" s="306">
        <f t="shared" si="35"/>
        <v>2591758</v>
      </c>
      <c r="AS29" s="306">
        <f t="shared" si="35"/>
        <v>2612383</v>
      </c>
      <c r="AT29" s="306">
        <f t="shared" si="35"/>
        <v>2687327</v>
      </c>
      <c r="AU29" s="314">
        <f t="shared" si="35"/>
        <v>2624052.4583333335</v>
      </c>
      <c r="AV29" s="306">
        <f t="shared" ref="AV29:AZ29" si="36">SUM(AV30:AV32)</f>
        <v>2638165</v>
      </c>
      <c r="AW29" s="306">
        <f t="shared" si="36"/>
        <v>2651956.8333333335</v>
      </c>
      <c r="AX29" s="306">
        <f t="shared" si="36"/>
        <v>2596767</v>
      </c>
      <c r="AY29" s="306">
        <f t="shared" si="36"/>
        <v>0</v>
      </c>
      <c r="AZ29" s="314">
        <f t="shared" si="36"/>
        <v>2628962.7222222225</v>
      </c>
    </row>
    <row r="30" spans="1:53" s="271" customFormat="1" ht="20.100000000000001" customHeight="1">
      <c r="A30" s="337" t="s">
        <v>612</v>
      </c>
      <c r="B30" s="337" t="s">
        <v>613</v>
      </c>
      <c r="C30" s="270" t="s">
        <v>692</v>
      </c>
      <c r="D30" s="80" t="s">
        <v>692</v>
      </c>
      <c r="E30" s="80" t="s">
        <v>692</v>
      </c>
      <c r="F30" s="80" t="s">
        <v>692</v>
      </c>
      <c r="G30" s="313" t="s">
        <v>692</v>
      </c>
      <c r="H30" s="270">
        <v>78707</v>
      </c>
      <c r="I30" s="80">
        <v>73828</v>
      </c>
      <c r="J30" s="80">
        <v>68740</v>
      </c>
      <c r="K30" s="80">
        <v>77953</v>
      </c>
      <c r="L30" s="313">
        <f>AVERAGE(H30:K30)</f>
        <v>74807</v>
      </c>
      <c r="M30" s="270">
        <v>77779</v>
      </c>
      <c r="N30" s="80">
        <v>79253</v>
      </c>
      <c r="O30" s="273">
        <v>69522</v>
      </c>
      <c r="P30" s="80">
        <v>129021</v>
      </c>
      <c r="Q30" s="313">
        <v>88894</v>
      </c>
      <c r="R30" s="270">
        <v>67972</v>
      </c>
      <c r="S30" s="80">
        <v>61165</v>
      </c>
      <c r="T30" s="80">
        <v>41313</v>
      </c>
      <c r="U30" s="80">
        <v>56743</v>
      </c>
      <c r="V30" s="313">
        <v>56798</v>
      </c>
      <c r="W30" s="270">
        <v>36255</v>
      </c>
      <c r="X30" s="80">
        <v>52114</v>
      </c>
      <c r="Y30" s="80">
        <v>42971</v>
      </c>
      <c r="Z30" s="80">
        <v>54083</v>
      </c>
      <c r="AA30" s="313">
        <v>46356</v>
      </c>
      <c r="AB30" s="270">
        <v>48659</v>
      </c>
      <c r="AC30" s="80">
        <v>69132</v>
      </c>
      <c r="AD30" s="80">
        <v>54950</v>
      </c>
      <c r="AE30" s="80">
        <v>65088</v>
      </c>
      <c r="AF30" s="313">
        <v>59457</v>
      </c>
      <c r="AG30" s="80">
        <v>58222</v>
      </c>
      <c r="AH30" s="80">
        <v>69503.166666666672</v>
      </c>
      <c r="AI30" s="80">
        <v>58358</v>
      </c>
      <c r="AJ30" s="80">
        <v>95346</v>
      </c>
      <c r="AK30" s="313">
        <v>70357</v>
      </c>
      <c r="AL30" s="80">
        <v>91940</v>
      </c>
      <c r="AM30" s="80">
        <v>113249</v>
      </c>
      <c r="AN30" s="80">
        <v>94727</v>
      </c>
      <c r="AO30" s="80">
        <v>145284</v>
      </c>
      <c r="AP30" s="313">
        <v>111300</v>
      </c>
      <c r="AQ30" s="80">
        <v>122482</v>
      </c>
      <c r="AR30" s="80">
        <v>160079</v>
      </c>
      <c r="AS30" s="80">
        <v>131105</v>
      </c>
      <c r="AT30" s="80">
        <v>176926</v>
      </c>
      <c r="AU30" s="313">
        <v>147648</v>
      </c>
      <c r="AV30" s="80">
        <v>140172</v>
      </c>
      <c r="AW30" s="80">
        <v>188256.66666666666</v>
      </c>
      <c r="AX30" s="80">
        <v>118857</v>
      </c>
      <c r="AY30" s="80"/>
      <c r="AZ30" s="313">
        <v>149094.94444444444</v>
      </c>
    </row>
    <row r="31" spans="1:53" s="271" customFormat="1" ht="20.100000000000001" customHeight="1">
      <c r="A31" s="337" t="s">
        <v>593</v>
      </c>
      <c r="B31" s="337" t="s">
        <v>614</v>
      </c>
      <c r="C31" s="270" t="s">
        <v>692</v>
      </c>
      <c r="D31" s="80" t="s">
        <v>692</v>
      </c>
      <c r="E31" s="80" t="s">
        <v>692</v>
      </c>
      <c r="F31" s="80" t="s">
        <v>692</v>
      </c>
      <c r="G31" s="313" t="s">
        <v>692</v>
      </c>
      <c r="H31" s="270">
        <v>4397976</v>
      </c>
      <c r="I31" s="80">
        <v>4370181</v>
      </c>
      <c r="J31" s="80">
        <v>4431149</v>
      </c>
      <c r="K31" s="80">
        <v>4338987</v>
      </c>
      <c r="L31" s="313">
        <f t="shared" ref="L31:L32" si="37">AVERAGE(H31:K31)</f>
        <v>4384573.25</v>
      </c>
      <c r="M31" s="270">
        <v>4091609</v>
      </c>
      <c r="N31" s="80">
        <v>3975410</v>
      </c>
      <c r="O31" s="273">
        <v>3893375</v>
      </c>
      <c r="P31" s="80">
        <v>3798701</v>
      </c>
      <c r="Q31" s="313">
        <v>3939774</v>
      </c>
      <c r="R31" s="270">
        <v>3797423</v>
      </c>
      <c r="S31" s="80">
        <v>3755130</v>
      </c>
      <c r="T31" s="80">
        <v>3713656</v>
      </c>
      <c r="U31" s="80">
        <v>3630863</v>
      </c>
      <c r="V31" s="313">
        <v>3724268</v>
      </c>
      <c r="W31" s="270">
        <v>3529840</v>
      </c>
      <c r="X31" s="80">
        <v>3473104</v>
      </c>
      <c r="Y31" s="80">
        <v>3386794</v>
      </c>
      <c r="Z31" s="80">
        <v>3058691</v>
      </c>
      <c r="AA31" s="313">
        <v>3362107</v>
      </c>
      <c r="AB31" s="270">
        <v>2800366</v>
      </c>
      <c r="AC31" s="80">
        <v>2631773</v>
      </c>
      <c r="AD31" s="80">
        <v>2620575</v>
      </c>
      <c r="AE31" s="80">
        <v>2601552</v>
      </c>
      <c r="AF31" s="313">
        <v>2663566</v>
      </c>
      <c r="AG31" s="80">
        <v>2558174</v>
      </c>
      <c r="AH31" s="80">
        <v>2536844.1666666665</v>
      </c>
      <c r="AI31" s="80">
        <v>2555414</v>
      </c>
      <c r="AJ31" s="80">
        <v>2511226</v>
      </c>
      <c r="AK31" s="313">
        <v>2540414</v>
      </c>
      <c r="AL31" s="80">
        <v>2403135</v>
      </c>
      <c r="AM31" s="80">
        <v>2398016</v>
      </c>
      <c r="AN31" s="80">
        <v>2441160</v>
      </c>
      <c r="AO31" s="80">
        <v>2425301</v>
      </c>
      <c r="AP31" s="313">
        <v>2416903</v>
      </c>
      <c r="AQ31" s="80">
        <v>2405796</v>
      </c>
      <c r="AR31" s="80">
        <v>2361397</v>
      </c>
      <c r="AS31" s="80">
        <v>2414825</v>
      </c>
      <c r="AT31" s="80">
        <v>2449774</v>
      </c>
      <c r="AU31" s="313">
        <v>2407948</v>
      </c>
      <c r="AV31" s="80">
        <v>2442879</v>
      </c>
      <c r="AW31" s="80">
        <v>2415289.8333333335</v>
      </c>
      <c r="AX31" s="80">
        <v>2432438</v>
      </c>
      <c r="AY31" s="80"/>
      <c r="AZ31" s="313">
        <v>2430202.3333333335</v>
      </c>
    </row>
    <row r="32" spans="1:53" s="271" customFormat="1" ht="20.100000000000001" customHeight="1" thickBot="1">
      <c r="A32" s="338" t="s">
        <v>595</v>
      </c>
      <c r="B32" s="338" t="s">
        <v>595</v>
      </c>
      <c r="C32" s="286" t="s">
        <v>692</v>
      </c>
      <c r="D32" s="744" t="s">
        <v>692</v>
      </c>
      <c r="E32" s="744" t="s">
        <v>692</v>
      </c>
      <c r="F32" s="744" t="s">
        <v>692</v>
      </c>
      <c r="G32" s="339" t="s">
        <v>692</v>
      </c>
      <c r="H32" s="286">
        <v>72348</v>
      </c>
      <c r="I32" s="744">
        <v>88081</v>
      </c>
      <c r="J32" s="744">
        <v>135293</v>
      </c>
      <c r="K32" s="744">
        <v>182434</v>
      </c>
      <c r="L32" s="339">
        <f t="shared" si="37"/>
        <v>119539</v>
      </c>
      <c r="M32" s="286">
        <v>228650</v>
      </c>
      <c r="N32" s="744">
        <v>231084</v>
      </c>
      <c r="O32" s="745">
        <v>249377</v>
      </c>
      <c r="P32" s="744">
        <v>244407</v>
      </c>
      <c r="Q32" s="339">
        <v>238379</v>
      </c>
      <c r="R32" s="286">
        <v>203251</v>
      </c>
      <c r="S32" s="744">
        <v>189813</v>
      </c>
      <c r="T32" s="744">
        <v>215122</v>
      </c>
      <c r="U32" s="744">
        <v>230373</v>
      </c>
      <c r="V32" s="339">
        <v>209640</v>
      </c>
      <c r="W32" s="286">
        <v>235775</v>
      </c>
      <c r="X32" s="744">
        <v>269395</v>
      </c>
      <c r="Y32" s="744">
        <v>283652</v>
      </c>
      <c r="Z32" s="744">
        <v>228446</v>
      </c>
      <c r="AA32" s="339">
        <v>254317</v>
      </c>
      <c r="AB32" s="286">
        <v>201579</v>
      </c>
      <c r="AC32" s="744">
        <v>181250</v>
      </c>
      <c r="AD32" s="744">
        <v>188258</v>
      </c>
      <c r="AE32" s="744">
        <v>185126</v>
      </c>
      <c r="AF32" s="339">
        <v>189053</v>
      </c>
      <c r="AG32" s="744">
        <v>173299</v>
      </c>
      <c r="AH32" s="744">
        <v>165360</v>
      </c>
      <c r="AI32" s="744">
        <v>160427</v>
      </c>
      <c r="AJ32" s="744">
        <v>139066</v>
      </c>
      <c r="AK32" s="339">
        <v>159538</v>
      </c>
      <c r="AL32" s="744">
        <v>118538</v>
      </c>
      <c r="AM32" s="744">
        <v>105622</v>
      </c>
      <c r="AN32" s="744">
        <v>97786</v>
      </c>
      <c r="AO32" s="744">
        <v>86118</v>
      </c>
      <c r="AP32" s="339">
        <v>102016</v>
      </c>
      <c r="AQ32" s="744">
        <v>76464</v>
      </c>
      <c r="AR32" s="744">
        <v>70282</v>
      </c>
      <c r="AS32" s="744">
        <v>66453</v>
      </c>
      <c r="AT32" s="744">
        <v>60627</v>
      </c>
      <c r="AU32" s="339">
        <v>68456.458333333299</v>
      </c>
      <c r="AV32" s="744">
        <v>55114</v>
      </c>
      <c r="AW32" s="744">
        <v>48410.333333333336</v>
      </c>
      <c r="AX32" s="744">
        <v>45472</v>
      </c>
      <c r="AY32" s="744"/>
      <c r="AZ32" s="339">
        <v>49665.444444444445</v>
      </c>
    </row>
    <row r="33" spans="1:37" ht="20.100000000000001" customHeight="1"/>
    <row r="34" spans="1:37" ht="48">
      <c r="A34" s="287" t="s">
        <v>718</v>
      </c>
      <c r="B34" s="287" t="s">
        <v>719</v>
      </c>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row>
    <row r="35" spans="1:37" ht="48">
      <c r="A35" s="287" t="s">
        <v>720</v>
      </c>
      <c r="B35" s="287" t="s">
        <v>721</v>
      </c>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row>
    <row r="36" spans="1:37" ht="48">
      <c r="A36" s="289" t="s">
        <v>722</v>
      </c>
      <c r="B36" s="287" t="s">
        <v>723</v>
      </c>
      <c r="C36" s="290"/>
      <c r="D36" s="290"/>
      <c r="E36" s="290"/>
      <c r="F36" s="290"/>
      <c r="G36" s="290"/>
      <c r="H36" s="290"/>
      <c r="I36" s="290"/>
      <c r="J36" s="290"/>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row>
    <row r="37" spans="1:37" ht="132" customHeight="1">
      <c r="A37" s="289" t="s">
        <v>724</v>
      </c>
      <c r="B37" s="287" t="s">
        <v>725</v>
      </c>
      <c r="C37" s="290"/>
      <c r="D37" s="290"/>
      <c r="E37" s="290"/>
      <c r="F37" s="290"/>
      <c r="G37" s="290"/>
      <c r="H37" s="290"/>
      <c r="I37" s="290"/>
      <c r="J37" s="290"/>
      <c r="K37" s="290"/>
      <c r="L37" s="290"/>
      <c r="M37" s="290"/>
      <c r="N37" s="290"/>
      <c r="O37" s="289"/>
      <c r="P37" s="289"/>
      <c r="Q37" s="289"/>
      <c r="R37" s="289"/>
      <c r="S37" s="289"/>
      <c r="T37" s="289"/>
    </row>
    <row r="38" spans="1:37" ht="36">
      <c r="A38" s="289" t="s">
        <v>726</v>
      </c>
      <c r="B38" s="287" t="s">
        <v>727</v>
      </c>
      <c r="C38" s="290"/>
      <c r="D38" s="290"/>
      <c r="E38" s="290"/>
      <c r="F38" s="290"/>
      <c r="G38" s="290"/>
      <c r="H38" s="290"/>
      <c r="I38" s="290"/>
      <c r="J38" s="290"/>
      <c r="K38" s="290"/>
      <c r="L38" s="290"/>
      <c r="M38" s="290"/>
      <c r="N38" s="290"/>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row>
    <row r="39" spans="1:37" ht="84">
      <c r="A39" s="287" t="s">
        <v>728</v>
      </c>
      <c r="B39" s="287" t="s">
        <v>729</v>
      </c>
    </row>
    <row r="40" spans="1:37" ht="20.100000000000001" customHeight="1"/>
    <row r="41" spans="1:37" ht="20.100000000000001" customHeight="1"/>
    <row r="42" spans="1:37" ht="20.100000000000001" customHeight="1"/>
    <row r="43" spans="1:37" ht="20.100000000000001" customHeight="1"/>
    <row r="44" spans="1:37" ht="20.100000000000001" customHeight="1"/>
    <row r="45" spans="1:37" ht="20.100000000000001" customHeight="1"/>
    <row r="46" spans="1:37" ht="20.100000000000001" customHeight="1"/>
    <row r="47" spans="1:37" ht="20.100000000000001" customHeight="1"/>
    <row r="48" spans="1:3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sheetData>
  <customSheetViews>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1"/>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2"/>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4"/>
    </customSheetView>
  </customSheetViews>
  <mergeCells count="21">
    <mergeCell ref="AV3:AY3"/>
    <mergeCell ref="AZ3:AZ4"/>
    <mergeCell ref="AU3:AU4"/>
    <mergeCell ref="AF3:AF4"/>
    <mergeCell ref="AG3:AJ3"/>
    <mergeCell ref="AK3:AK4"/>
    <mergeCell ref="AL3:AO3"/>
    <mergeCell ref="AP3:AP4"/>
    <mergeCell ref="AQ3:AT3"/>
    <mergeCell ref="AB3:AE3"/>
    <mergeCell ref="A2:O2"/>
    <mergeCell ref="C3:F3"/>
    <mergeCell ref="G3:G4"/>
    <mergeCell ref="H3:K3"/>
    <mergeCell ref="L3:L4"/>
    <mergeCell ref="M3:P3"/>
    <mergeCell ref="Q3:Q4"/>
    <mergeCell ref="R3:U3"/>
    <mergeCell ref="V3:V4"/>
    <mergeCell ref="W3:Z3"/>
    <mergeCell ref="AA3:AA4"/>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4D8E5B085244EA1243650C0689C53" ma:contentTypeVersion="11" ma:contentTypeDescription="Utwórz nowy dokument." ma:contentTypeScope="" ma:versionID="d056d342870674b58e5c365eb8d4a139">
  <xsd:schema xmlns:xsd="http://www.w3.org/2001/XMLSchema" xmlns:xs="http://www.w3.org/2001/XMLSchema" xmlns:p="http://schemas.microsoft.com/office/2006/metadata/properties" xmlns:ns2="44ef9d45-7c5b-433e-98b2-0b7979b96efb" xmlns:ns3="380674f5-ae6e-4398-ae1a-e3b039baab99" targetNamespace="http://schemas.microsoft.com/office/2006/metadata/properties" ma:root="true" ma:fieldsID="671689fcd49acf212bbc6547a4dd6ba8" ns2:_="" ns3:_="">
    <xsd:import namespace="44ef9d45-7c5b-433e-98b2-0b7979b96efb"/>
    <xsd:import namespace="380674f5-ae6e-4398-ae1a-e3b039baab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f9d45-7c5b-433e-98b2-0b7979b96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0674f5-ae6e-4398-ae1a-e3b039baab99"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BE42A4-7347-4C7A-AD3E-D86A938443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ef9d45-7c5b-433e-98b2-0b7979b96efb"/>
    <ds:schemaRef ds:uri="380674f5-ae6e-4398-ae1a-e3b039ba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440E72-627B-49BD-8136-CEF9ECB5C2F6}">
  <ds:schemaRefs>
    <ds:schemaRef ds:uri="http://purl.org/dc/elements/1.1/"/>
    <ds:schemaRef ds:uri="http://schemas.microsoft.com/office/2006/metadata/properties"/>
    <ds:schemaRef ds:uri="380674f5-ae6e-4398-ae1a-e3b039baab99"/>
    <ds:schemaRef ds:uri="44ef9d45-7c5b-433e-98b2-0b7979b96e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A09C639-6E81-4C42-9637-EF50EBF18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6</vt:i4>
      </vt:variant>
    </vt:vector>
  </HeadingPairs>
  <TitlesOfParts>
    <vt:vector size="15" baseType="lpstr">
      <vt:lpstr>P&amp;L</vt:lpstr>
      <vt:lpstr>Segments</vt:lpstr>
      <vt:lpstr>Balance sheet</vt:lpstr>
      <vt:lpstr>Cash Flow</vt:lpstr>
      <vt:lpstr>Ratios</vt:lpstr>
      <vt:lpstr>new KPI_segment B2C&amp;B2B</vt:lpstr>
      <vt:lpstr>KPI TV &amp; online</vt:lpstr>
      <vt:lpstr>STARE KPI--&gt;</vt:lpstr>
      <vt:lpstr>KPI_segment B2C&amp;B2B</vt:lpstr>
      <vt:lpstr>'Balance sheet'!Obszar_wydruku</vt:lpstr>
      <vt:lpstr>'Cash Flow'!Obszar_wydruku</vt:lpstr>
      <vt:lpstr>'KPI_segment B2C&amp;B2B'!Obszar_wydruku</vt:lpstr>
      <vt:lpstr>'new KPI_segment B2C&amp;B2B'!Obszar_wydruku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Agata Wiktorow-Sobczuk</cp:lastModifiedBy>
  <cp:revision/>
  <dcterms:created xsi:type="dcterms:W3CDTF">2008-08-25T12:12:22Z</dcterms:created>
  <dcterms:modified xsi:type="dcterms:W3CDTF">2022-08-17T14:38:53Z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0x0101000C94D8E5B085244EA1243650C0689C53</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y fmtid="{D5CDD505-2E9C-101B-9397-08002B2CF9AE}" pid="12" name="MediaServiceImageTags">
    <vt:lpwstr/>
  </property>
</Properties>
</file>