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080" windowHeight="11820"/>
  </bookViews>
  <sheets>
    <sheet name="Balance sheet" sheetId="1" r:id="rId1"/>
  </sheets>
  <definedNames>
    <definedName name="_xlnm.Print_Area" localSheetId="0">'Balance sheet'!$A$1:$AB$68</definedName>
  </definedNames>
  <calcPr calcId="125725"/>
</workbook>
</file>

<file path=xl/calcChain.xml><?xml version="1.0" encoding="utf-8"?>
<calcChain xmlns="http://schemas.openxmlformats.org/spreadsheetml/2006/main">
  <c r="A70" i="1"/>
  <c r="AB58"/>
  <c r="AB59" s="1"/>
  <c r="AB60" s="1"/>
  <c r="AA58"/>
  <c r="AA59" s="1"/>
  <c r="AA60" s="1"/>
  <c r="Z58"/>
  <c r="U56"/>
  <c r="M56"/>
  <c r="E56"/>
  <c r="U55"/>
  <c r="M55"/>
  <c r="E55"/>
  <c r="U54"/>
  <c r="H54"/>
  <c r="S53"/>
  <c r="K53"/>
  <c r="C53"/>
  <c r="S51"/>
  <c r="K51"/>
  <c r="X50"/>
  <c r="P50"/>
  <c r="T49"/>
  <c r="L49"/>
  <c r="D49"/>
  <c r="AB48"/>
  <c r="AA48"/>
  <c r="Z48"/>
  <c r="Z59" s="1"/>
  <c r="R47"/>
  <c r="J47"/>
  <c r="B47"/>
  <c r="R46"/>
  <c r="S45"/>
  <c r="K45"/>
  <c r="B45"/>
  <c r="R43"/>
  <c r="J43"/>
  <c r="X42"/>
  <c r="P42"/>
  <c r="T41"/>
  <c r="G41"/>
  <c r="Y39"/>
  <c r="X39"/>
  <c r="W39"/>
  <c r="C39"/>
  <c r="AB38"/>
  <c r="AB40" s="1"/>
  <c r="AA38"/>
  <c r="AA40" s="1"/>
  <c r="Z38"/>
  <c r="Z40" s="1"/>
  <c r="W37"/>
  <c r="O37"/>
  <c r="G37"/>
  <c r="V36"/>
  <c r="Q34"/>
  <c r="T33"/>
  <c r="L32"/>
  <c r="Q31"/>
  <c r="H31"/>
  <c r="U30"/>
  <c r="M30"/>
  <c r="E30"/>
  <c r="AB27"/>
  <c r="AA27"/>
  <c r="Z27"/>
  <c r="V26"/>
  <c r="N26"/>
  <c r="F26"/>
  <c r="V25"/>
  <c r="N25"/>
  <c r="F25"/>
  <c r="V24"/>
  <c r="N24"/>
  <c r="F24"/>
  <c r="V23"/>
  <c r="N23"/>
  <c r="E23"/>
  <c r="T22"/>
  <c r="L22"/>
  <c r="F22"/>
  <c r="E22"/>
  <c r="U21"/>
  <c r="V20"/>
  <c r="N20"/>
  <c r="F20"/>
  <c r="U19"/>
  <c r="M19"/>
  <c r="F19"/>
  <c r="X18"/>
  <c r="P18"/>
  <c r="H18"/>
  <c r="X17"/>
  <c r="P17"/>
  <c r="H17"/>
  <c r="X16"/>
  <c r="P16"/>
  <c r="H16"/>
  <c r="F16"/>
  <c r="Y15"/>
  <c r="Q15"/>
  <c r="I15"/>
  <c r="AB14"/>
  <c r="AB28" s="1"/>
  <c r="AA14"/>
  <c r="AA28" s="1"/>
  <c r="Z14"/>
  <c r="Z28" s="1"/>
  <c r="X13"/>
  <c r="S13"/>
  <c r="M13"/>
  <c r="H13"/>
  <c r="C13"/>
  <c r="U12"/>
  <c r="P12"/>
  <c r="K12"/>
  <c r="H12"/>
  <c r="F12"/>
  <c r="Y11"/>
  <c r="T11"/>
  <c r="X10"/>
  <c r="R10"/>
  <c r="M10"/>
  <c r="H10"/>
  <c r="F10"/>
  <c r="B10"/>
  <c r="U9"/>
  <c r="P9"/>
  <c r="J9"/>
  <c r="E9"/>
  <c r="X8"/>
  <c r="R8"/>
  <c r="M8"/>
  <c r="H8"/>
  <c r="F8"/>
  <c r="B8"/>
  <c r="U7"/>
  <c r="P7"/>
  <c r="J7"/>
  <c r="E7"/>
  <c r="X6"/>
  <c r="R6"/>
  <c r="M6"/>
  <c r="H6"/>
  <c r="C6"/>
  <c r="W5"/>
  <c r="S5"/>
  <c r="O5"/>
  <c r="K5"/>
  <c r="G5"/>
  <c r="C5"/>
  <c r="W4"/>
  <c r="S4"/>
  <c r="O4"/>
  <c r="K4"/>
  <c r="H4"/>
  <c r="G4"/>
  <c r="F4"/>
  <c r="C4"/>
  <c r="W3"/>
  <c r="S3"/>
  <c r="O3"/>
  <c r="K3"/>
  <c r="H3"/>
  <c r="G3"/>
  <c r="B3"/>
  <c r="Z60" l="1"/>
  <c r="G48"/>
  <c r="D57"/>
  <c r="V56"/>
  <c r="R56"/>
  <c r="N56"/>
  <c r="J56"/>
  <c r="F56"/>
  <c r="B56"/>
  <c r="V55"/>
  <c r="R55"/>
  <c r="N55"/>
  <c r="J55"/>
  <c r="F55"/>
  <c r="B55"/>
  <c r="V54"/>
  <c r="R54"/>
  <c r="N54"/>
  <c r="X53"/>
  <c r="T53"/>
  <c r="P53"/>
  <c r="L53"/>
  <c r="H53"/>
  <c r="D53"/>
  <c r="D58" s="1"/>
  <c r="X51"/>
  <c r="T51"/>
  <c r="P51"/>
  <c r="L51"/>
  <c r="L58" s="1"/>
  <c r="H51"/>
  <c r="Y50"/>
  <c r="U50"/>
  <c r="Q50"/>
  <c r="Y49"/>
  <c r="U49"/>
  <c r="Q49"/>
  <c r="M49"/>
  <c r="I49"/>
  <c r="E49"/>
  <c r="X47"/>
  <c r="T47"/>
  <c r="P47"/>
  <c r="L47"/>
  <c r="H47"/>
  <c r="D47"/>
  <c r="X46"/>
  <c r="T46"/>
  <c r="Y45"/>
  <c r="U45"/>
  <c r="Q45"/>
  <c r="M45"/>
  <c r="I45"/>
  <c r="E45"/>
  <c r="X43"/>
  <c r="T43"/>
  <c r="P43"/>
  <c r="L43"/>
  <c r="H43"/>
  <c r="D43"/>
  <c r="V42"/>
  <c r="R42"/>
  <c r="N42"/>
  <c r="V41"/>
  <c r="R41"/>
  <c r="R48" s="1"/>
  <c r="N41"/>
  <c r="N48" s="1"/>
  <c r="E41"/>
  <c r="X37"/>
  <c r="T37"/>
  <c r="P37"/>
  <c r="L37"/>
  <c r="H37"/>
  <c r="D37"/>
  <c r="W36"/>
  <c r="S36"/>
  <c r="N35"/>
  <c r="Y33"/>
  <c r="U33"/>
  <c r="U38" s="1"/>
  <c r="U40" s="1"/>
  <c r="P33"/>
  <c r="M32"/>
  <c r="I32"/>
  <c r="E32"/>
  <c r="M31"/>
  <c r="I31"/>
  <c r="E31"/>
  <c r="E38" s="1"/>
  <c r="E40" s="1"/>
  <c r="V30"/>
  <c r="V38" s="1"/>
  <c r="V40" s="1"/>
  <c r="R30"/>
  <c r="N30"/>
  <c r="J30"/>
  <c r="F30"/>
  <c r="B30"/>
  <c r="X26"/>
  <c r="T26"/>
  <c r="P26"/>
  <c r="L26"/>
  <c r="H26"/>
  <c r="D26"/>
  <c r="X25"/>
  <c r="T25"/>
  <c r="P25"/>
  <c r="L25"/>
  <c r="H25"/>
  <c r="D25"/>
  <c r="X24"/>
  <c r="T24"/>
  <c r="P24"/>
  <c r="L24"/>
  <c r="H24"/>
  <c r="D24"/>
  <c r="X23"/>
  <c r="T23"/>
  <c r="P23"/>
  <c r="L23"/>
  <c r="G23"/>
  <c r="B23"/>
  <c r="V22"/>
  <c r="R22"/>
  <c r="N22"/>
  <c r="J22"/>
  <c r="B22"/>
  <c r="V21"/>
  <c r="R21"/>
  <c r="W20"/>
  <c r="S20"/>
  <c r="O20"/>
  <c r="K20"/>
  <c r="G20"/>
  <c r="C20"/>
  <c r="V19"/>
  <c r="R19"/>
  <c r="N19"/>
  <c r="J19"/>
  <c r="B19"/>
  <c r="V18"/>
  <c r="R18"/>
  <c r="N18"/>
  <c r="J18"/>
  <c r="F18"/>
  <c r="B18"/>
  <c r="V17"/>
  <c r="R17"/>
  <c r="N17"/>
  <c r="J17"/>
  <c r="F17"/>
  <c r="B17"/>
  <c r="V16"/>
  <c r="R16"/>
  <c r="N16"/>
  <c r="J16"/>
  <c r="B16"/>
  <c r="V15"/>
  <c r="R15"/>
  <c r="N15"/>
  <c r="N27" s="1"/>
  <c r="J15"/>
  <c r="F15"/>
  <c r="B15"/>
  <c r="W56"/>
  <c r="S56"/>
  <c r="O56"/>
  <c r="K56"/>
  <c r="G56"/>
  <c r="C56"/>
  <c r="W55"/>
  <c r="S55"/>
  <c r="O55"/>
  <c r="K55"/>
  <c r="G55"/>
  <c r="C55"/>
  <c r="W54"/>
  <c r="S54"/>
  <c r="O54"/>
  <c r="Y53"/>
  <c r="U53"/>
  <c r="Q53"/>
  <c r="M53"/>
  <c r="I53"/>
  <c r="E53"/>
  <c r="Y51"/>
  <c r="U51"/>
  <c r="Q51"/>
  <c r="M51"/>
  <c r="I51"/>
  <c r="E51"/>
  <c r="V50"/>
  <c r="R50"/>
  <c r="N50"/>
  <c r="V49"/>
  <c r="R49"/>
  <c r="N49"/>
  <c r="J49"/>
  <c r="F49"/>
  <c r="B49"/>
  <c r="Y47"/>
  <c r="U47"/>
  <c r="Q47"/>
  <c r="M47"/>
  <c r="I47"/>
  <c r="E47"/>
  <c r="Y46"/>
  <c r="U46"/>
  <c r="P46"/>
  <c r="V45"/>
  <c r="R45"/>
  <c r="N45"/>
  <c r="J45"/>
  <c r="J48" s="1"/>
  <c r="F45"/>
  <c r="Y43"/>
  <c r="U43"/>
  <c r="Q43"/>
  <c r="M43"/>
  <c r="M48" s="1"/>
  <c r="I43"/>
  <c r="E43"/>
  <c r="W42"/>
  <c r="S42"/>
  <c r="O42"/>
  <c r="W41"/>
  <c r="S41"/>
  <c r="S48" s="1"/>
  <c r="O41"/>
  <c r="F41"/>
  <c r="B39"/>
  <c r="Y37"/>
  <c r="U37"/>
  <c r="Q37"/>
  <c r="M37"/>
  <c r="I37"/>
  <c r="E37"/>
  <c r="X36"/>
  <c r="T36"/>
  <c r="O35"/>
  <c r="N34"/>
  <c r="V33"/>
  <c r="R33"/>
  <c r="N32"/>
  <c r="J32"/>
  <c r="F32"/>
  <c r="N31"/>
  <c r="J31"/>
  <c r="F31"/>
  <c r="W30"/>
  <c r="S30"/>
  <c r="O30"/>
  <c r="K30"/>
  <c r="G30"/>
  <c r="C30"/>
  <c r="Y26"/>
  <c r="U26"/>
  <c r="Q26"/>
  <c r="M26"/>
  <c r="I26"/>
  <c r="E26"/>
  <c r="Y25"/>
  <c r="U25"/>
  <c r="Q25"/>
  <c r="M25"/>
  <c r="I25"/>
  <c r="E25"/>
  <c r="Y24"/>
  <c r="U24"/>
  <c r="Q24"/>
  <c r="M24"/>
  <c r="I24"/>
  <c r="E24"/>
  <c r="Y23"/>
  <c r="U23"/>
  <c r="Q23"/>
  <c r="M23"/>
  <c r="H23"/>
  <c r="C23"/>
  <c r="W22"/>
  <c r="S22"/>
  <c r="O22"/>
  <c r="K22"/>
  <c r="G22"/>
  <c r="C22"/>
  <c r="W21"/>
  <c r="S21"/>
  <c r="X20"/>
  <c r="T20"/>
  <c r="P20"/>
  <c r="L20"/>
  <c r="H20"/>
  <c r="D20"/>
  <c r="W19"/>
  <c r="S19"/>
  <c r="O19"/>
  <c r="K19"/>
  <c r="G19"/>
  <c r="C19"/>
  <c r="W18"/>
  <c r="S18"/>
  <c r="O18"/>
  <c r="K18"/>
  <c r="G18"/>
  <c r="C18"/>
  <c r="W17"/>
  <c r="S17"/>
  <c r="O17"/>
  <c r="K17"/>
  <c r="G17"/>
  <c r="C17"/>
  <c r="W16"/>
  <c r="S16"/>
  <c r="O16"/>
  <c r="K16"/>
  <c r="G16"/>
  <c r="C16"/>
  <c r="W15"/>
  <c r="S15"/>
  <c r="O15"/>
  <c r="K15"/>
  <c r="G15"/>
  <c r="C15"/>
  <c r="V13"/>
  <c r="R13"/>
  <c r="N13"/>
  <c r="J13"/>
  <c r="F13"/>
  <c r="B13"/>
  <c r="V12"/>
  <c r="R12"/>
  <c r="N12"/>
  <c r="J12"/>
  <c r="B12"/>
  <c r="V11"/>
  <c r="R11"/>
  <c r="W10"/>
  <c r="S10"/>
  <c r="O10"/>
  <c r="K10"/>
  <c r="G10"/>
  <c r="C10"/>
  <c r="W9"/>
  <c r="S9"/>
  <c r="O9"/>
  <c r="K9"/>
  <c r="G9"/>
  <c r="C9"/>
  <c r="W8"/>
  <c r="S8"/>
  <c r="O8"/>
  <c r="K8"/>
  <c r="G8"/>
  <c r="C8"/>
  <c r="W7"/>
  <c r="S7"/>
  <c r="S14" s="1"/>
  <c r="O7"/>
  <c r="K7"/>
  <c r="G7"/>
  <c r="C7"/>
  <c r="W6"/>
  <c r="S6"/>
  <c r="O6"/>
  <c r="K6"/>
  <c r="K14" s="1"/>
  <c r="G6"/>
  <c r="G14" s="1"/>
  <c r="E3"/>
  <c r="E14" s="1"/>
  <c r="N3"/>
  <c r="R3"/>
  <c r="V3"/>
  <c r="B4"/>
  <c r="B14" s="1"/>
  <c r="J4"/>
  <c r="R4"/>
  <c r="B5"/>
  <c r="J5"/>
  <c r="R5"/>
  <c r="B6"/>
  <c r="L6"/>
  <c r="V6"/>
  <c r="D7"/>
  <c r="N7"/>
  <c r="T7"/>
  <c r="Y7"/>
  <c r="L8"/>
  <c r="Q8"/>
  <c r="D9"/>
  <c r="I9"/>
  <c r="T9"/>
  <c r="Q10"/>
  <c r="S11"/>
  <c r="I12"/>
  <c r="T12"/>
  <c r="G13"/>
  <c r="Q13"/>
  <c r="H15"/>
  <c r="H27" s="1"/>
  <c r="X15"/>
  <c r="U16"/>
  <c r="M17"/>
  <c r="E18"/>
  <c r="U18"/>
  <c r="L19"/>
  <c r="E20"/>
  <c r="U20"/>
  <c r="D22"/>
  <c r="Q22"/>
  <c r="K23"/>
  <c r="K24"/>
  <c r="C25"/>
  <c r="S25"/>
  <c r="K26"/>
  <c r="S26"/>
  <c r="L30"/>
  <c r="L38" s="1"/>
  <c r="L40" s="1"/>
  <c r="G31"/>
  <c r="K32"/>
  <c r="U36"/>
  <c r="N37"/>
  <c r="Q41"/>
  <c r="U42"/>
  <c r="O43"/>
  <c r="H45"/>
  <c r="X45"/>
  <c r="G47"/>
  <c r="W47"/>
  <c r="C49"/>
  <c r="C58" s="1"/>
  <c r="S49"/>
  <c r="W50"/>
  <c r="R51"/>
  <c r="R53"/>
  <c r="T54"/>
  <c r="D55"/>
  <c r="T55"/>
  <c r="L56"/>
  <c r="C3"/>
  <c r="L3"/>
  <c r="P3"/>
  <c r="T3"/>
  <c r="X3"/>
  <c r="D4"/>
  <c r="L4"/>
  <c r="P4"/>
  <c r="T4"/>
  <c r="X4"/>
  <c r="D5"/>
  <c r="H5"/>
  <c r="H14" s="1"/>
  <c r="L5"/>
  <c r="P5"/>
  <c r="T5"/>
  <c r="X5"/>
  <c r="D6"/>
  <c r="I6"/>
  <c r="N6"/>
  <c r="T6"/>
  <c r="Y6"/>
  <c r="F7"/>
  <c r="L7"/>
  <c r="Q7"/>
  <c r="V7"/>
  <c r="D8"/>
  <c r="I8"/>
  <c r="N8"/>
  <c r="T8"/>
  <c r="Y8"/>
  <c r="F9"/>
  <c r="L9"/>
  <c r="Q9"/>
  <c r="V9"/>
  <c r="D10"/>
  <c r="I10"/>
  <c r="N10"/>
  <c r="T10"/>
  <c r="Y10"/>
  <c r="U11"/>
  <c r="C12"/>
  <c r="G12"/>
  <c r="L12"/>
  <c r="Q12"/>
  <c r="W12"/>
  <c r="D13"/>
  <c r="I13"/>
  <c r="O13"/>
  <c r="T13"/>
  <c r="Y13"/>
  <c r="D15"/>
  <c r="D27" s="1"/>
  <c r="L15"/>
  <c r="T15"/>
  <c r="D16"/>
  <c r="I16"/>
  <c r="I27" s="1"/>
  <c r="Q16"/>
  <c r="Q27" s="1"/>
  <c r="Y16"/>
  <c r="Y27" s="1"/>
  <c r="I17"/>
  <c r="Q17"/>
  <c r="Y17"/>
  <c r="I18"/>
  <c r="Q18"/>
  <c r="Y18"/>
  <c r="H19"/>
  <c r="P19"/>
  <c r="X19"/>
  <c r="I20"/>
  <c r="Q20"/>
  <c r="Y20"/>
  <c r="X21"/>
  <c r="M22"/>
  <c r="U22"/>
  <c r="F23"/>
  <c r="O23"/>
  <c r="W23"/>
  <c r="G24"/>
  <c r="O24"/>
  <c r="W24"/>
  <c r="G25"/>
  <c r="O25"/>
  <c r="W25"/>
  <c r="G26"/>
  <c r="O26"/>
  <c r="W26"/>
  <c r="H30"/>
  <c r="P30"/>
  <c r="X30"/>
  <c r="X38" s="1"/>
  <c r="X40" s="1"/>
  <c r="K31"/>
  <c r="G32"/>
  <c r="O32"/>
  <c r="W33"/>
  <c r="Q35"/>
  <c r="B37"/>
  <c r="J37"/>
  <c r="R37"/>
  <c r="D39"/>
  <c r="H41"/>
  <c r="U41"/>
  <c r="Q42"/>
  <c r="Y42"/>
  <c r="K43"/>
  <c r="S43"/>
  <c r="D45"/>
  <c r="L45"/>
  <c r="T45"/>
  <c r="S46"/>
  <c r="C47"/>
  <c r="C48" s="1"/>
  <c r="C59" s="1"/>
  <c r="K47"/>
  <c r="S47"/>
  <c r="G49"/>
  <c r="O49"/>
  <c r="W49"/>
  <c r="S50"/>
  <c r="F51"/>
  <c r="N51"/>
  <c r="V51"/>
  <c r="F53"/>
  <c r="N53"/>
  <c r="V53"/>
  <c r="P54"/>
  <c r="X54"/>
  <c r="H55"/>
  <c r="P55"/>
  <c r="X55"/>
  <c r="H56"/>
  <c r="P56"/>
  <c r="X56"/>
  <c r="A71"/>
  <c r="M38"/>
  <c r="M40" s="1"/>
  <c r="J3"/>
  <c r="F14"/>
  <c r="N4"/>
  <c r="V4"/>
  <c r="F5"/>
  <c r="N5"/>
  <c r="V5"/>
  <c r="F6"/>
  <c r="Q6"/>
  <c r="I7"/>
  <c r="V8"/>
  <c r="N9"/>
  <c r="Y9"/>
  <c r="L10"/>
  <c r="V10"/>
  <c r="X11"/>
  <c r="E12"/>
  <c r="O12"/>
  <c r="O14" s="1"/>
  <c r="Y12"/>
  <c r="L13"/>
  <c r="W13"/>
  <c r="P15"/>
  <c r="P27" s="1"/>
  <c r="M16"/>
  <c r="E17"/>
  <c r="U17"/>
  <c r="M18"/>
  <c r="E19"/>
  <c r="T19"/>
  <c r="M20"/>
  <c r="T21"/>
  <c r="I22"/>
  <c r="Y22"/>
  <c r="S23"/>
  <c r="C24"/>
  <c r="S24"/>
  <c r="K25"/>
  <c r="C26"/>
  <c r="D30"/>
  <c r="D38" s="1"/>
  <c r="D40" s="1"/>
  <c r="T30"/>
  <c r="O31"/>
  <c r="S33"/>
  <c r="O34"/>
  <c r="F37"/>
  <c r="V37"/>
  <c r="D41"/>
  <c r="Y41"/>
  <c r="Y48" s="1"/>
  <c r="G43"/>
  <c r="W43"/>
  <c r="P45"/>
  <c r="W46"/>
  <c r="O47"/>
  <c r="K49"/>
  <c r="O50"/>
  <c r="J51"/>
  <c r="B53"/>
  <c r="J53"/>
  <c r="F54"/>
  <c r="L55"/>
  <c r="D56"/>
  <c r="T56"/>
  <c r="D3"/>
  <c r="I3"/>
  <c r="M3"/>
  <c r="Q3"/>
  <c r="U3"/>
  <c r="Y3"/>
  <c r="E4"/>
  <c r="I4"/>
  <c r="M4"/>
  <c r="Q4"/>
  <c r="U4"/>
  <c r="Y4"/>
  <c r="E5"/>
  <c r="I5"/>
  <c r="M5"/>
  <c r="Q5"/>
  <c r="U5"/>
  <c r="Y5"/>
  <c r="E6"/>
  <c r="J6"/>
  <c r="P6"/>
  <c r="U6"/>
  <c r="B7"/>
  <c r="H7"/>
  <c r="M7"/>
  <c r="R7"/>
  <c r="X7"/>
  <c r="E8"/>
  <c r="J8"/>
  <c r="P8"/>
  <c r="U8"/>
  <c r="B9"/>
  <c r="H9"/>
  <c r="M9"/>
  <c r="R9"/>
  <c r="X9"/>
  <c r="E10"/>
  <c r="J10"/>
  <c r="P10"/>
  <c r="U10"/>
  <c r="P11"/>
  <c r="W11"/>
  <c r="D12"/>
  <c r="M12"/>
  <c r="S12"/>
  <c r="X12"/>
  <c r="E13"/>
  <c r="K13"/>
  <c r="P13"/>
  <c r="U13"/>
  <c r="E15"/>
  <c r="M15"/>
  <c r="U15"/>
  <c r="E16"/>
  <c r="L16"/>
  <c r="T16"/>
  <c r="D17"/>
  <c r="L17"/>
  <c r="T17"/>
  <c r="D18"/>
  <c r="L18"/>
  <c r="T18"/>
  <c r="D19"/>
  <c r="I19"/>
  <c r="Q19"/>
  <c r="Y19"/>
  <c r="J20"/>
  <c r="R20"/>
  <c r="P21"/>
  <c r="Y21"/>
  <c r="H22"/>
  <c r="P22"/>
  <c r="X22"/>
  <c r="I23"/>
  <c r="R23"/>
  <c r="B24"/>
  <c r="J24"/>
  <c r="R24"/>
  <c r="B25"/>
  <c r="J25"/>
  <c r="R25"/>
  <c r="B26"/>
  <c r="J26"/>
  <c r="R26"/>
  <c r="I30"/>
  <c r="Q30"/>
  <c r="Q38" s="1"/>
  <c r="Q40" s="1"/>
  <c r="Y30"/>
  <c r="L31"/>
  <c r="H32"/>
  <c r="Q32"/>
  <c r="X33"/>
  <c r="R36"/>
  <c r="C37"/>
  <c r="K37"/>
  <c r="S37"/>
  <c r="B41"/>
  <c r="B48" s="1"/>
  <c r="P41"/>
  <c r="X41"/>
  <c r="X48" s="1"/>
  <c r="T42"/>
  <c r="T48" s="1"/>
  <c r="F43"/>
  <c r="N43"/>
  <c r="V43"/>
  <c r="G45"/>
  <c r="O45"/>
  <c r="W45"/>
  <c r="V46"/>
  <c r="F47"/>
  <c r="N47"/>
  <c r="V47"/>
  <c r="H49"/>
  <c r="H58" s="1"/>
  <c r="P49"/>
  <c r="X49"/>
  <c r="T50"/>
  <c r="T58" s="1"/>
  <c r="T59" s="1"/>
  <c r="G51"/>
  <c r="O51"/>
  <c r="W51"/>
  <c r="G53"/>
  <c r="O53"/>
  <c r="W53"/>
  <c r="Q54"/>
  <c r="Y54"/>
  <c r="I55"/>
  <c r="Q55"/>
  <c r="Y55"/>
  <c r="I56"/>
  <c r="Q56"/>
  <c r="Y56"/>
  <c r="O28" l="1"/>
  <c r="J59"/>
  <c r="J60" s="1"/>
  <c r="Y14"/>
  <c r="Y28" s="1"/>
  <c r="P14"/>
  <c r="P28" s="1"/>
  <c r="H28"/>
  <c r="J38"/>
  <c r="J40" s="1"/>
  <c r="Q58"/>
  <c r="P58"/>
  <c r="E27"/>
  <c r="E28" s="1"/>
  <c r="W58"/>
  <c r="W59" s="1"/>
  <c r="W14"/>
  <c r="O48"/>
  <c r="M59"/>
  <c r="M60" s="1"/>
  <c r="J58"/>
  <c r="J27"/>
  <c r="F38"/>
  <c r="F40" s="1"/>
  <c r="L48"/>
  <c r="L59" s="1"/>
  <c r="L60" s="1"/>
  <c r="M58"/>
  <c r="X58"/>
  <c r="X59" s="1"/>
  <c r="X60" s="1"/>
  <c r="B59"/>
  <c r="B60" s="1"/>
  <c r="M27"/>
  <c r="Q14"/>
  <c r="Q28" s="1"/>
  <c r="K58"/>
  <c r="K48"/>
  <c r="K59" s="1"/>
  <c r="K60" s="1"/>
  <c r="H48"/>
  <c r="H59" s="1"/>
  <c r="H60" s="1"/>
  <c r="H38"/>
  <c r="H40" s="1"/>
  <c r="T27"/>
  <c r="X14"/>
  <c r="X28" s="1"/>
  <c r="C14"/>
  <c r="S58"/>
  <c r="S59" s="1"/>
  <c r="S60" s="1"/>
  <c r="Q48"/>
  <c r="R14"/>
  <c r="R28" s="1"/>
  <c r="G27"/>
  <c r="G28" s="1"/>
  <c r="W27"/>
  <c r="G38"/>
  <c r="G40" s="1"/>
  <c r="W38"/>
  <c r="W40" s="1"/>
  <c r="F48"/>
  <c r="F59" s="1"/>
  <c r="F60" s="1"/>
  <c r="I48"/>
  <c r="F58"/>
  <c r="V58"/>
  <c r="F27"/>
  <c r="F28" s="1"/>
  <c r="V27"/>
  <c r="B38"/>
  <c r="B40" s="1"/>
  <c r="R38"/>
  <c r="R40" s="1"/>
  <c r="E48"/>
  <c r="I58"/>
  <c r="Y58"/>
  <c r="Y59" s="1"/>
  <c r="I14"/>
  <c r="I28" s="1"/>
  <c r="O58"/>
  <c r="O27"/>
  <c r="O38"/>
  <c r="O40" s="1"/>
  <c r="N58"/>
  <c r="N59" s="1"/>
  <c r="N60" s="1"/>
  <c r="Y38"/>
  <c r="Y40" s="1"/>
  <c r="M14"/>
  <c r="T38"/>
  <c r="T40" s="1"/>
  <c r="T60" s="1"/>
  <c r="L27"/>
  <c r="T14"/>
  <c r="T28" s="1"/>
  <c r="X27"/>
  <c r="N14"/>
  <c r="N28" s="1"/>
  <c r="K27"/>
  <c r="K28" s="1"/>
  <c r="K38"/>
  <c r="K40" s="1"/>
  <c r="P48"/>
  <c r="P59" s="1"/>
  <c r="I38"/>
  <c r="I40" s="1"/>
  <c r="U27"/>
  <c r="U14"/>
  <c r="D14"/>
  <c r="D28" s="1"/>
  <c r="D48"/>
  <c r="D59" s="1"/>
  <c r="D60" s="1"/>
  <c r="J14"/>
  <c r="G58"/>
  <c r="G59" s="1"/>
  <c r="G60" s="1"/>
  <c r="U48"/>
  <c r="P38"/>
  <c r="P40" s="1"/>
  <c r="L14"/>
  <c r="L28" s="1"/>
  <c r="V14"/>
  <c r="V28" s="1"/>
  <c r="C27"/>
  <c r="S27"/>
  <c r="S28" s="1"/>
  <c r="C38"/>
  <c r="C40" s="1"/>
  <c r="C60" s="1"/>
  <c r="S38"/>
  <c r="S40" s="1"/>
  <c r="W48"/>
  <c r="B58"/>
  <c r="R58"/>
  <c r="R59" s="1"/>
  <c r="R60" s="1"/>
  <c r="B27"/>
  <c r="B28" s="1"/>
  <c r="R27"/>
  <c r="N38"/>
  <c r="N40" s="1"/>
  <c r="V48"/>
  <c r="E58"/>
  <c r="U58"/>
  <c r="U59" s="1"/>
  <c r="U60" s="1"/>
  <c r="V59" l="1"/>
  <c r="V60" s="1"/>
  <c r="Y60"/>
  <c r="Q59"/>
  <c r="Q60" s="1"/>
  <c r="O59"/>
  <c r="O60" s="1"/>
  <c r="U28"/>
  <c r="E59"/>
  <c r="E60" s="1"/>
  <c r="W60"/>
  <c r="C28"/>
  <c r="P60"/>
  <c r="M28"/>
  <c r="I59"/>
  <c r="I60" s="1"/>
  <c r="J28"/>
  <c r="W28"/>
</calcChain>
</file>

<file path=xl/sharedStrings.xml><?xml version="1.0" encoding="utf-8"?>
<sst xmlns="http://schemas.openxmlformats.org/spreadsheetml/2006/main" count="171" uniqueCount="90">
  <si>
    <t>in millions of PLN</t>
  </si>
  <si>
    <t>31 December 2004</t>
  </si>
  <si>
    <t xml:space="preserve">31 December 2005 </t>
  </si>
  <si>
    <t>31 December 2006</t>
  </si>
  <si>
    <t xml:space="preserve"> 31 December 2007</t>
  </si>
  <si>
    <t>30 June 2008</t>
  </si>
  <si>
    <t xml:space="preserve"> 31 December 2008</t>
  </si>
  <si>
    <t>30 June 2009</t>
  </si>
  <si>
    <t>31 December 2009</t>
  </si>
  <si>
    <t>30 June 2010</t>
  </si>
  <si>
    <t>30 September 2010</t>
  </si>
  <si>
    <t>31 December 2010</t>
  </si>
  <si>
    <t>31 marca 2011 r.</t>
  </si>
  <si>
    <t>30 June 2011</t>
  </si>
  <si>
    <t>30 September 2011</t>
  </si>
  <si>
    <t>31 December 2011</t>
  </si>
  <si>
    <t>31 March 2012</t>
  </si>
  <si>
    <t>30 June 2012</t>
  </si>
  <si>
    <t>30 September 2012</t>
  </si>
  <si>
    <t>31 December 2012</t>
  </si>
  <si>
    <t>31 March 2013</t>
  </si>
  <si>
    <t>30 June 2013</t>
  </si>
  <si>
    <t>30 September 2013</t>
  </si>
  <si>
    <t>31 December 2013</t>
  </si>
  <si>
    <t>31 March 2014</t>
  </si>
  <si>
    <t>30 June 2014</t>
  </si>
  <si>
    <t>30 September 2014 r.</t>
  </si>
  <si>
    <t>31 December 2014</t>
  </si>
  <si>
    <t>ASSETS</t>
  </si>
  <si>
    <t>Reception equipment</t>
  </si>
  <si>
    <t>Other property, plant and equipment</t>
  </si>
  <si>
    <t>Goodwill</t>
  </si>
  <si>
    <r>
      <t>Customer relationships</t>
    </r>
    <r>
      <rPr>
        <vertAlign val="superscript"/>
        <sz val="9"/>
        <color indexed="8"/>
        <rFont val="Calibri"/>
        <family val="2"/>
        <charset val="238"/>
      </rPr>
      <t>4)</t>
    </r>
  </si>
  <si>
    <t>Brands</t>
  </si>
  <si>
    <t xml:space="preserve">Other intangible assets </t>
  </si>
  <si>
    <t>Non-current programming assets</t>
  </si>
  <si>
    <t>Investment property</t>
  </si>
  <si>
    <r>
      <t>Non-current deferred distribution fees</t>
    </r>
    <r>
      <rPr>
        <vertAlign val="superscript"/>
        <sz val="9"/>
        <color indexed="8"/>
        <rFont val="Calibri"/>
        <family val="2"/>
        <charset val="238"/>
      </rPr>
      <t>1)</t>
    </r>
  </si>
  <si>
    <t>1)</t>
  </si>
  <si>
    <r>
      <t>Other non-current assets</t>
    </r>
    <r>
      <rPr>
        <vertAlign val="superscript"/>
        <sz val="9"/>
        <color indexed="8"/>
        <rFont val="Calibri"/>
        <family val="2"/>
        <charset val="238"/>
      </rPr>
      <t>1)</t>
    </r>
  </si>
  <si>
    <t>Deferred tax assets</t>
  </si>
  <si>
    <t>Total non-current assets</t>
  </si>
  <si>
    <t>Current programming assets</t>
  </si>
  <si>
    <t>Inventories</t>
  </si>
  <si>
    <t>Loans granted to related parties</t>
  </si>
  <si>
    <t>Bonds</t>
  </si>
  <si>
    <r>
      <t>Trade and other receivables</t>
    </r>
    <r>
      <rPr>
        <vertAlign val="superscript"/>
        <sz val="9"/>
        <color indexed="8"/>
        <rFont val="Calibri"/>
        <family val="2"/>
        <charset val="238"/>
      </rPr>
      <t>2)</t>
    </r>
  </si>
  <si>
    <t>Income tax receivable</t>
  </si>
  <si>
    <r>
      <t>Current deferred distribution fees</t>
    </r>
    <r>
      <rPr>
        <vertAlign val="superscript"/>
        <sz val="9"/>
        <color indexed="8"/>
        <rFont val="Calibri"/>
        <family val="2"/>
        <charset val="238"/>
      </rPr>
      <t>1)</t>
    </r>
  </si>
  <si>
    <r>
      <t>Other current assets</t>
    </r>
    <r>
      <rPr>
        <vertAlign val="superscript"/>
        <sz val="9"/>
        <color indexed="8"/>
        <rFont val="Calibri"/>
        <family val="2"/>
        <charset val="238"/>
      </rPr>
      <t>1)</t>
    </r>
  </si>
  <si>
    <t>Short-term deposits</t>
  </si>
  <si>
    <t>-</t>
  </si>
  <si>
    <t>Cash and cash equivalents</t>
  </si>
  <si>
    <t>Restricted cash</t>
  </si>
  <si>
    <t>Assets held for sale</t>
  </si>
  <si>
    <t>Total current assets</t>
  </si>
  <si>
    <t>Total assets</t>
  </si>
  <si>
    <t>EQUITY AND LIABILITIES</t>
  </si>
  <si>
    <t>Share capital</t>
  </si>
  <si>
    <t>Reserve capital</t>
  </si>
  <si>
    <t>3)</t>
  </si>
  <si>
    <t>Other reserves</t>
  </si>
  <si>
    <r>
      <t>Share premium</t>
    </r>
    <r>
      <rPr>
        <vertAlign val="superscript"/>
        <sz val="9"/>
        <color indexed="8"/>
        <rFont val="Calibri"/>
        <family val="2"/>
        <charset val="238"/>
      </rPr>
      <t>3)</t>
    </r>
  </si>
  <si>
    <t>Hedge valuation reserve</t>
  </si>
  <si>
    <t>Currency translation adjustmnet</t>
  </si>
  <si>
    <r>
      <t>Other reserves</t>
    </r>
    <r>
      <rPr>
        <vertAlign val="superscript"/>
        <sz val="9"/>
        <color indexed="8"/>
        <rFont val="Calibri"/>
        <family val="2"/>
        <charset val="238"/>
      </rPr>
      <t>3)</t>
    </r>
  </si>
  <si>
    <t>Retained earnings</t>
  </si>
  <si>
    <t>Equity attributable to equity holders of the Parent</t>
  </si>
  <si>
    <t>Non-controlling interests</t>
  </si>
  <si>
    <t>Total equity</t>
  </si>
  <si>
    <t>Loans and borrowings</t>
  </si>
  <si>
    <t>Issued bonds</t>
  </si>
  <si>
    <t>Finance lease liabilities</t>
  </si>
  <si>
    <r>
      <t>UMTS license liabilities</t>
    </r>
    <r>
      <rPr>
        <vertAlign val="superscript"/>
        <sz val="9"/>
        <color indexed="8"/>
        <rFont val="Calibri"/>
        <family val="2"/>
        <charset val="238"/>
      </rPr>
      <t>4)</t>
    </r>
  </si>
  <si>
    <t>Deferred tax liabilities</t>
  </si>
  <si>
    <r>
      <t>Deferred income</t>
    </r>
    <r>
      <rPr>
        <vertAlign val="superscript"/>
        <sz val="10"/>
        <color indexed="8"/>
        <rFont val="Calibri"/>
        <family val="2"/>
        <charset val="238"/>
      </rPr>
      <t>2)</t>
    </r>
  </si>
  <si>
    <t>2)</t>
  </si>
  <si>
    <t>Other non-current liabilities and provisions</t>
  </si>
  <si>
    <t>Total non-current liabilities</t>
  </si>
  <si>
    <t xml:space="preserve">Trade and other payables </t>
  </si>
  <si>
    <t>Income tax liability</t>
  </si>
  <si>
    <t>Deposits for equipment</t>
  </si>
  <si>
    <r>
      <t>Deferred income</t>
    </r>
    <r>
      <rPr>
        <vertAlign val="superscript"/>
        <sz val="9"/>
        <color indexed="8"/>
        <rFont val="Calibri"/>
        <family val="2"/>
        <charset val="238"/>
      </rPr>
      <t>2)</t>
    </r>
  </si>
  <si>
    <t>Liabilities related to non-current assets held for sale</t>
  </si>
  <si>
    <t>Total current liabilities</t>
  </si>
  <si>
    <t>Total liabilities</t>
  </si>
  <si>
    <r>
      <rPr>
        <vertAlign val="superscript"/>
        <sz val="9"/>
        <color indexed="8"/>
        <rFont val="Calibri"/>
        <family val="2"/>
        <charset val="238"/>
      </rPr>
      <t>1)</t>
    </r>
    <r>
      <rPr>
        <sz val="9"/>
        <color indexed="8"/>
        <rFont val="Calibri"/>
        <family val="2"/>
        <charset val="238"/>
      </rPr>
      <t xml:space="preserve"> As of f June 30, 2012, the Group changed its consolidated balance sheet presentation to present long term portion of the data transfer order from Mobyland in Other non-current assets (reclassification from Other current assets). The Group also reclassified and presented Non-current deferred distribution fees and Current deferred distribution fees separately from Other non-current assets and Other current assets, respectively. Data as of December 31, 2011 have been reclassified to conform to the current period presentation.</t>
    </r>
  </si>
  <si>
    <r>
      <rPr>
        <vertAlign val="superscript"/>
        <sz val="9"/>
        <color indexed="8"/>
        <rFont val="Calibri"/>
        <family val="2"/>
        <charset val="238"/>
      </rPr>
      <t>2)</t>
    </r>
    <r>
      <rPr>
        <sz val="9"/>
        <color indexed="8"/>
        <rFont val="Calibri"/>
        <family val="2"/>
        <charset val="238"/>
      </rPr>
      <t xml:space="preserve"> As of June 30, 2012, the Group reclassified receivables and deferred income. Data as of December 31, 2011 have been reclassified to conform to the current period presentation.</t>
    </r>
  </si>
  <si>
    <r>
      <rPr>
        <vertAlign val="superscript"/>
        <sz val="9"/>
        <color indexed="8"/>
        <rFont val="Calibri"/>
        <family val="2"/>
        <charset val="238"/>
      </rPr>
      <t>3)</t>
    </r>
    <r>
      <rPr>
        <sz val="9"/>
        <color indexed="8"/>
        <rFont val="Calibri"/>
        <family val="2"/>
        <charset val="238"/>
      </rPr>
      <t xml:space="preserve"> Change in presentation from June 30, 2012. Data as of December 31, 2011 have been reclassified to conform to the current period presentation.</t>
    </r>
  </si>
  <si>
    <r>
      <rPr>
        <vertAlign val="superscript"/>
        <sz val="9"/>
        <color indexed="8"/>
        <rFont val="Calibri"/>
        <family val="2"/>
        <charset val="238"/>
      </rPr>
      <t>4)</t>
    </r>
    <r>
      <rPr>
        <sz val="9"/>
        <color indexed="8"/>
        <rFont val="Calibri"/>
        <family val="2"/>
        <charset val="238"/>
      </rPr>
      <t xml:space="preserve"> Following the provisional purchase price allocation, the Group introduced new balance sheet items as of the end of June 2014: Customer relationships and UMTS license liabilities in both current and non-current liabilities.  </t>
    </r>
  </si>
</sst>
</file>

<file path=xl/styles.xml><?xml version="1.0" encoding="utf-8"?>
<styleSheet xmlns="http://schemas.openxmlformats.org/spreadsheetml/2006/main">
  <numFmts count="17">
    <numFmt numFmtId="164" formatCode="0.000"/>
    <numFmt numFmtId="165" formatCode="#,##0.000\ ;\(#,##0.000\)"/>
    <numFmt numFmtId="166" formatCode="#,##0.0\ ;\(#,##0.0\)"/>
    <numFmt numFmtId="167" formatCode="#,##0.0"/>
    <numFmt numFmtId="168" formatCode="_(* #,##0_);_(* \(#,##0\);_(* &quot;-&quot;_);_(@_)"/>
    <numFmt numFmtId="169" formatCode="_(* #,##0.00_);_(* \(#,##0.00\);_(* &quot;-&quot;??_);_(@_)"/>
    <numFmt numFmtId="170" formatCode="_(* #,##0.000_);_(* \(#,##0.000\);_(* &quot;-&quot;??_);_(@_)"/>
    <numFmt numFmtId="171" formatCode="\-"/>
    <numFmt numFmtId="172" formatCode="#,##0.0\ ;\(#,##0\)"/>
    <numFmt numFmtId="173" formatCode="0.0"/>
    <numFmt numFmtId="174" formatCode="_(* #,##0.0_);_(* \(#,##0.0\);_(* &quot;-&quot;_);_(@_)"/>
    <numFmt numFmtId="175" formatCode="###0.000"/>
    <numFmt numFmtId="176" formatCode="#\.##0"/>
    <numFmt numFmtId="177" formatCode="#,##0.000"/>
    <numFmt numFmtId="178" formatCode="#\.###\.##0"/>
    <numFmt numFmtId="179" formatCode="#,##0,;\(#,##0\)"/>
    <numFmt numFmtId="180" formatCode="###0.0"/>
  </numFmts>
  <fonts count="11"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color indexed="8"/>
      <name val="Calibri"/>
      <family val="2"/>
      <charset val="238"/>
    </font>
    <font>
      <vertAlign val="superscript"/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0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4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4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5" fontId="2" fillId="4" borderId="0" xfId="0" applyNumberFormat="1" applyFont="1" applyFill="1"/>
    <xf numFmtId="166" fontId="2" fillId="0" borderId="0" xfId="0" applyNumberFormat="1" applyFont="1" applyFill="1" applyBorder="1"/>
    <xf numFmtId="166" fontId="2" fillId="4" borderId="0" xfId="0" applyNumberFormat="1" applyFont="1" applyFill="1"/>
    <xf numFmtId="167" fontId="2" fillId="0" borderId="0" xfId="0" applyNumberFormat="1" applyFont="1" applyFill="1" applyBorder="1"/>
    <xf numFmtId="168" fontId="3" fillId="4" borderId="0" xfId="0" applyNumberFormat="1" applyFont="1" applyFill="1" applyBorder="1" applyAlignment="1">
      <alignment horizontal="right"/>
    </xf>
    <xf numFmtId="170" fontId="3" fillId="4" borderId="0" xfId="1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71" fontId="3" fillId="0" borderId="0" xfId="1" applyNumberFormat="1" applyFont="1" applyFill="1" applyBorder="1" applyAlignment="1">
      <alignment horizontal="right"/>
    </xf>
    <xf numFmtId="171" fontId="2" fillId="4" borderId="0" xfId="0" applyNumberFormat="1" applyFont="1" applyFill="1"/>
    <xf numFmtId="165" fontId="3" fillId="4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/>
    <xf numFmtId="173" fontId="6" fillId="4" borderId="0" xfId="0" applyNumberFormat="1" applyFont="1" applyFill="1" applyBorder="1" applyAlignment="1">
      <alignment horizontal="right"/>
    </xf>
    <xf numFmtId="168" fontId="6" fillId="4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/>
    <xf numFmtId="165" fontId="1" fillId="4" borderId="0" xfId="0" applyNumberFormat="1" applyFont="1" applyFill="1"/>
    <xf numFmtId="167" fontId="1" fillId="0" borderId="0" xfId="0" applyNumberFormat="1" applyFont="1" applyFill="1" applyBorder="1"/>
    <xf numFmtId="166" fontId="1" fillId="4" borderId="0" xfId="0" applyNumberFormat="1" applyFont="1" applyFill="1"/>
    <xf numFmtId="0" fontId="1" fillId="0" borderId="0" xfId="0" applyFont="1"/>
    <xf numFmtId="164" fontId="2" fillId="4" borderId="0" xfId="0" applyNumberFormat="1" applyFont="1" applyFill="1" applyBorder="1" applyAlignment="1">
      <alignment horizontal="right"/>
    </xf>
    <xf numFmtId="174" fontId="3" fillId="4" borderId="0" xfId="0" applyNumberFormat="1" applyFont="1" applyFill="1" applyBorder="1" applyAlignment="1">
      <alignment horizontal="right"/>
    </xf>
    <xf numFmtId="174" fontId="6" fillId="4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6" fontId="1" fillId="0" borderId="2" xfId="0" applyNumberFormat="1" applyFont="1" applyFill="1" applyBorder="1"/>
    <xf numFmtId="0" fontId="1" fillId="0" borderId="1" xfId="0" applyFont="1" applyFill="1" applyBorder="1" applyAlignment="1">
      <alignment horizontal="left"/>
    </xf>
    <xf numFmtId="164" fontId="7" fillId="4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5" fontId="1" fillId="4" borderId="1" xfId="0" applyNumberFormat="1" applyFont="1" applyFill="1" applyBorder="1"/>
    <xf numFmtId="166" fontId="1" fillId="0" borderId="1" xfId="0" applyNumberFormat="1" applyFont="1" applyFill="1" applyBorder="1"/>
    <xf numFmtId="166" fontId="1" fillId="4" borderId="1" xfId="0" applyNumberFormat="1" applyFont="1" applyFill="1" applyBorder="1"/>
    <xf numFmtId="1" fontId="2" fillId="4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5" fontId="2" fillId="4" borderId="0" xfId="0" applyNumberFormat="1" applyFont="1" applyFill="1"/>
    <xf numFmtId="175" fontId="2" fillId="0" borderId="0" xfId="0" applyNumberFormat="1" applyFont="1" applyFill="1"/>
    <xf numFmtId="176" fontId="5" fillId="4" borderId="0" xfId="0" applyNumberFormat="1" applyFont="1" applyFill="1" applyAlignment="1">
      <alignment horizontal="right"/>
    </xf>
    <xf numFmtId="171" fontId="3" fillId="4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8" fontId="5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77" fontId="2" fillId="4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2" fillId="4" borderId="0" xfId="0" applyNumberFormat="1" applyFont="1" applyFill="1"/>
    <xf numFmtId="177" fontId="2" fillId="0" borderId="0" xfId="0" applyNumberFormat="1" applyFont="1" applyFill="1"/>
    <xf numFmtId="167" fontId="2" fillId="0" borderId="0" xfId="0" applyNumberFormat="1" applyFont="1" applyFill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80" fontId="2" fillId="5" borderId="0" xfId="0" applyNumberFormat="1" applyFont="1" applyFill="1"/>
    <xf numFmtId="180" fontId="2" fillId="4" borderId="0" xfId="0" applyNumberFormat="1" applyFont="1" applyFill="1"/>
    <xf numFmtId="0" fontId="8" fillId="0" borderId="0" xfId="0" applyFont="1" applyFill="1"/>
    <xf numFmtId="177" fontId="7" fillId="0" borderId="0" xfId="0" applyNumberFormat="1" applyFont="1" applyFill="1" applyBorder="1" applyAlignment="1">
      <alignment horizontal="right"/>
    </xf>
    <xf numFmtId="177" fontId="7" fillId="4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6" fontId="7" fillId="4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76" fontId="2" fillId="0" borderId="0" xfId="0" applyNumberFormat="1" applyFont="1" applyFill="1"/>
    <xf numFmtId="176" fontId="2" fillId="4" borderId="0" xfId="0" applyNumberFormat="1" applyFont="1" applyFill="1"/>
    <xf numFmtId="168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77" fontId="1" fillId="4" borderId="0" xfId="0" applyNumberFormat="1" applyFont="1" applyFill="1"/>
    <xf numFmtId="177" fontId="1" fillId="0" borderId="0" xfId="0" applyNumberFormat="1" applyFont="1" applyFill="1"/>
    <xf numFmtId="164" fontId="1" fillId="4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4" borderId="0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 horizontal="right"/>
    </xf>
    <xf numFmtId="177" fontId="1" fillId="4" borderId="1" xfId="0" applyNumberFormat="1" applyFont="1" applyFill="1" applyBorder="1" applyAlignment="1">
      <alignment horizontal="right"/>
    </xf>
    <xf numFmtId="177" fontId="1" fillId="4" borderId="1" xfId="0" applyNumberFormat="1" applyFont="1" applyFill="1" applyBorder="1"/>
    <xf numFmtId="177" fontId="1" fillId="0" borderId="1" xfId="0" applyNumberFormat="1" applyFont="1" applyFill="1" applyBorder="1"/>
    <xf numFmtId="167" fontId="1" fillId="0" borderId="1" xfId="0" applyNumberFormat="1" applyFont="1" applyFill="1" applyBorder="1"/>
    <xf numFmtId="0" fontId="2" fillId="5" borderId="0" xfId="0" applyFont="1" applyFill="1" applyAlignment="1">
      <alignment horizontal="left"/>
    </xf>
    <xf numFmtId="0" fontId="2" fillId="5" borderId="0" xfId="0" applyFont="1" applyFill="1"/>
    <xf numFmtId="164" fontId="1" fillId="5" borderId="0" xfId="0" applyNumberFormat="1" applyFont="1" applyFill="1" applyAlignment="1">
      <alignment horizontal="right"/>
    </xf>
    <xf numFmtId="0" fontId="2" fillId="5" borderId="3" xfId="0" applyFont="1" applyFill="1" applyBorder="1"/>
    <xf numFmtId="0" fontId="2" fillId="5" borderId="0" xfId="0" applyFont="1" applyFill="1" applyAlignment="1">
      <alignment horizontal="left" vertical="top" wrapText="1"/>
    </xf>
    <xf numFmtId="1" fontId="2" fillId="5" borderId="0" xfId="0" applyNumberFormat="1" applyFont="1" applyFill="1" applyAlignment="1">
      <alignment horizontal="right"/>
    </xf>
    <xf numFmtId="0" fontId="2" fillId="5" borderId="0" xfId="0" applyFont="1" applyFill="1" applyBorder="1"/>
    <xf numFmtId="164" fontId="2" fillId="5" borderId="0" xfId="0" applyNumberFormat="1" applyFont="1" applyFill="1" applyAlignment="1">
      <alignment horizontal="right"/>
    </xf>
    <xf numFmtId="0" fontId="10" fillId="5" borderId="0" xfId="0" applyFont="1" applyFill="1" applyAlignment="1">
      <alignment horizontal="right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/>
    <xf numFmtId="0" fontId="2" fillId="5" borderId="0" xfId="0" applyFont="1" applyFill="1" applyBorder="1" applyAlignment="1"/>
    <xf numFmtId="0" fontId="2" fillId="0" borderId="0" xfId="0" applyFont="1" applyBorder="1"/>
  </cellXfs>
  <cellStyles count="3">
    <cellStyle name="Dziesiętny" xfId="1" builtinId="3"/>
    <cellStyle name="Normalny" xfId="0" builtinId="0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71"/>
  <sheetViews>
    <sheetView tabSelected="1" view="pageBreakPreview" zoomScaleNormal="100" zoomScaleSheetLayoutView="100" workbookViewId="0">
      <selection activeCell="A25" sqref="A25"/>
    </sheetView>
  </sheetViews>
  <sheetFormatPr defaultRowHeight="12" outlineLevelCol="1"/>
  <cols>
    <col min="1" max="1" width="53" style="5" customWidth="1"/>
    <col min="2" max="2" width="13.625" style="5" customWidth="1"/>
    <col min="3" max="3" width="13.75" style="5" customWidth="1"/>
    <col min="4" max="4" width="13" style="5" customWidth="1"/>
    <col min="5" max="5" width="14.25" style="5" customWidth="1"/>
    <col min="6" max="6" width="12.375" style="5" customWidth="1" outlineLevel="1"/>
    <col min="7" max="7" width="12.625" style="11" customWidth="1"/>
    <col min="8" max="8" width="12.375" style="5" customWidth="1" outlineLevel="1"/>
    <col min="9" max="9" width="13.375" style="11" customWidth="1"/>
    <col min="10" max="10" width="13.375" style="5" customWidth="1" outlineLevel="1"/>
    <col min="11" max="11" width="12.625" style="5" customWidth="1" outlineLevel="1"/>
    <col min="12" max="12" width="12.5" style="5" bestFit="1" customWidth="1"/>
    <col min="13" max="13" width="11.5" style="5" bestFit="1" customWidth="1"/>
    <col min="14" max="14" width="12.375" style="5" bestFit="1" customWidth="1"/>
    <col min="15" max="15" width="13" style="5" bestFit="1" customWidth="1"/>
    <col min="16" max="16" width="12.125" style="5" bestFit="1" customWidth="1"/>
    <col min="17" max="17" width="11.5" style="5" bestFit="1" customWidth="1"/>
    <col min="18" max="18" width="12.375" style="5" bestFit="1" customWidth="1"/>
    <col min="19" max="19" width="13.625" style="5" customWidth="1"/>
    <col min="20" max="20" width="12.125" style="5" bestFit="1" customWidth="1"/>
    <col min="21" max="23" width="13.625" style="5" customWidth="1"/>
    <col min="24" max="24" width="12.125" style="5" customWidth="1"/>
    <col min="25" max="25" width="13.625" style="5" customWidth="1"/>
    <col min="26" max="27" width="13.625" style="117" customWidth="1"/>
    <col min="28" max="28" width="12.125" style="5" customWidth="1"/>
    <col min="29" max="16384" width="9" style="5"/>
  </cols>
  <sheetData>
    <row r="1" spans="1:28" ht="20.10000000000000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4" t="s">
        <v>20</v>
      </c>
      <c r="V1" s="3" t="s">
        <v>21</v>
      </c>
      <c r="W1" s="3" t="s">
        <v>22</v>
      </c>
      <c r="X1" s="2" t="s">
        <v>23</v>
      </c>
      <c r="Y1" s="4" t="s">
        <v>24</v>
      </c>
      <c r="Z1" s="4" t="s">
        <v>25</v>
      </c>
      <c r="AA1" s="4" t="s">
        <v>26</v>
      </c>
      <c r="AB1" s="2" t="s">
        <v>27</v>
      </c>
    </row>
    <row r="2" spans="1:28" ht="20.100000000000001" customHeight="1">
      <c r="A2" s="6" t="s">
        <v>28</v>
      </c>
      <c r="B2" s="7"/>
      <c r="C2" s="7"/>
      <c r="D2" s="7"/>
      <c r="E2" s="8"/>
      <c r="F2" s="9"/>
      <c r="G2" s="10"/>
      <c r="H2" s="11"/>
      <c r="I2" s="12"/>
      <c r="J2" s="11"/>
      <c r="K2" s="11"/>
      <c r="L2" s="12"/>
      <c r="M2" s="11"/>
      <c r="N2" s="11"/>
      <c r="O2" s="11"/>
      <c r="P2" s="12"/>
      <c r="Q2" s="11"/>
      <c r="R2" s="11"/>
      <c r="S2" s="11"/>
      <c r="T2" s="12"/>
      <c r="U2" s="11"/>
      <c r="V2" s="11"/>
      <c r="W2" s="11"/>
      <c r="X2" s="12"/>
      <c r="Y2" s="11"/>
      <c r="Z2" s="13"/>
      <c r="AA2" s="13"/>
      <c r="AB2" s="12"/>
    </row>
    <row r="3" spans="1:28" ht="20.100000000000001" customHeight="1">
      <c r="A3" s="14" t="s">
        <v>29</v>
      </c>
      <c r="B3" s="10">
        <f>104132*($A$70)</f>
        <v>104.13200000000001</v>
      </c>
      <c r="C3" s="10">
        <f>42144*($A$70)</f>
        <v>42.143999999999998</v>
      </c>
      <c r="D3" s="10">
        <f>7979*($A$70)</f>
        <v>7.9790000000000001</v>
      </c>
      <c r="E3" s="15">
        <f>549*($A$70)</f>
        <v>0.54900000000000004</v>
      </c>
      <c r="F3" s="16">
        <v>0.378</v>
      </c>
      <c r="G3" s="10">
        <f>20785*($A$70)</f>
        <v>20.785</v>
      </c>
      <c r="H3" s="17">
        <f>49123*(1/1000)</f>
        <v>49.122999999999998</v>
      </c>
      <c r="I3" s="10">
        <f>122457*($A$70)</f>
        <v>122.45700000000001</v>
      </c>
      <c r="J3" s="18">
        <f>183637*($A$70)</f>
        <v>183.637</v>
      </c>
      <c r="K3" s="19">
        <f>215832*($A$70)</f>
        <v>215.83199999999999</v>
      </c>
      <c r="L3" s="20">
        <f>275399*($A$70)</f>
        <v>275.399</v>
      </c>
      <c r="M3" s="19">
        <f>320402*($A$70)</f>
        <v>320.40199999999999</v>
      </c>
      <c r="N3" s="19">
        <f>359907*($A$70)</f>
        <v>359.90699999999998</v>
      </c>
      <c r="O3" s="19">
        <f>386044*($A$70)</f>
        <v>386.04399999999998</v>
      </c>
      <c r="P3" s="20">
        <f>408610*($A$70)</f>
        <v>408.61</v>
      </c>
      <c r="Q3" s="19">
        <f>415308*($A$70)</f>
        <v>415.30799999999999</v>
      </c>
      <c r="R3" s="19">
        <f>419479*($A$70)</f>
        <v>419.47899999999998</v>
      </c>
      <c r="S3" s="19">
        <f>425068*($A$70)</f>
        <v>425.06799999999998</v>
      </c>
      <c r="T3" s="20">
        <f>420060*($A$70)</f>
        <v>420.06</v>
      </c>
      <c r="U3" s="19">
        <f>419894*($A$70)</f>
        <v>419.89400000000001</v>
      </c>
      <c r="V3" s="19">
        <f>418521*($A$70)</f>
        <v>418.52100000000002</v>
      </c>
      <c r="W3" s="19">
        <f>409736*($A$70)</f>
        <v>409.73599999999999</v>
      </c>
      <c r="X3" s="20">
        <f>407579*($A$70)</f>
        <v>407.57900000000001</v>
      </c>
      <c r="Y3" s="19">
        <f>395393*($A$70)</f>
        <v>395.39300000000003</v>
      </c>
      <c r="Z3" s="21">
        <v>384.8</v>
      </c>
      <c r="AA3" s="21">
        <v>417</v>
      </c>
      <c r="AB3" s="22">
        <v>421.1</v>
      </c>
    </row>
    <row r="4" spans="1:28" ht="20.100000000000001" customHeight="1">
      <c r="A4" s="14" t="s">
        <v>30</v>
      </c>
      <c r="B4" s="10">
        <f>14741*($A$70)</f>
        <v>14.741</v>
      </c>
      <c r="C4" s="10">
        <f>16217*($A$70)</f>
        <v>16.216999999999999</v>
      </c>
      <c r="D4" s="10">
        <f>45717*($A$70)</f>
        <v>45.716999999999999</v>
      </c>
      <c r="E4" s="15">
        <f>97326*($A$70)</f>
        <v>97.326000000000008</v>
      </c>
      <c r="F4" s="16">
        <f>107330*(1/1000)</f>
        <v>107.33</v>
      </c>
      <c r="G4" s="10">
        <f>125970*($A$70)</f>
        <v>125.97</v>
      </c>
      <c r="H4" s="17">
        <f>141404*(1/1000)</f>
        <v>141.404</v>
      </c>
      <c r="I4" s="10">
        <f>146228*($A$70)</f>
        <v>146.22800000000001</v>
      </c>
      <c r="J4" s="18">
        <f>156728*($A$70)</f>
        <v>156.72800000000001</v>
      </c>
      <c r="K4" s="19">
        <f>153942*($A$70)</f>
        <v>153.94200000000001</v>
      </c>
      <c r="L4" s="20">
        <f>152857*($A$70)</f>
        <v>152.857</v>
      </c>
      <c r="M4" s="19">
        <f>152588*($A$70)</f>
        <v>152.58799999999999</v>
      </c>
      <c r="N4" s="19">
        <f>272116*($A$70)</f>
        <v>272.11599999999999</v>
      </c>
      <c r="O4" s="19">
        <f>265264*($A$70)</f>
        <v>265.26400000000001</v>
      </c>
      <c r="P4" s="20">
        <f>263277*($A$70)</f>
        <v>263.27699999999999</v>
      </c>
      <c r="Q4" s="19">
        <f>258700*($A$70)</f>
        <v>258.7</v>
      </c>
      <c r="R4" s="19">
        <f>258506*($A$70)</f>
        <v>258.50600000000003</v>
      </c>
      <c r="S4" s="19">
        <f>257043*($A$70)</f>
        <v>257.04300000000001</v>
      </c>
      <c r="T4" s="20">
        <f>276407*($A$70)</f>
        <v>276.40699999999998</v>
      </c>
      <c r="U4" s="19">
        <f>266252*($A$70)</f>
        <v>266.25200000000001</v>
      </c>
      <c r="V4" s="19">
        <f>265011*($A$70)</f>
        <v>265.01100000000002</v>
      </c>
      <c r="W4" s="19">
        <f>252063*($A$70)</f>
        <v>252.06300000000002</v>
      </c>
      <c r="X4" s="20">
        <f>251152*($A$70)</f>
        <v>251.15200000000002</v>
      </c>
      <c r="Y4" s="19">
        <f>248178*($A$70)</f>
        <v>248.178</v>
      </c>
      <c r="Z4" s="23">
        <v>3010.6</v>
      </c>
      <c r="AA4" s="23">
        <v>2933.8</v>
      </c>
      <c r="AB4" s="22">
        <v>2961.6</v>
      </c>
    </row>
    <row r="5" spans="1:28" ht="20.100000000000001" customHeight="1">
      <c r="A5" s="14" t="s">
        <v>31</v>
      </c>
      <c r="B5" s="24">
        <f t="shared" ref="B5:C7" si="0">(0*($A$70))</f>
        <v>0</v>
      </c>
      <c r="C5" s="24">
        <f t="shared" si="0"/>
        <v>0</v>
      </c>
      <c r="D5" s="25">
        <f>(14*($A$70))</f>
        <v>1.4E-2</v>
      </c>
      <c r="E5" s="24">
        <f>0*($A$70)</f>
        <v>0</v>
      </c>
      <c r="F5" s="26">
        <f>(0*($A$70))</f>
        <v>0</v>
      </c>
      <c r="G5" s="24">
        <f>0*($A$70)</f>
        <v>0</v>
      </c>
      <c r="H5" s="26">
        <f>0*$A$70</f>
        <v>0</v>
      </c>
      <c r="I5" s="24">
        <f>0*($A$70)</f>
        <v>0</v>
      </c>
      <c r="J5" s="27">
        <f>52088*($A$70)</f>
        <v>52.088000000000001</v>
      </c>
      <c r="K5" s="19">
        <f>52022*($A$70)</f>
        <v>52.021999999999998</v>
      </c>
      <c r="L5" s="20">
        <f>52022*($A$70)</f>
        <v>52.021999999999998</v>
      </c>
      <c r="M5" s="19">
        <f>52022*($A$70)</f>
        <v>52.021999999999998</v>
      </c>
      <c r="N5" s="19">
        <f>2412285*($A$70)</f>
        <v>2412.2849999999999</v>
      </c>
      <c r="O5" s="19">
        <f>2412285*($A$70)</f>
        <v>2412.2849999999999</v>
      </c>
      <c r="P5" s="20">
        <f>2412285*($A$70)</f>
        <v>2412.2849999999999</v>
      </c>
      <c r="Q5" s="19">
        <f>2422989*($A$70)</f>
        <v>2422.989</v>
      </c>
      <c r="R5" s="19">
        <f>2575456*($A$70)</f>
        <v>2575.4560000000001</v>
      </c>
      <c r="S5" s="19">
        <f>2575456*($A$70)</f>
        <v>2575.4560000000001</v>
      </c>
      <c r="T5" s="20">
        <f>2568033*($A$70)</f>
        <v>2568.0329999999999</v>
      </c>
      <c r="U5" s="19">
        <f>2568033*($A$70)</f>
        <v>2568.0329999999999</v>
      </c>
      <c r="V5" s="19">
        <f>2568033*($A$70)</f>
        <v>2568.0329999999999</v>
      </c>
      <c r="W5" s="19">
        <f>2637594*($A$70)</f>
        <v>2637.5940000000001</v>
      </c>
      <c r="X5" s="20">
        <f>2602804*($A$70)</f>
        <v>2602.8040000000001</v>
      </c>
      <c r="Y5" s="19">
        <f>2602804*($A$70)</f>
        <v>2602.8040000000001</v>
      </c>
      <c r="Z5" s="23">
        <v>11735.5</v>
      </c>
      <c r="AA5" s="23">
        <v>11735.5</v>
      </c>
      <c r="AB5" s="22">
        <v>10826.8</v>
      </c>
    </row>
    <row r="6" spans="1:28" ht="20.100000000000001" customHeight="1">
      <c r="A6" s="14" t="s">
        <v>32</v>
      </c>
      <c r="B6" s="24">
        <f t="shared" si="0"/>
        <v>0</v>
      </c>
      <c r="C6" s="24">
        <f t="shared" si="0"/>
        <v>0</v>
      </c>
      <c r="D6" s="24">
        <f>(0*($A$70))</f>
        <v>0</v>
      </c>
      <c r="E6" s="24">
        <f>0*($A$70)</f>
        <v>0</v>
      </c>
      <c r="F6" s="26">
        <f>(0*($A$70))</f>
        <v>0</v>
      </c>
      <c r="G6" s="24">
        <f>0*($A$70)</f>
        <v>0</v>
      </c>
      <c r="H6" s="26">
        <f>0*$A$70</f>
        <v>0</v>
      </c>
      <c r="I6" s="24">
        <f>0*($A$70)</f>
        <v>0</v>
      </c>
      <c r="J6" s="28">
        <f t="shared" ref="J6:Y6" si="1">0*($A$70)</f>
        <v>0</v>
      </c>
      <c r="K6" s="28">
        <f t="shared" si="1"/>
        <v>0</v>
      </c>
      <c r="L6" s="29">
        <f t="shared" si="1"/>
        <v>0</v>
      </c>
      <c r="M6" s="28">
        <f t="shared" si="1"/>
        <v>0</v>
      </c>
      <c r="N6" s="28">
        <f t="shared" si="1"/>
        <v>0</v>
      </c>
      <c r="O6" s="28">
        <f t="shared" si="1"/>
        <v>0</v>
      </c>
      <c r="P6" s="29">
        <f t="shared" si="1"/>
        <v>0</v>
      </c>
      <c r="Q6" s="28">
        <f t="shared" si="1"/>
        <v>0</v>
      </c>
      <c r="R6" s="28">
        <f t="shared" si="1"/>
        <v>0</v>
      </c>
      <c r="S6" s="28">
        <f t="shared" si="1"/>
        <v>0</v>
      </c>
      <c r="T6" s="29">
        <f t="shared" si="1"/>
        <v>0</v>
      </c>
      <c r="U6" s="28">
        <f t="shared" si="1"/>
        <v>0</v>
      </c>
      <c r="V6" s="28">
        <f t="shared" si="1"/>
        <v>0</v>
      </c>
      <c r="W6" s="28">
        <f t="shared" si="1"/>
        <v>0</v>
      </c>
      <c r="X6" s="29">
        <f t="shared" si="1"/>
        <v>0</v>
      </c>
      <c r="Y6" s="28">
        <f t="shared" si="1"/>
        <v>0</v>
      </c>
      <c r="Z6" s="23">
        <v>4482</v>
      </c>
      <c r="AA6" s="23">
        <v>4331.8999999999996</v>
      </c>
      <c r="AB6" s="22">
        <v>4145.8</v>
      </c>
    </row>
    <row r="7" spans="1:28" ht="20.100000000000001" customHeight="1">
      <c r="A7" s="14" t="s">
        <v>33</v>
      </c>
      <c r="B7" s="24">
        <f t="shared" si="0"/>
        <v>0</v>
      </c>
      <c r="C7" s="24">
        <f t="shared" si="0"/>
        <v>0</v>
      </c>
      <c r="D7" s="24">
        <f>(0*($A$70))</f>
        <v>0</v>
      </c>
      <c r="E7" s="24">
        <f>0*($A$70)</f>
        <v>0</v>
      </c>
      <c r="F7" s="26">
        <f>(0*($A$70))</f>
        <v>0</v>
      </c>
      <c r="G7" s="24">
        <f>0*($A$70)</f>
        <v>0</v>
      </c>
      <c r="H7" s="26">
        <f>0*$A$70</f>
        <v>0</v>
      </c>
      <c r="I7" s="24">
        <f>0*($A$70)</f>
        <v>0</v>
      </c>
      <c r="J7" s="18">
        <f>(450)*($A$70)</f>
        <v>0.45</v>
      </c>
      <c r="K7" s="18">
        <f>375*($A$70)</f>
        <v>0.375</v>
      </c>
      <c r="L7" s="30">
        <f>300*($A$70)</f>
        <v>0.3</v>
      </c>
      <c r="M7" s="18">
        <f>225*($A$70)</f>
        <v>0.22500000000000001</v>
      </c>
      <c r="N7" s="19">
        <f t="shared" ref="N7:S7" si="2">840000*($A$70)</f>
        <v>840</v>
      </c>
      <c r="O7" s="19">
        <f t="shared" si="2"/>
        <v>840</v>
      </c>
      <c r="P7" s="20">
        <f t="shared" si="2"/>
        <v>840</v>
      </c>
      <c r="Q7" s="19">
        <f t="shared" si="2"/>
        <v>840</v>
      </c>
      <c r="R7" s="19">
        <f t="shared" si="2"/>
        <v>840</v>
      </c>
      <c r="S7" s="19">
        <f t="shared" si="2"/>
        <v>840</v>
      </c>
      <c r="T7" s="20">
        <f>847800*($A$70)</f>
        <v>847.80000000000007</v>
      </c>
      <c r="U7" s="19">
        <f>847800*($A$70)</f>
        <v>847.80000000000007</v>
      </c>
      <c r="V7" s="19">
        <f>847800*($A$70)</f>
        <v>847.80000000000007</v>
      </c>
      <c r="W7" s="19">
        <f>847800*($A$70)</f>
        <v>847.80000000000007</v>
      </c>
      <c r="X7" s="20">
        <f>890800*($A$70)</f>
        <v>890.80000000000007</v>
      </c>
      <c r="Y7" s="19">
        <f>890800*($A$70)</f>
        <v>890.80000000000007</v>
      </c>
      <c r="Z7" s="31">
        <v>890.8</v>
      </c>
      <c r="AA7" s="31">
        <v>890.8</v>
      </c>
      <c r="AB7" s="22">
        <v>1797.1</v>
      </c>
    </row>
    <row r="8" spans="1:28" ht="20.100000000000001" customHeight="1">
      <c r="A8" s="14" t="s">
        <v>34</v>
      </c>
      <c r="B8" s="10">
        <f>5195*($A$70)</f>
        <v>5.1950000000000003</v>
      </c>
      <c r="C8" s="10">
        <f>6746*($A$70)</f>
        <v>6.7460000000000004</v>
      </c>
      <c r="D8" s="10">
        <f>4395*($A$70)</f>
        <v>4.3950000000000005</v>
      </c>
      <c r="E8" s="15">
        <f>11465*($A$70)</f>
        <v>11.465</v>
      </c>
      <c r="F8" s="16">
        <f>13620*(1/1000)</f>
        <v>13.620000000000001</v>
      </c>
      <c r="G8" s="10">
        <f>11876*($A$70)</f>
        <v>11.875999999999999</v>
      </c>
      <c r="H8" s="17">
        <f>11476*(1/1000)</f>
        <v>11.476000000000001</v>
      </c>
      <c r="I8" s="10">
        <f>14165*($A$70)</f>
        <v>14.165000000000001</v>
      </c>
      <c r="J8" s="18">
        <f>19994*($A$70)</f>
        <v>19.994</v>
      </c>
      <c r="K8" s="19">
        <f>20527*($A$70)</f>
        <v>20.527000000000001</v>
      </c>
      <c r="L8" s="20">
        <f>22944*($A$70)</f>
        <v>22.943999999999999</v>
      </c>
      <c r="M8" s="19">
        <f>21112*($A$70)</f>
        <v>21.112000000000002</v>
      </c>
      <c r="N8" s="19">
        <f>47470*($A$70)</f>
        <v>47.47</v>
      </c>
      <c r="O8" s="19">
        <f>47780*($A$70)</f>
        <v>47.78</v>
      </c>
      <c r="P8" s="20">
        <f>54194*($A$70)</f>
        <v>54.194000000000003</v>
      </c>
      <c r="Q8" s="19">
        <f>69466*($A$70)</f>
        <v>69.466000000000008</v>
      </c>
      <c r="R8" s="19">
        <f>69627*($A$70)</f>
        <v>69.626999999999995</v>
      </c>
      <c r="S8" s="19">
        <f>68459*($A$70)</f>
        <v>68.459000000000003</v>
      </c>
      <c r="T8" s="20">
        <f>81380*($A$70)</f>
        <v>81.38</v>
      </c>
      <c r="U8" s="19">
        <f>82841*($A$70)</f>
        <v>82.841000000000008</v>
      </c>
      <c r="V8" s="19">
        <f>83804*($A$70)</f>
        <v>83.804000000000002</v>
      </c>
      <c r="W8" s="19">
        <f>115337*($A$70)</f>
        <v>115.337</v>
      </c>
      <c r="X8" s="20">
        <f>137401*($A$70)</f>
        <v>137.40100000000001</v>
      </c>
      <c r="Y8" s="19">
        <f>136697*($A$70)</f>
        <v>136.697</v>
      </c>
      <c r="Z8" s="23">
        <v>2360.6</v>
      </c>
      <c r="AA8" s="23">
        <v>2624.2</v>
      </c>
      <c r="AB8" s="22">
        <v>2591.4</v>
      </c>
    </row>
    <row r="9" spans="1:28" ht="20.100000000000001" customHeight="1">
      <c r="A9" s="14" t="s">
        <v>35</v>
      </c>
      <c r="B9" s="24">
        <f>(0*($A$70))</f>
        <v>0</v>
      </c>
      <c r="C9" s="24">
        <f>(0*($A$70))</f>
        <v>0</v>
      </c>
      <c r="D9" s="24">
        <f>(0*($A$70))</f>
        <v>0</v>
      </c>
      <c r="E9" s="24">
        <f>0*($A$70)</f>
        <v>0</v>
      </c>
      <c r="F9" s="26">
        <f>(0*($A$70))</f>
        <v>0</v>
      </c>
      <c r="G9" s="24">
        <f>0*($A$70)</f>
        <v>0</v>
      </c>
      <c r="H9" s="26">
        <f>0*$A$70</f>
        <v>0</v>
      </c>
      <c r="I9" s="24">
        <f t="shared" ref="I9:M10" si="3">0*($A$70)</f>
        <v>0</v>
      </c>
      <c r="J9" s="28">
        <f t="shared" si="3"/>
        <v>0</v>
      </c>
      <c r="K9" s="28">
        <f t="shared" si="3"/>
        <v>0</v>
      </c>
      <c r="L9" s="29">
        <f t="shared" si="3"/>
        <v>0</v>
      </c>
      <c r="M9" s="28">
        <f t="shared" si="3"/>
        <v>0</v>
      </c>
      <c r="N9" s="19">
        <f>114797*($A$70)</f>
        <v>114.797</v>
      </c>
      <c r="O9" s="19">
        <f>129170*($A$70)</f>
        <v>129.17000000000002</v>
      </c>
      <c r="P9" s="20">
        <f>131141*($A$70)</f>
        <v>131.14099999999999</v>
      </c>
      <c r="Q9" s="19">
        <f>91415*($A$70)</f>
        <v>91.415000000000006</v>
      </c>
      <c r="R9" s="19">
        <f>95405*($A$70)</f>
        <v>95.405000000000001</v>
      </c>
      <c r="S9" s="19">
        <f>95323*($A$70)</f>
        <v>95.323000000000008</v>
      </c>
      <c r="T9" s="20">
        <f>97988*($A$70)</f>
        <v>97.988</v>
      </c>
      <c r="U9" s="19">
        <f>104074*($A$70)</f>
        <v>104.074</v>
      </c>
      <c r="V9" s="19">
        <f>115904*($A$70)</f>
        <v>115.904</v>
      </c>
      <c r="W9" s="19">
        <f>82162*($A$70)</f>
        <v>82.162000000000006</v>
      </c>
      <c r="X9" s="20">
        <f>71571*($A$70)</f>
        <v>71.570999999999998</v>
      </c>
      <c r="Y9" s="19">
        <f>107548*($A$70)</f>
        <v>107.548</v>
      </c>
      <c r="Z9" s="31">
        <v>128.1</v>
      </c>
      <c r="AA9" s="31">
        <v>148.80000000000001</v>
      </c>
      <c r="AB9" s="22">
        <v>135.80000000000001</v>
      </c>
    </row>
    <row r="10" spans="1:28" ht="20.100000000000001" customHeight="1">
      <c r="A10" s="14" t="s">
        <v>36</v>
      </c>
      <c r="B10" s="24">
        <f>(0*($A$70))</f>
        <v>0</v>
      </c>
      <c r="C10" s="24">
        <f>(0*($A$70))</f>
        <v>0</v>
      </c>
      <c r="D10" s="10">
        <f>28507*($A$70)</f>
        <v>28.507000000000001</v>
      </c>
      <c r="E10" s="15">
        <f>18932*($A$70)</f>
        <v>18.932000000000002</v>
      </c>
      <c r="F10" s="16">
        <f>17125*(1/1000)</f>
        <v>17.125</v>
      </c>
      <c r="G10" s="10">
        <f>16998*($A$70)</f>
        <v>16.998000000000001</v>
      </c>
      <c r="H10" s="26">
        <f>0*$A$70</f>
        <v>0</v>
      </c>
      <c r="I10" s="24">
        <f t="shared" si="3"/>
        <v>0</v>
      </c>
      <c r="J10" s="28">
        <f t="shared" si="3"/>
        <v>0</v>
      </c>
      <c r="K10" s="28">
        <f t="shared" si="3"/>
        <v>0</v>
      </c>
      <c r="L10" s="29">
        <f t="shared" si="3"/>
        <v>0</v>
      </c>
      <c r="M10" s="28">
        <f t="shared" si="3"/>
        <v>0</v>
      </c>
      <c r="N10" s="19">
        <f>7658*($A$70)</f>
        <v>7.6580000000000004</v>
      </c>
      <c r="O10" s="19">
        <f>7701*($A$70)</f>
        <v>7.7010000000000005</v>
      </c>
      <c r="P10" s="20">
        <f>8440*($A$70)</f>
        <v>8.44</v>
      </c>
      <c r="Q10" s="19">
        <f>8419*($A$70)</f>
        <v>8.4190000000000005</v>
      </c>
      <c r="R10" s="19">
        <f>8398*($A$70)</f>
        <v>8.3979999999999997</v>
      </c>
      <c r="S10" s="19">
        <f>8378*($A$70)</f>
        <v>8.3780000000000001</v>
      </c>
      <c r="T10" s="20">
        <f>8357*($A$70)</f>
        <v>8.3569999999999993</v>
      </c>
      <c r="U10" s="19">
        <f>8336*($A$70)</f>
        <v>8.3360000000000003</v>
      </c>
      <c r="V10" s="19">
        <f>7788*($A$70)</f>
        <v>7.7880000000000003</v>
      </c>
      <c r="W10" s="19">
        <f>7427*($A$70)</f>
        <v>7.4270000000000005</v>
      </c>
      <c r="X10" s="20">
        <f>5330*($A$70)</f>
        <v>5.33</v>
      </c>
      <c r="Y10" s="19">
        <f>5315*($A$70)</f>
        <v>5.3150000000000004</v>
      </c>
      <c r="Z10" s="31">
        <v>5.3</v>
      </c>
      <c r="AA10" s="31">
        <v>5.3</v>
      </c>
      <c r="AB10" s="22">
        <v>5.3</v>
      </c>
    </row>
    <row r="11" spans="1:28" ht="20.100000000000001" customHeight="1">
      <c r="A11" s="14" t="s">
        <v>37</v>
      </c>
      <c r="B11" s="32" t="s">
        <v>38</v>
      </c>
      <c r="C11" s="32" t="s">
        <v>38</v>
      </c>
      <c r="D11" s="32" t="s">
        <v>38</v>
      </c>
      <c r="E11" s="33" t="s">
        <v>38</v>
      </c>
      <c r="F11" s="34" t="s">
        <v>38</v>
      </c>
      <c r="G11" s="35" t="s">
        <v>38</v>
      </c>
      <c r="H11" s="36" t="s">
        <v>38</v>
      </c>
      <c r="I11" s="35" t="s">
        <v>38</v>
      </c>
      <c r="J11" s="37" t="s">
        <v>38</v>
      </c>
      <c r="K11" s="37" t="s">
        <v>38</v>
      </c>
      <c r="L11" s="38" t="s">
        <v>38</v>
      </c>
      <c r="M11" s="37" t="s">
        <v>38</v>
      </c>
      <c r="N11" s="37" t="s">
        <v>38</v>
      </c>
      <c r="O11" s="37" t="s">
        <v>38</v>
      </c>
      <c r="P11" s="20">
        <f>35028*($A$70)</f>
        <v>35.027999999999999</v>
      </c>
      <c r="Q11" s="39" t="s">
        <v>38</v>
      </c>
      <c r="R11" s="19">
        <f>33259*($A$70)</f>
        <v>33.259</v>
      </c>
      <c r="S11" s="19">
        <f>33252*($A$70)</f>
        <v>33.252000000000002</v>
      </c>
      <c r="T11" s="20">
        <f>35125*($A$70)</f>
        <v>35.125</v>
      </c>
      <c r="U11" s="19">
        <f>34399*($A$70)</f>
        <v>34.399000000000001</v>
      </c>
      <c r="V11" s="19">
        <f>32935*($A$70)</f>
        <v>32.935000000000002</v>
      </c>
      <c r="W11" s="19">
        <f>29318*($A$70)</f>
        <v>29.318000000000001</v>
      </c>
      <c r="X11" s="20">
        <f>29551*($A$70)</f>
        <v>29.551000000000002</v>
      </c>
      <c r="Y11" s="19">
        <f>26502*($A$70)</f>
        <v>26.501999999999999</v>
      </c>
      <c r="Z11" s="31">
        <v>46.2</v>
      </c>
      <c r="AA11" s="31">
        <v>67</v>
      </c>
      <c r="AB11" s="22">
        <v>81</v>
      </c>
    </row>
    <row r="12" spans="1:28" ht="20.100000000000001" customHeight="1">
      <c r="A12" s="14" t="s">
        <v>39</v>
      </c>
      <c r="B12" s="10">
        <f>4365*($A$70)</f>
        <v>4.3650000000000002</v>
      </c>
      <c r="C12" s="10">
        <f>4280*($A$70)</f>
        <v>4.28</v>
      </c>
      <c r="D12" s="10">
        <f>12877*($A$70)</f>
        <v>12.877000000000001</v>
      </c>
      <c r="E12" s="15">
        <f>30956*($A$70)</f>
        <v>30.956</v>
      </c>
      <c r="F12" s="16">
        <f>23254*(1/1000)</f>
        <v>23.254000000000001</v>
      </c>
      <c r="G12" s="10">
        <f>24264*($A$70)</f>
        <v>24.263999999999999</v>
      </c>
      <c r="H12" s="17">
        <f>19356*(1/1000)</f>
        <v>19.356000000000002</v>
      </c>
      <c r="I12" s="10">
        <f>55870*($A$70)</f>
        <v>55.870000000000005</v>
      </c>
      <c r="J12" s="18">
        <f>30317*($A$70)</f>
        <v>30.317</v>
      </c>
      <c r="K12" s="19">
        <f>35367*($A$70)</f>
        <v>35.366999999999997</v>
      </c>
      <c r="L12" s="20">
        <f>37544*($A$70)</f>
        <v>37.544000000000004</v>
      </c>
      <c r="M12" s="19">
        <f>35135*($A$70)</f>
        <v>35.134999999999998</v>
      </c>
      <c r="N12" s="19">
        <f>46322*($A$70)</f>
        <v>46.322000000000003</v>
      </c>
      <c r="O12" s="19">
        <f>53686*($A$70)</f>
        <v>53.686</v>
      </c>
      <c r="P12" s="20">
        <f>69447*($A$70)</f>
        <v>69.447000000000003</v>
      </c>
      <c r="Q12" s="19">
        <f>92159*($A$70)</f>
        <v>92.159000000000006</v>
      </c>
      <c r="R12" s="19">
        <f>84770*($A$70)</f>
        <v>84.77</v>
      </c>
      <c r="S12" s="19">
        <f>116704*($A$70)</f>
        <v>116.70400000000001</v>
      </c>
      <c r="T12" s="20">
        <f>109642*($A$70)</f>
        <v>109.642</v>
      </c>
      <c r="U12" s="19">
        <f>62960*($A$70)</f>
        <v>62.96</v>
      </c>
      <c r="V12" s="19">
        <f>61422*($A$70)</f>
        <v>61.422000000000004</v>
      </c>
      <c r="W12" s="19">
        <f>27107*($A$70)</f>
        <v>27.106999999999999</v>
      </c>
      <c r="X12" s="20">
        <f>20803*($A$70)</f>
        <v>20.803000000000001</v>
      </c>
      <c r="Y12" s="19">
        <f>6430*($A$70)</f>
        <v>6.43</v>
      </c>
      <c r="Z12" s="31">
        <v>107.4</v>
      </c>
      <c r="AA12" s="31">
        <v>141.4</v>
      </c>
      <c r="AB12" s="22">
        <v>198.5</v>
      </c>
    </row>
    <row r="13" spans="1:28" ht="20.100000000000001" customHeight="1">
      <c r="A13" s="14" t="s">
        <v>40</v>
      </c>
      <c r="B13" s="10">
        <f>24710*($A$70)</f>
        <v>24.71</v>
      </c>
      <c r="C13" s="10">
        <f>18579*($A$70)</f>
        <v>18.579000000000001</v>
      </c>
      <c r="D13" s="10">
        <f>3520*($A$70)</f>
        <v>3.52</v>
      </c>
      <c r="E13" s="15">
        <f>4134*($A$70)</f>
        <v>4.1340000000000003</v>
      </c>
      <c r="F13" s="16">
        <f>(899*($A$70))</f>
        <v>0.89900000000000002</v>
      </c>
      <c r="G13" s="10">
        <f>1223*($A$70)</f>
        <v>1.2230000000000001</v>
      </c>
      <c r="H13" s="17">
        <f>1762*(1/1000)</f>
        <v>1.762</v>
      </c>
      <c r="I13" s="10">
        <f>2190*($A$70)</f>
        <v>2.19</v>
      </c>
      <c r="J13" s="18">
        <f>3312*($A$70)</f>
        <v>3.3120000000000003</v>
      </c>
      <c r="K13" s="19">
        <f>5185*($A$70)</f>
        <v>5.1850000000000005</v>
      </c>
      <c r="L13" s="20">
        <f>4158*($A$70)</f>
        <v>4.1580000000000004</v>
      </c>
      <c r="M13" s="19">
        <f>5063*($A$70)</f>
        <v>5.0629999999999997</v>
      </c>
      <c r="N13" s="19">
        <f>22612*($A$70)</f>
        <v>22.612000000000002</v>
      </c>
      <c r="O13" s="19">
        <f>15663*($A$70)</f>
        <v>15.663</v>
      </c>
      <c r="P13" s="20">
        <f>55726*($A$70)</f>
        <v>55.725999999999999</v>
      </c>
      <c r="Q13" s="19">
        <f>30500*($A$70)</f>
        <v>30.5</v>
      </c>
      <c r="R13" s="19">
        <f>40245*($A$70)</f>
        <v>40.244999999999997</v>
      </c>
      <c r="S13" s="19">
        <f>37018*($A$70)</f>
        <v>37.018000000000001</v>
      </c>
      <c r="T13" s="20">
        <f>31356*($A$70)</f>
        <v>31.356000000000002</v>
      </c>
      <c r="U13" s="19">
        <f>30260*($A$70)</f>
        <v>30.26</v>
      </c>
      <c r="V13" s="19">
        <f>27326*($A$70)</f>
        <v>27.326000000000001</v>
      </c>
      <c r="W13" s="19">
        <f>27552*($A$70)</f>
        <v>27.552</v>
      </c>
      <c r="X13" s="20">
        <f>38854*($A$70)</f>
        <v>38.853999999999999</v>
      </c>
      <c r="Y13" s="19">
        <f>34685*($A$70)</f>
        <v>34.685000000000002</v>
      </c>
      <c r="Z13" s="31">
        <v>240.5</v>
      </c>
      <c r="AA13" s="31">
        <v>285.7</v>
      </c>
      <c r="AB13" s="22">
        <v>234.2</v>
      </c>
    </row>
    <row r="14" spans="1:28" s="47" customFormat="1" ht="20.100000000000001" customHeight="1">
      <c r="A14" s="40" t="s">
        <v>41</v>
      </c>
      <c r="B14" s="41">
        <f>SUM(B3:B13)</f>
        <v>153.14300000000003</v>
      </c>
      <c r="C14" s="41">
        <f>SUM(C3:C13)</f>
        <v>87.966000000000008</v>
      </c>
      <c r="D14" s="41">
        <f>SUM(D3:D13)</f>
        <v>103.009</v>
      </c>
      <c r="E14" s="41">
        <f>SUM(E3:E13)</f>
        <v>163.36200000000002</v>
      </c>
      <c r="F14" s="42">
        <f t="shared" ref="F14:J14" si="4">SUM(F3:F13)</f>
        <v>162.60599999999999</v>
      </c>
      <c r="G14" s="41">
        <f t="shared" si="4"/>
        <v>201.11600000000001</v>
      </c>
      <c r="H14" s="42">
        <f t="shared" si="4"/>
        <v>223.12099999999998</v>
      </c>
      <c r="I14" s="41">
        <f t="shared" si="4"/>
        <v>340.91</v>
      </c>
      <c r="J14" s="43">
        <f t="shared" si="4"/>
        <v>446.52600000000007</v>
      </c>
      <c r="K14" s="43">
        <f t="shared" ref="K14:Y14" si="5">(SUM(K3:K13))</f>
        <v>483.25</v>
      </c>
      <c r="L14" s="44">
        <f t="shared" si="5"/>
        <v>545.22400000000005</v>
      </c>
      <c r="M14" s="43">
        <f t="shared" si="5"/>
        <v>586.54700000000003</v>
      </c>
      <c r="N14" s="43">
        <f t="shared" si="5"/>
        <v>4123.1669999999995</v>
      </c>
      <c r="O14" s="43">
        <f t="shared" si="5"/>
        <v>4157.5929999999998</v>
      </c>
      <c r="P14" s="44">
        <f t="shared" si="5"/>
        <v>4278.1479999999992</v>
      </c>
      <c r="Q14" s="43">
        <f t="shared" si="5"/>
        <v>4228.9560000000001</v>
      </c>
      <c r="R14" s="43">
        <f t="shared" si="5"/>
        <v>4425.1450000000004</v>
      </c>
      <c r="S14" s="43">
        <f t="shared" si="5"/>
        <v>4456.701</v>
      </c>
      <c r="T14" s="44">
        <f t="shared" si="5"/>
        <v>4476.1480000000001</v>
      </c>
      <c r="U14" s="43">
        <f t="shared" si="5"/>
        <v>4424.8490000000011</v>
      </c>
      <c r="V14" s="43">
        <f t="shared" si="5"/>
        <v>4428.5439999999999</v>
      </c>
      <c r="W14" s="43">
        <f t="shared" si="5"/>
        <v>4436.0960000000005</v>
      </c>
      <c r="X14" s="44">
        <f t="shared" si="5"/>
        <v>4455.8450000000003</v>
      </c>
      <c r="Y14" s="43">
        <f t="shared" si="5"/>
        <v>4454.3520000000008</v>
      </c>
      <c r="Z14" s="45">
        <f t="shared" ref="Z14:AA14" si="6">SUM(Z3:Z13)</f>
        <v>23391.8</v>
      </c>
      <c r="AA14" s="45">
        <f t="shared" si="6"/>
        <v>23581.399999999998</v>
      </c>
      <c r="AB14" s="46">
        <f t="shared" ref="AB14" si="7">(SUM(AB3:AB13))</f>
        <v>23398.6</v>
      </c>
    </row>
    <row r="15" spans="1:28" s="47" customFormat="1" ht="20.100000000000001" customHeight="1">
      <c r="A15" s="14" t="s">
        <v>42</v>
      </c>
      <c r="B15" s="24">
        <f>0*($A$70)</f>
        <v>0</v>
      </c>
      <c r="C15" s="24">
        <f>(0*($A$70))*($A$70)</f>
        <v>0</v>
      </c>
      <c r="D15" s="24">
        <f>0*($A$70)</f>
        <v>0</v>
      </c>
      <c r="E15" s="24">
        <f>0*($A$70)</f>
        <v>0</v>
      </c>
      <c r="F15" s="26">
        <f>(0*($A$70))</f>
        <v>0</v>
      </c>
      <c r="G15" s="24">
        <f>0*($A$70)</f>
        <v>0</v>
      </c>
      <c r="H15" s="26">
        <f>0*$A$70</f>
        <v>0</v>
      </c>
      <c r="I15" s="24">
        <f>0*($A$70)</f>
        <v>0</v>
      </c>
      <c r="J15" s="28">
        <f>0*($A$70)</f>
        <v>0</v>
      </c>
      <c r="K15" s="28">
        <f>0*($A$70)</f>
        <v>0</v>
      </c>
      <c r="L15" s="29">
        <f>0*($A$70)</f>
        <v>0</v>
      </c>
      <c r="M15" s="28">
        <f>0*($A$70)</f>
        <v>0</v>
      </c>
      <c r="N15" s="19">
        <f>172701*($A$70)</f>
        <v>172.70099999999999</v>
      </c>
      <c r="O15" s="19">
        <f>195354*($A$70)</f>
        <v>195.35400000000001</v>
      </c>
      <c r="P15" s="20">
        <f>137429*($A$70)</f>
        <v>137.429</v>
      </c>
      <c r="Q15" s="19">
        <f>176114*($A$70)</f>
        <v>176.114</v>
      </c>
      <c r="R15" s="19">
        <f>167251*($A$70)</f>
        <v>167.251</v>
      </c>
      <c r="S15" s="19">
        <f>171461*($A$70)</f>
        <v>171.46100000000001</v>
      </c>
      <c r="T15" s="20">
        <f>141652*($A$70)</f>
        <v>141.65200000000002</v>
      </c>
      <c r="U15" s="19">
        <f>155399*($A$70)</f>
        <v>155.399</v>
      </c>
      <c r="V15" s="19">
        <f>170743*($A$70)</f>
        <v>170.74299999999999</v>
      </c>
      <c r="W15" s="19">
        <f>208533*($A$70)</f>
        <v>208.53300000000002</v>
      </c>
      <c r="X15" s="20">
        <f>181341*($A$70)</f>
        <v>181.34100000000001</v>
      </c>
      <c r="Y15" s="19">
        <f>228936*($A$70)</f>
        <v>228.93600000000001</v>
      </c>
      <c r="Z15" s="31">
        <v>199.1</v>
      </c>
      <c r="AA15" s="31">
        <v>172.6</v>
      </c>
      <c r="AB15" s="22">
        <v>152.1</v>
      </c>
    </row>
    <row r="16" spans="1:28" ht="20.100000000000001" customHeight="1">
      <c r="A16" s="14" t="s">
        <v>43</v>
      </c>
      <c r="B16" s="10">
        <f>21377*($A$70)</f>
        <v>21.376999999999999</v>
      </c>
      <c r="C16" s="10">
        <f>30388*($A$70)</f>
        <v>30.388000000000002</v>
      </c>
      <c r="D16" s="48">
        <f>58009*($A$70)</f>
        <v>58.009</v>
      </c>
      <c r="E16" s="15">
        <f>130009*($A$70)</f>
        <v>130.00900000000001</v>
      </c>
      <c r="F16" s="16">
        <f>147115*(1/1000)</f>
        <v>147.11500000000001</v>
      </c>
      <c r="G16" s="10">
        <f>94999*($A$70)</f>
        <v>94.998999999999995</v>
      </c>
      <c r="H16" s="17">
        <f>167337*($A$70)</f>
        <v>167.33700000000002</v>
      </c>
      <c r="I16" s="10">
        <f>122091*($A$70)</f>
        <v>122.09100000000001</v>
      </c>
      <c r="J16" s="18">
        <f>142012*($A$70)</f>
        <v>142.012</v>
      </c>
      <c r="K16" s="19">
        <f>167255*($A$70)</f>
        <v>167.255</v>
      </c>
      <c r="L16" s="20">
        <f>173154*($A$70)</f>
        <v>173.154</v>
      </c>
      <c r="M16" s="19">
        <f>155959*($A$70)</f>
        <v>155.959</v>
      </c>
      <c r="N16" s="19">
        <f>159831*($A$70)</f>
        <v>159.83100000000002</v>
      </c>
      <c r="O16" s="19">
        <f>167258*($A$70)</f>
        <v>167.25800000000001</v>
      </c>
      <c r="P16" s="20">
        <f>178127*($A$70)</f>
        <v>178.12700000000001</v>
      </c>
      <c r="Q16" s="19">
        <f>185376*($A$70)</f>
        <v>185.376</v>
      </c>
      <c r="R16" s="19">
        <f>185528*($A$70)</f>
        <v>185.52799999999999</v>
      </c>
      <c r="S16" s="19">
        <f>177054*($A$70)</f>
        <v>177.054</v>
      </c>
      <c r="T16" s="20">
        <f>161974*($A$70)</f>
        <v>161.97399999999999</v>
      </c>
      <c r="U16" s="19">
        <f>150701*($A$70)</f>
        <v>150.70099999999999</v>
      </c>
      <c r="V16" s="19">
        <f>157445*($A$70)</f>
        <v>157.44499999999999</v>
      </c>
      <c r="W16" s="19">
        <f>155698*($A$70)</f>
        <v>155.69800000000001</v>
      </c>
      <c r="X16" s="20">
        <f>146771*($A$70)</f>
        <v>146.77100000000002</v>
      </c>
      <c r="Y16" s="19">
        <f>163072*($A$70)</f>
        <v>163.072</v>
      </c>
      <c r="Z16" s="23">
        <v>343.8</v>
      </c>
      <c r="AA16" s="23">
        <v>316.60000000000002</v>
      </c>
      <c r="AB16" s="22">
        <v>301.39999999999998</v>
      </c>
    </row>
    <row r="17" spans="1:28" ht="20.100000000000001" customHeight="1">
      <c r="A17" s="14" t="s">
        <v>44</v>
      </c>
      <c r="B17" s="24">
        <f>0*($A$70)</f>
        <v>0</v>
      </c>
      <c r="C17" s="49">
        <f>(0*($A$70))</f>
        <v>0</v>
      </c>
      <c r="D17" s="24">
        <f>0*($A$70)</f>
        <v>0</v>
      </c>
      <c r="E17" s="24">
        <f>0*($A$70)</f>
        <v>0</v>
      </c>
      <c r="F17" s="26">
        <f>(0*($A$70))</f>
        <v>0</v>
      </c>
      <c r="G17" s="24">
        <f>0*($A$70)</f>
        <v>0</v>
      </c>
      <c r="H17" s="26">
        <f>0*$A$70</f>
        <v>0</v>
      </c>
      <c r="I17" s="24">
        <f t="shared" ref="I17:P18" si="8">0*($A$70)</f>
        <v>0</v>
      </c>
      <c r="J17" s="28">
        <f t="shared" si="8"/>
        <v>0</v>
      </c>
      <c r="K17" s="28">
        <f t="shared" si="8"/>
        <v>0</v>
      </c>
      <c r="L17" s="29">
        <f t="shared" si="8"/>
        <v>0</v>
      </c>
      <c r="M17" s="28">
        <f t="shared" si="8"/>
        <v>0</v>
      </c>
      <c r="N17" s="28">
        <f t="shared" si="8"/>
        <v>0</v>
      </c>
      <c r="O17" s="28">
        <f t="shared" si="8"/>
        <v>0</v>
      </c>
      <c r="P17" s="29">
        <f t="shared" si="8"/>
        <v>0</v>
      </c>
      <c r="Q17" s="19">
        <f>1102*($A$70)</f>
        <v>1.1020000000000001</v>
      </c>
      <c r="R17" s="28">
        <f t="shared" ref="R17:Y18" si="9">0*($A$70)</f>
        <v>0</v>
      </c>
      <c r="S17" s="28">
        <f t="shared" si="9"/>
        <v>0</v>
      </c>
      <c r="T17" s="29">
        <f t="shared" si="9"/>
        <v>0</v>
      </c>
      <c r="U17" s="28">
        <f t="shared" si="9"/>
        <v>0</v>
      </c>
      <c r="V17" s="28">
        <f t="shared" si="9"/>
        <v>0</v>
      </c>
      <c r="W17" s="28">
        <f t="shared" si="9"/>
        <v>0</v>
      </c>
      <c r="X17" s="29">
        <f t="shared" si="9"/>
        <v>0</v>
      </c>
      <c r="Y17" s="28">
        <f t="shared" si="9"/>
        <v>0</v>
      </c>
      <c r="Z17" s="26">
        <v>0</v>
      </c>
      <c r="AA17" s="26">
        <v>0</v>
      </c>
      <c r="AB17" s="29">
        <v>0</v>
      </c>
    </row>
    <row r="18" spans="1:28" ht="20.100000000000001" customHeight="1">
      <c r="A18" s="14" t="s">
        <v>45</v>
      </c>
      <c r="B18" s="24">
        <f>0*($A$70)</f>
        <v>0</v>
      </c>
      <c r="C18" s="49">
        <f>(0*($A$70))</f>
        <v>0</v>
      </c>
      <c r="D18" s="24">
        <f>0*($A$70)</f>
        <v>0</v>
      </c>
      <c r="E18" s="24">
        <f>0*($A$70)</f>
        <v>0</v>
      </c>
      <c r="F18" s="26">
        <f>(0*($A$70))</f>
        <v>0</v>
      </c>
      <c r="G18" s="24">
        <f>0*($A$70)</f>
        <v>0</v>
      </c>
      <c r="H18" s="26">
        <f>0*$A$70</f>
        <v>0</v>
      </c>
      <c r="I18" s="24">
        <f t="shared" si="8"/>
        <v>0</v>
      </c>
      <c r="J18" s="28">
        <f t="shared" si="8"/>
        <v>0</v>
      </c>
      <c r="K18" s="28">
        <f t="shared" si="8"/>
        <v>0</v>
      </c>
      <c r="L18" s="29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20">
        <f>14854*($A$70)</f>
        <v>14.854000000000001</v>
      </c>
      <c r="Q18" s="28">
        <f>0*($A$70)</f>
        <v>0</v>
      </c>
      <c r="R18" s="28">
        <f t="shared" si="9"/>
        <v>0</v>
      </c>
      <c r="S18" s="28">
        <f t="shared" si="9"/>
        <v>0</v>
      </c>
      <c r="T18" s="29">
        <f t="shared" si="9"/>
        <v>0</v>
      </c>
      <c r="U18" s="28">
        <f t="shared" si="9"/>
        <v>0</v>
      </c>
      <c r="V18" s="28">
        <f t="shared" si="9"/>
        <v>0</v>
      </c>
      <c r="W18" s="28">
        <f t="shared" si="9"/>
        <v>0</v>
      </c>
      <c r="X18" s="29">
        <f t="shared" si="9"/>
        <v>0</v>
      </c>
      <c r="Y18" s="28">
        <f t="shared" si="9"/>
        <v>0</v>
      </c>
      <c r="Z18" s="26">
        <v>0</v>
      </c>
      <c r="AA18" s="26">
        <v>0</v>
      </c>
      <c r="AB18" s="29">
        <v>0</v>
      </c>
    </row>
    <row r="19" spans="1:28" ht="20.100000000000001" customHeight="1">
      <c r="A19" s="14" t="s">
        <v>46</v>
      </c>
      <c r="B19" s="10">
        <f>55225*($A$70)</f>
        <v>55.225000000000001</v>
      </c>
      <c r="C19" s="10">
        <f>34163*($A$70)</f>
        <v>34.163000000000004</v>
      </c>
      <c r="D19" s="48">
        <f>43299*($A$70)</f>
        <v>43.298999999999999</v>
      </c>
      <c r="E19" s="15">
        <f>79133*($A$70)</f>
        <v>79.132999999999996</v>
      </c>
      <c r="F19" s="16">
        <f>121511*(1/1000)</f>
        <v>121.511</v>
      </c>
      <c r="G19" s="10">
        <f>119515*($A$70)</f>
        <v>119.515</v>
      </c>
      <c r="H19" s="17">
        <f>139804*($A$70)</f>
        <v>139.804</v>
      </c>
      <c r="I19" s="10">
        <f>131900*($A$70)</f>
        <v>131.9</v>
      </c>
      <c r="J19" s="18">
        <f>231747*($A$70)</f>
        <v>231.74700000000001</v>
      </c>
      <c r="K19" s="19">
        <f>232952*($A$70)</f>
        <v>232.952</v>
      </c>
      <c r="L19" s="20">
        <f>184298*($A$70)</f>
        <v>184.298</v>
      </c>
      <c r="M19" s="19">
        <f>201875*($A$70)</f>
        <v>201.875</v>
      </c>
      <c r="N19" s="19">
        <f>358165*($A$70)</f>
        <v>358.16500000000002</v>
      </c>
      <c r="O19" s="19">
        <f>313496*($A$70)</f>
        <v>313.49599999999998</v>
      </c>
      <c r="P19" s="20">
        <f>320542*($A$70)</f>
        <v>320.54200000000003</v>
      </c>
      <c r="Q19" s="19">
        <f>342386*($A$70)</f>
        <v>342.38600000000002</v>
      </c>
      <c r="R19" s="19">
        <f>382365*($A$70)</f>
        <v>382.36500000000001</v>
      </c>
      <c r="S19" s="19">
        <f>376949*($A$70)</f>
        <v>376.94900000000001</v>
      </c>
      <c r="T19" s="20">
        <f>375659*($A$70)</f>
        <v>375.65899999999999</v>
      </c>
      <c r="U19" s="19">
        <f>403593*($A$70)</f>
        <v>403.59300000000002</v>
      </c>
      <c r="V19" s="19">
        <f>410902*($A$70)</f>
        <v>410.90199999999999</v>
      </c>
      <c r="W19" s="19">
        <f>401503*($A$70)</f>
        <v>401.50299999999999</v>
      </c>
      <c r="X19" s="20">
        <f>374424*($A$70)</f>
        <v>374.42400000000004</v>
      </c>
      <c r="Y19" s="19">
        <f>398589*($A$70)</f>
        <v>398.589</v>
      </c>
      <c r="Z19" s="23">
        <v>1374.4</v>
      </c>
      <c r="AA19" s="23">
        <v>1369.9</v>
      </c>
      <c r="AB19" s="22">
        <v>1453.4</v>
      </c>
    </row>
    <row r="20" spans="1:28" ht="20.100000000000001" customHeight="1">
      <c r="A20" s="14" t="s">
        <v>47</v>
      </c>
      <c r="B20" s="24">
        <v>0</v>
      </c>
      <c r="C20" s="24">
        <f>(0*($A$70))</f>
        <v>0</v>
      </c>
      <c r="D20" s="24">
        <f>(0*($A$70))</f>
        <v>0</v>
      </c>
      <c r="E20" s="15">
        <f>3002*($A$70)</f>
        <v>3.0020000000000002</v>
      </c>
      <c r="F20" s="26">
        <f>(0*($A$70))</f>
        <v>0</v>
      </c>
      <c r="G20" s="10">
        <f>9410*($A$70)</f>
        <v>9.41</v>
      </c>
      <c r="H20" s="17">
        <f>4586*($A$70)</f>
        <v>4.5860000000000003</v>
      </c>
      <c r="I20" s="10">
        <f>21265*($A$70)</f>
        <v>21.265000000000001</v>
      </c>
      <c r="J20" s="18">
        <f>15496*($A$70)</f>
        <v>15.496</v>
      </c>
      <c r="K20" s="19">
        <f>5267*($A$70)</f>
        <v>5.2670000000000003</v>
      </c>
      <c r="L20" s="20">
        <f>7542*($A$70)</f>
        <v>7.5419999999999998</v>
      </c>
      <c r="M20" s="19">
        <f>3254*($A$70)</f>
        <v>3.254</v>
      </c>
      <c r="N20" s="19">
        <f>9402*($A$70)</f>
        <v>9.402000000000001</v>
      </c>
      <c r="O20" s="19">
        <f>9352*($A$70)</f>
        <v>9.3520000000000003</v>
      </c>
      <c r="P20" s="20">
        <f>10086*($A$70)</f>
        <v>10.086</v>
      </c>
      <c r="Q20" s="19">
        <f>9894*($A$70)</f>
        <v>9.8940000000000001</v>
      </c>
      <c r="R20" s="19">
        <f>263*($A$70)</f>
        <v>0.26300000000000001</v>
      </c>
      <c r="S20" s="19">
        <f>321*($A$70)</f>
        <v>0.32100000000000001</v>
      </c>
      <c r="T20" s="20">
        <f>6494*($A$70)</f>
        <v>6.4939999999999998</v>
      </c>
      <c r="U20" s="19">
        <f>1372*($A$70)</f>
        <v>1.3720000000000001</v>
      </c>
      <c r="V20" s="19">
        <f>1952*($A$70)</f>
        <v>1.952</v>
      </c>
      <c r="W20" s="19">
        <f>1195*($A$70)</f>
        <v>1.1950000000000001</v>
      </c>
      <c r="X20" s="20">
        <f>183*($A$70)</f>
        <v>0.183</v>
      </c>
      <c r="Y20" s="19">
        <f>365*($A$70)</f>
        <v>0.36499999999999999</v>
      </c>
      <c r="Z20" s="23">
        <v>28</v>
      </c>
      <c r="AA20" s="23">
        <v>26</v>
      </c>
      <c r="AB20" s="22">
        <v>26</v>
      </c>
    </row>
    <row r="21" spans="1:28" ht="20.100000000000001" customHeight="1">
      <c r="A21" s="14" t="s">
        <v>48</v>
      </c>
      <c r="B21" s="32" t="s">
        <v>38</v>
      </c>
      <c r="C21" s="50" t="s">
        <v>38</v>
      </c>
      <c r="D21" s="33" t="s">
        <v>38</v>
      </c>
      <c r="E21" s="33" t="s">
        <v>38</v>
      </c>
      <c r="F21" s="34" t="s">
        <v>38</v>
      </c>
      <c r="G21" s="35" t="s">
        <v>38</v>
      </c>
      <c r="H21" s="36" t="s">
        <v>38</v>
      </c>
      <c r="I21" s="35" t="s">
        <v>38</v>
      </c>
      <c r="J21" s="37" t="s">
        <v>38</v>
      </c>
      <c r="K21" s="37" t="s">
        <v>38</v>
      </c>
      <c r="L21" s="38" t="s">
        <v>38</v>
      </c>
      <c r="M21" s="37" t="s">
        <v>38</v>
      </c>
      <c r="N21" s="37" t="s">
        <v>38</v>
      </c>
      <c r="O21" s="37" t="s">
        <v>38</v>
      </c>
      <c r="P21" s="20">
        <f>59361*($A$70)</f>
        <v>59.361000000000004</v>
      </c>
      <c r="Q21" s="39" t="s">
        <v>38</v>
      </c>
      <c r="R21" s="19">
        <f>53916*($A$70)</f>
        <v>53.916000000000004</v>
      </c>
      <c r="S21" s="19">
        <f>54038*($A$70)</f>
        <v>54.038000000000004</v>
      </c>
      <c r="T21" s="20">
        <f>57096*($A$70)</f>
        <v>57.096000000000004</v>
      </c>
      <c r="U21" s="19">
        <f>60035*($A$70)</f>
        <v>60.035000000000004</v>
      </c>
      <c r="V21" s="19">
        <f>63564*($A$70)</f>
        <v>63.564</v>
      </c>
      <c r="W21" s="19">
        <f>65852*($A$70)</f>
        <v>65.852000000000004</v>
      </c>
      <c r="X21" s="20">
        <f>70055*($A$70)</f>
        <v>70.055000000000007</v>
      </c>
      <c r="Y21" s="19">
        <f>70958*($A$70)</f>
        <v>70.957999999999998</v>
      </c>
      <c r="Z21" s="23">
        <v>91.2</v>
      </c>
      <c r="AA21" s="23">
        <v>117.3</v>
      </c>
      <c r="AB21" s="22">
        <v>141.69999999999999</v>
      </c>
    </row>
    <row r="22" spans="1:28" ht="20.100000000000001" customHeight="1">
      <c r="A22" s="14" t="s">
        <v>49</v>
      </c>
      <c r="B22" s="10">
        <f>2712*($A$70)</f>
        <v>2.7120000000000002</v>
      </c>
      <c r="C22" s="10">
        <f>22004*($A$70)</f>
        <v>22.004000000000001</v>
      </c>
      <c r="D22" s="48">
        <f>37786*($A$70)</f>
        <v>37.786000000000001</v>
      </c>
      <c r="E22" s="15">
        <f>68971*($A$70)</f>
        <v>68.971000000000004</v>
      </c>
      <c r="F22" s="16">
        <f>61917*(1/1000)</f>
        <v>61.917000000000002</v>
      </c>
      <c r="G22" s="10">
        <f>85669*($A$70)</f>
        <v>85.668999999999997</v>
      </c>
      <c r="H22" s="17">
        <f>65295*($A$70)</f>
        <v>65.295000000000002</v>
      </c>
      <c r="I22" s="10">
        <f>59290*($A$70)</f>
        <v>59.29</v>
      </c>
      <c r="J22" s="18">
        <f>62323*($A$70)</f>
        <v>62.323</v>
      </c>
      <c r="K22" s="19">
        <f>62110*($A$70)</f>
        <v>62.11</v>
      </c>
      <c r="L22" s="20">
        <f>77362*($A$70)</f>
        <v>77.361999999999995</v>
      </c>
      <c r="M22" s="19">
        <f>122805*($A$70)</f>
        <v>122.80500000000001</v>
      </c>
      <c r="N22" s="19">
        <f>126195*($A$70)</f>
        <v>126.19500000000001</v>
      </c>
      <c r="O22" s="19">
        <f>156700*($A$70)</f>
        <v>156.70000000000002</v>
      </c>
      <c r="P22" s="20">
        <f>72467*($A$70)</f>
        <v>72.466999999999999</v>
      </c>
      <c r="Q22" s="19">
        <f>136299*($A$70)</f>
        <v>136.29900000000001</v>
      </c>
      <c r="R22" s="19">
        <f>73814*($A$70)</f>
        <v>73.814000000000007</v>
      </c>
      <c r="S22" s="19">
        <f>53239*($A$70)</f>
        <v>53.239000000000004</v>
      </c>
      <c r="T22" s="20">
        <f>71968*($A$70)</f>
        <v>71.968000000000004</v>
      </c>
      <c r="U22" s="19">
        <f>109187*($A$70)</f>
        <v>109.187</v>
      </c>
      <c r="V22" s="19">
        <f>93754*($A$70)</f>
        <v>93.754000000000005</v>
      </c>
      <c r="W22" s="19">
        <f>113708*($A$70)</f>
        <v>113.708</v>
      </c>
      <c r="X22" s="20">
        <f>105360*($A$70)</f>
        <v>105.36</v>
      </c>
      <c r="Y22" s="19">
        <f>106732*($A$70)</f>
        <v>106.732</v>
      </c>
      <c r="Z22" s="23">
        <v>221.9</v>
      </c>
      <c r="AA22" s="23">
        <v>224.2</v>
      </c>
      <c r="AB22" s="22">
        <v>160.1</v>
      </c>
    </row>
    <row r="23" spans="1:28" ht="20.100000000000001" customHeight="1">
      <c r="A23" s="51" t="s">
        <v>50</v>
      </c>
      <c r="B23" s="10">
        <f>13317*($A$70)</f>
        <v>13.317</v>
      </c>
      <c r="C23" s="10">
        <f>2979*($A$70)</f>
        <v>2.9790000000000001</v>
      </c>
      <c r="D23" s="48">
        <v>6.0999999999999999E-2</v>
      </c>
      <c r="E23" s="24">
        <f>0*($A$70)</f>
        <v>0</v>
      </c>
      <c r="F23" s="26">
        <f>(0*($A$70))</f>
        <v>0</v>
      </c>
      <c r="G23" s="24">
        <f>0*($A$70)</f>
        <v>0</v>
      </c>
      <c r="H23" s="26">
        <f>0*$A$70</f>
        <v>0</v>
      </c>
      <c r="I23" s="24">
        <f>0*($A$70)</f>
        <v>0</v>
      </c>
      <c r="J23" s="28" t="s">
        <v>51</v>
      </c>
      <c r="K23" s="28">
        <f t="shared" ref="K23:Y23" si="10">0*($A$70)</f>
        <v>0</v>
      </c>
      <c r="L23" s="29">
        <f t="shared" si="10"/>
        <v>0</v>
      </c>
      <c r="M23" s="28">
        <f t="shared" si="10"/>
        <v>0</v>
      </c>
      <c r="N23" s="28">
        <f t="shared" si="10"/>
        <v>0</v>
      </c>
      <c r="O23" s="28">
        <f t="shared" si="10"/>
        <v>0</v>
      </c>
      <c r="P23" s="29">
        <f t="shared" si="10"/>
        <v>0</v>
      </c>
      <c r="Q23" s="28">
        <f t="shared" si="10"/>
        <v>0</v>
      </c>
      <c r="R23" s="28">
        <f t="shared" si="10"/>
        <v>0</v>
      </c>
      <c r="S23" s="28">
        <f t="shared" si="10"/>
        <v>0</v>
      </c>
      <c r="T23" s="29">
        <f t="shared" si="10"/>
        <v>0</v>
      </c>
      <c r="U23" s="28">
        <f t="shared" si="10"/>
        <v>0</v>
      </c>
      <c r="V23" s="28">
        <f t="shared" si="10"/>
        <v>0</v>
      </c>
      <c r="W23" s="28">
        <f t="shared" si="10"/>
        <v>0</v>
      </c>
      <c r="X23" s="29">
        <f t="shared" si="10"/>
        <v>0</v>
      </c>
      <c r="Y23" s="28">
        <f t="shared" si="10"/>
        <v>0</v>
      </c>
      <c r="Z23" s="52">
        <v>270</v>
      </c>
      <c r="AA23" s="52">
        <v>30</v>
      </c>
      <c r="AB23" s="22">
        <v>0</v>
      </c>
    </row>
    <row r="24" spans="1:28" ht="20.100000000000001" customHeight="1">
      <c r="A24" s="14" t="s">
        <v>52</v>
      </c>
      <c r="B24" s="10">
        <f>11874*($A$70)</f>
        <v>11.874000000000001</v>
      </c>
      <c r="C24" s="10">
        <f>64478*($A$70)</f>
        <v>64.477999999999994</v>
      </c>
      <c r="D24" s="48">
        <f>109833*($A$70)</f>
        <v>109.833</v>
      </c>
      <c r="E24" s="15">
        <f>150726*($A$70)</f>
        <v>150.726</v>
      </c>
      <c r="F24" s="16">
        <f>137291*(1/1000)</f>
        <v>137.291</v>
      </c>
      <c r="G24" s="10">
        <f>246422*($A$70)</f>
        <v>246.422</v>
      </c>
      <c r="H24" s="17">
        <f>81270*($A$70)</f>
        <v>81.27</v>
      </c>
      <c r="I24" s="10">
        <f>72652*($A$70)</f>
        <v>72.652000000000001</v>
      </c>
      <c r="J24" s="18">
        <f>47571*($A$70)</f>
        <v>47.570999999999998</v>
      </c>
      <c r="K24" s="19">
        <f>34038*($A$70)</f>
        <v>34.038000000000004</v>
      </c>
      <c r="L24" s="20">
        <f>27615*($A$70)</f>
        <v>27.615000000000002</v>
      </c>
      <c r="M24" s="19">
        <f>156414*($A$70)</f>
        <v>156.41400000000002</v>
      </c>
      <c r="N24" s="19">
        <f>298614*($A$70)</f>
        <v>298.61400000000003</v>
      </c>
      <c r="O24" s="19">
        <f>364116*($A$70)</f>
        <v>364.11599999999999</v>
      </c>
      <c r="P24" s="20">
        <f>277534*($A$70)</f>
        <v>277.53399999999999</v>
      </c>
      <c r="Q24" s="19">
        <f>422627*($A$70)</f>
        <v>422.62700000000001</v>
      </c>
      <c r="R24" s="19">
        <f>309519*($A$70)</f>
        <v>309.51900000000001</v>
      </c>
      <c r="S24" s="19">
        <f>225111*($A$70)</f>
        <v>225.11100000000002</v>
      </c>
      <c r="T24" s="20">
        <f>270354*($A$70)</f>
        <v>270.35399999999998</v>
      </c>
      <c r="U24" s="19">
        <f>324338*($A$70)</f>
        <v>324.33800000000002</v>
      </c>
      <c r="V24" s="19">
        <f>265803*($A$70)</f>
        <v>265.803</v>
      </c>
      <c r="W24" s="19">
        <f>215396*($A$70)</f>
        <v>215.39600000000002</v>
      </c>
      <c r="X24" s="20">
        <f>342251*($A$70)</f>
        <v>342.25100000000003</v>
      </c>
      <c r="Y24" s="19">
        <f>428190*($A$70)</f>
        <v>428.19</v>
      </c>
      <c r="Z24" s="23">
        <v>1894.3</v>
      </c>
      <c r="AA24" s="23">
        <v>1631</v>
      </c>
      <c r="AB24" s="22">
        <v>1735.3</v>
      </c>
    </row>
    <row r="25" spans="1:28" ht="20.100000000000001" customHeight="1">
      <c r="A25" s="14" t="s">
        <v>53</v>
      </c>
      <c r="B25" s="49">
        <f>0*($A$70)</f>
        <v>0</v>
      </c>
      <c r="C25" s="49">
        <f>(0*($A$70))</f>
        <v>0</v>
      </c>
      <c r="D25" s="24">
        <f>(0*($A$70))</f>
        <v>0</v>
      </c>
      <c r="E25" s="24">
        <f>0*($A$70)</f>
        <v>0</v>
      </c>
      <c r="F25" s="26">
        <f>(0*($A$70))</f>
        <v>0</v>
      </c>
      <c r="G25" s="24">
        <f>0*($A$70)</f>
        <v>0</v>
      </c>
      <c r="H25" s="26">
        <f>0*$A$70</f>
        <v>0</v>
      </c>
      <c r="I25" s="10">
        <f>26738*($A$70)</f>
        <v>26.738</v>
      </c>
      <c r="J25" s="28">
        <f t="shared" ref="J25:Y26" si="11">0*($A$70)</f>
        <v>0</v>
      </c>
      <c r="K25" s="28">
        <f t="shared" si="11"/>
        <v>0</v>
      </c>
      <c r="L25" s="29">
        <f t="shared" si="11"/>
        <v>0</v>
      </c>
      <c r="M25" s="28">
        <f t="shared" si="11"/>
        <v>0</v>
      </c>
      <c r="N25" s="28">
        <f t="shared" si="11"/>
        <v>0</v>
      </c>
      <c r="O25" s="28">
        <f t="shared" si="11"/>
        <v>0</v>
      </c>
      <c r="P25" s="29">
        <f t="shared" si="11"/>
        <v>0</v>
      </c>
      <c r="Q25" s="28">
        <f t="shared" si="11"/>
        <v>0</v>
      </c>
      <c r="R25" s="28">
        <f t="shared" si="11"/>
        <v>0</v>
      </c>
      <c r="S25" s="28">
        <f t="shared" si="11"/>
        <v>0</v>
      </c>
      <c r="T25" s="29">
        <f t="shared" si="11"/>
        <v>0</v>
      </c>
      <c r="U25" s="28">
        <f t="shared" si="11"/>
        <v>0</v>
      </c>
      <c r="V25" s="28">
        <f t="shared" si="11"/>
        <v>0</v>
      </c>
      <c r="W25" s="28">
        <f t="shared" si="11"/>
        <v>0</v>
      </c>
      <c r="X25" s="29">
        <f t="shared" si="11"/>
        <v>0</v>
      </c>
      <c r="Y25" s="28">
        <f t="shared" si="11"/>
        <v>0</v>
      </c>
      <c r="Z25" s="52">
        <v>12.6</v>
      </c>
      <c r="AA25" s="52">
        <v>12.2</v>
      </c>
      <c r="AB25" s="22">
        <v>12.6</v>
      </c>
    </row>
    <row r="26" spans="1:28" ht="20.100000000000001" customHeight="1">
      <c r="A26" s="14" t="s">
        <v>54</v>
      </c>
      <c r="B26" s="49">
        <f>0*($A$70)</f>
        <v>0</v>
      </c>
      <c r="C26" s="49">
        <f>(0*($A$70))</f>
        <v>0</v>
      </c>
      <c r="D26" s="48">
        <f>1361*($A$70)</f>
        <v>1.361</v>
      </c>
      <c r="E26" s="24">
        <f>0*($A$70)</f>
        <v>0</v>
      </c>
      <c r="F26" s="26">
        <f>(0*($A$70))</f>
        <v>0</v>
      </c>
      <c r="G26" s="24">
        <f>0*($A$70)</f>
        <v>0</v>
      </c>
      <c r="H26" s="26">
        <f>0*$A$70</f>
        <v>0</v>
      </c>
      <c r="I26" s="24">
        <f>0*($A$70)</f>
        <v>0</v>
      </c>
      <c r="J26" s="28">
        <f t="shared" si="11"/>
        <v>0</v>
      </c>
      <c r="K26" s="28">
        <f t="shared" si="11"/>
        <v>0</v>
      </c>
      <c r="L26" s="29">
        <f t="shared" si="11"/>
        <v>0</v>
      </c>
      <c r="M26" s="28">
        <f t="shared" si="11"/>
        <v>0</v>
      </c>
      <c r="N26" s="28">
        <f t="shared" si="11"/>
        <v>0</v>
      </c>
      <c r="O26" s="28">
        <f t="shared" si="11"/>
        <v>0</v>
      </c>
      <c r="P26" s="29">
        <f t="shared" si="11"/>
        <v>0</v>
      </c>
      <c r="Q26" s="28">
        <f t="shared" si="11"/>
        <v>0</v>
      </c>
      <c r="R26" s="28">
        <f t="shared" si="11"/>
        <v>0</v>
      </c>
      <c r="S26" s="28">
        <f t="shared" si="11"/>
        <v>0</v>
      </c>
      <c r="T26" s="29">
        <f t="shared" si="11"/>
        <v>0</v>
      </c>
      <c r="U26" s="28">
        <f t="shared" si="11"/>
        <v>0</v>
      </c>
      <c r="V26" s="28">
        <f t="shared" si="11"/>
        <v>0</v>
      </c>
      <c r="W26" s="28">
        <f t="shared" si="11"/>
        <v>0</v>
      </c>
      <c r="X26" s="29">
        <f t="shared" si="11"/>
        <v>0</v>
      </c>
      <c r="Y26" s="28">
        <f t="shared" si="11"/>
        <v>0</v>
      </c>
      <c r="Z26" s="26">
        <v>0</v>
      </c>
      <c r="AA26" s="26">
        <v>0</v>
      </c>
      <c r="AB26" s="29">
        <v>0</v>
      </c>
    </row>
    <row r="27" spans="1:28" s="47" customFormat="1" ht="20.100000000000001" customHeight="1">
      <c r="A27" s="40" t="s">
        <v>55</v>
      </c>
      <c r="B27" s="41">
        <f t="shared" ref="B27:J27" si="12">SUM(B15:B26)</f>
        <v>104.505</v>
      </c>
      <c r="C27" s="41">
        <f t="shared" si="12"/>
        <v>154.012</v>
      </c>
      <c r="D27" s="41">
        <f t="shared" si="12"/>
        <v>250.34899999999999</v>
      </c>
      <c r="E27" s="41">
        <f t="shared" si="12"/>
        <v>431.84100000000001</v>
      </c>
      <c r="F27" s="42">
        <f t="shared" si="12"/>
        <v>467.834</v>
      </c>
      <c r="G27" s="41">
        <f t="shared" si="12"/>
        <v>556.01499999999999</v>
      </c>
      <c r="H27" s="42">
        <f t="shared" si="12"/>
        <v>458.29200000000003</v>
      </c>
      <c r="I27" s="41">
        <f t="shared" si="12"/>
        <v>433.93600000000004</v>
      </c>
      <c r="J27" s="43">
        <f t="shared" si="12"/>
        <v>499.149</v>
      </c>
      <c r="K27" s="43">
        <f t="shared" ref="K27:AB27" si="13">SUM(K15:K26)</f>
        <v>501.62200000000001</v>
      </c>
      <c r="L27" s="44">
        <f t="shared" si="13"/>
        <v>469.971</v>
      </c>
      <c r="M27" s="53">
        <f t="shared" si="13"/>
        <v>640.30700000000002</v>
      </c>
      <c r="N27" s="53">
        <f t="shared" si="13"/>
        <v>1124.9080000000004</v>
      </c>
      <c r="O27" s="53">
        <f t="shared" si="13"/>
        <v>1206.2759999999998</v>
      </c>
      <c r="P27" s="44">
        <f t="shared" si="13"/>
        <v>1070.4000000000001</v>
      </c>
      <c r="Q27" s="53">
        <f t="shared" si="13"/>
        <v>1273.798</v>
      </c>
      <c r="R27" s="53">
        <f t="shared" si="13"/>
        <v>1172.6559999999999</v>
      </c>
      <c r="S27" s="53">
        <f t="shared" si="13"/>
        <v>1058.173</v>
      </c>
      <c r="T27" s="44">
        <f t="shared" si="13"/>
        <v>1085.1969999999999</v>
      </c>
      <c r="U27" s="53">
        <f t="shared" si="13"/>
        <v>1204.625</v>
      </c>
      <c r="V27" s="53">
        <f t="shared" si="13"/>
        <v>1164.163</v>
      </c>
      <c r="W27" s="53">
        <f t="shared" si="13"/>
        <v>1161.885</v>
      </c>
      <c r="X27" s="44">
        <f t="shared" si="13"/>
        <v>1220.3850000000002</v>
      </c>
      <c r="Y27" s="53">
        <f t="shared" si="13"/>
        <v>1396.8419999999999</v>
      </c>
      <c r="Z27" s="53">
        <f t="shared" si="13"/>
        <v>4435.3</v>
      </c>
      <c r="AA27" s="54">
        <f t="shared" si="13"/>
        <v>3899.7999999999997</v>
      </c>
      <c r="AB27" s="46">
        <f t="shared" si="13"/>
        <v>3982.6</v>
      </c>
    </row>
    <row r="28" spans="1:28" ht="20.100000000000001" customHeight="1">
      <c r="A28" s="55" t="s">
        <v>56</v>
      </c>
      <c r="B28" s="56">
        <f>B27+B14</f>
        <v>257.64800000000002</v>
      </c>
      <c r="C28" s="56">
        <f>C27+C14</f>
        <v>241.97800000000001</v>
      </c>
      <c r="D28" s="56">
        <f>D27+D14</f>
        <v>353.358</v>
      </c>
      <c r="E28" s="56">
        <f>E27+E14</f>
        <v>595.20299999999997</v>
      </c>
      <c r="F28" s="57">
        <f t="shared" ref="F28:J28" si="14">F27+F14</f>
        <v>630.44000000000005</v>
      </c>
      <c r="G28" s="56">
        <f t="shared" si="14"/>
        <v>757.13099999999997</v>
      </c>
      <c r="H28" s="57">
        <f t="shared" si="14"/>
        <v>681.41300000000001</v>
      </c>
      <c r="I28" s="56">
        <f t="shared" si="14"/>
        <v>774.846</v>
      </c>
      <c r="J28" s="58">
        <f t="shared" si="14"/>
        <v>945.67500000000007</v>
      </c>
      <c r="K28" s="58">
        <f t="shared" ref="K28:AB28" si="15">K14+K27</f>
        <v>984.87200000000007</v>
      </c>
      <c r="L28" s="59">
        <f t="shared" si="15"/>
        <v>1015.1950000000001</v>
      </c>
      <c r="M28" s="58">
        <f t="shared" si="15"/>
        <v>1226.854</v>
      </c>
      <c r="N28" s="58">
        <f t="shared" si="15"/>
        <v>5248.0749999999998</v>
      </c>
      <c r="O28" s="58">
        <f t="shared" si="15"/>
        <v>5363.8689999999997</v>
      </c>
      <c r="P28" s="59">
        <f t="shared" si="15"/>
        <v>5348.5479999999989</v>
      </c>
      <c r="Q28" s="58">
        <f t="shared" si="15"/>
        <v>5502.7539999999999</v>
      </c>
      <c r="R28" s="58">
        <f t="shared" si="15"/>
        <v>5597.8010000000004</v>
      </c>
      <c r="S28" s="58">
        <f t="shared" si="15"/>
        <v>5514.8739999999998</v>
      </c>
      <c r="T28" s="59">
        <f t="shared" si="15"/>
        <v>5561.3450000000003</v>
      </c>
      <c r="U28" s="58">
        <f t="shared" si="15"/>
        <v>5629.4740000000011</v>
      </c>
      <c r="V28" s="58">
        <f t="shared" si="15"/>
        <v>5592.7070000000003</v>
      </c>
      <c r="W28" s="58">
        <f t="shared" si="15"/>
        <v>5597.9810000000007</v>
      </c>
      <c r="X28" s="59">
        <f t="shared" si="15"/>
        <v>5676.2300000000005</v>
      </c>
      <c r="Y28" s="58">
        <f t="shared" si="15"/>
        <v>5851.1940000000004</v>
      </c>
      <c r="Z28" s="58">
        <f t="shared" si="15"/>
        <v>27827.1</v>
      </c>
      <c r="AA28" s="60">
        <f t="shared" si="15"/>
        <v>27481.199999999997</v>
      </c>
      <c r="AB28" s="61">
        <f t="shared" si="15"/>
        <v>27381.199999999997</v>
      </c>
    </row>
    <row r="29" spans="1:28" ht="20.100000000000001" customHeight="1">
      <c r="A29" s="40" t="s">
        <v>57</v>
      </c>
      <c r="B29" s="48"/>
      <c r="C29" s="48"/>
      <c r="D29" s="48"/>
      <c r="E29" s="62"/>
      <c r="F29" s="63"/>
      <c r="G29" s="15"/>
      <c r="H29" s="11"/>
      <c r="I29" s="12"/>
      <c r="J29" s="11"/>
      <c r="K29" s="11"/>
      <c r="L29" s="12"/>
      <c r="M29" s="11"/>
      <c r="N29" s="11"/>
      <c r="O29" s="11"/>
      <c r="P29" s="12"/>
      <c r="Q29" s="11"/>
      <c r="R29" s="11"/>
      <c r="S29" s="11"/>
      <c r="T29" s="12"/>
      <c r="U29" s="11"/>
      <c r="V29" s="11"/>
      <c r="W29" s="11"/>
      <c r="X29" s="12"/>
      <c r="Y29" s="11"/>
      <c r="Z29" s="23"/>
      <c r="AA29" s="23"/>
      <c r="AB29" s="22"/>
    </row>
    <row r="30" spans="1:28" ht="20.100000000000001" customHeight="1">
      <c r="A30" s="14" t="s">
        <v>58</v>
      </c>
      <c r="B30" s="10">
        <f>500*($A$70)</f>
        <v>0.5</v>
      </c>
      <c r="C30" s="10">
        <f>10500*($A$70)</f>
        <v>10.5</v>
      </c>
      <c r="D30" s="48">
        <f>10500*($A$70)</f>
        <v>10.5</v>
      </c>
      <c r="E30" s="15">
        <f t="shared" ref="E30:M30" si="16">10733*($A$70)</f>
        <v>10.733000000000001</v>
      </c>
      <c r="F30" s="16">
        <f t="shared" si="16"/>
        <v>10.733000000000001</v>
      </c>
      <c r="G30" s="15">
        <f t="shared" si="16"/>
        <v>10.733000000000001</v>
      </c>
      <c r="H30" s="16">
        <f t="shared" si="16"/>
        <v>10.733000000000001</v>
      </c>
      <c r="I30" s="15">
        <f t="shared" si="16"/>
        <v>10.733000000000001</v>
      </c>
      <c r="J30" s="16">
        <f t="shared" si="16"/>
        <v>10.733000000000001</v>
      </c>
      <c r="K30" s="16">
        <f t="shared" si="16"/>
        <v>10.733000000000001</v>
      </c>
      <c r="L30" s="15">
        <f t="shared" si="16"/>
        <v>10.733000000000001</v>
      </c>
      <c r="M30" s="16">
        <f t="shared" si="16"/>
        <v>10.733000000000001</v>
      </c>
      <c r="N30" s="16">
        <f t="shared" ref="N30:Y30" si="17">13934*($A$70)</f>
        <v>13.934000000000001</v>
      </c>
      <c r="O30" s="16">
        <f t="shared" si="17"/>
        <v>13.934000000000001</v>
      </c>
      <c r="P30" s="15">
        <f t="shared" si="17"/>
        <v>13.934000000000001</v>
      </c>
      <c r="Q30" s="16">
        <f t="shared" si="17"/>
        <v>13.934000000000001</v>
      </c>
      <c r="R30" s="16">
        <f t="shared" si="17"/>
        <v>13.934000000000001</v>
      </c>
      <c r="S30" s="16">
        <f t="shared" si="17"/>
        <v>13.934000000000001</v>
      </c>
      <c r="T30" s="64">
        <f t="shared" si="17"/>
        <v>13.934000000000001</v>
      </c>
      <c r="U30" s="65">
        <f t="shared" si="17"/>
        <v>13.934000000000001</v>
      </c>
      <c r="V30" s="65">
        <f t="shared" si="17"/>
        <v>13.934000000000001</v>
      </c>
      <c r="W30" s="65">
        <f t="shared" si="17"/>
        <v>13.934000000000001</v>
      </c>
      <c r="X30" s="64">
        <f t="shared" si="17"/>
        <v>13.934000000000001</v>
      </c>
      <c r="Y30" s="65">
        <f t="shared" si="17"/>
        <v>13.934000000000001</v>
      </c>
      <c r="Z30" s="23">
        <v>25.6</v>
      </c>
      <c r="AA30" s="23">
        <v>25.6</v>
      </c>
      <c r="AB30" s="22">
        <v>25.6</v>
      </c>
    </row>
    <row r="31" spans="1:28" ht="20.100000000000001" customHeight="1">
      <c r="A31" s="14" t="s">
        <v>59</v>
      </c>
      <c r="B31" s="24">
        <v>0</v>
      </c>
      <c r="C31" s="24">
        <v>0</v>
      </c>
      <c r="D31" s="24">
        <v>0</v>
      </c>
      <c r="E31" s="15">
        <f>3500*($A$70)</f>
        <v>3.5</v>
      </c>
      <c r="F31" s="16">
        <f>3500*($A$70)</f>
        <v>3.5</v>
      </c>
      <c r="G31" s="15">
        <f>3964*($A$70)</f>
        <v>3.964</v>
      </c>
      <c r="H31" s="16">
        <f>73997*($A$70)</f>
        <v>73.997</v>
      </c>
      <c r="I31" s="15">
        <f>73997*($A$70)</f>
        <v>73.997</v>
      </c>
      <c r="J31" s="16">
        <f>156534*($A$70)</f>
        <v>156.53399999999999</v>
      </c>
      <c r="K31" s="16">
        <f>156534*($A$70)</f>
        <v>156.53399999999999</v>
      </c>
      <c r="L31" s="15">
        <f>156534*($A$70)</f>
        <v>156.53399999999999</v>
      </c>
      <c r="M31" s="16">
        <f>156534*($A$70)</f>
        <v>156.53399999999999</v>
      </c>
      <c r="N31" s="16">
        <f>432265*($A$70)</f>
        <v>432.26499999999999</v>
      </c>
      <c r="O31" s="16">
        <f>432265*($A$70)</f>
        <v>432.26499999999999</v>
      </c>
      <c r="P31" s="66" t="s">
        <v>60</v>
      </c>
      <c r="Q31" s="16">
        <f>432265*($A$70)</f>
        <v>432.26499999999999</v>
      </c>
      <c r="R31" s="26">
        <v>0</v>
      </c>
      <c r="S31" s="26">
        <v>0</v>
      </c>
      <c r="T31" s="24">
        <v>0</v>
      </c>
      <c r="U31" s="26">
        <v>0</v>
      </c>
      <c r="V31" s="26">
        <v>0</v>
      </c>
      <c r="W31" s="26">
        <v>0</v>
      </c>
      <c r="X31" s="24">
        <v>0</v>
      </c>
      <c r="Y31" s="26">
        <v>0</v>
      </c>
      <c r="Z31" s="26">
        <v>0</v>
      </c>
      <c r="AA31" s="26">
        <v>0</v>
      </c>
      <c r="AB31" s="67">
        <v>0</v>
      </c>
    </row>
    <row r="32" spans="1:28" ht="20.100000000000001" customHeight="1">
      <c r="A32" s="14" t="s">
        <v>61</v>
      </c>
      <c r="B32" s="24">
        <v>0</v>
      </c>
      <c r="C32" s="24">
        <v>0</v>
      </c>
      <c r="D32" s="24">
        <v>0</v>
      </c>
      <c r="E32" s="15">
        <f t="shared" ref="E32:M32" si="18">10174*($A$70)</f>
        <v>10.173999999999999</v>
      </c>
      <c r="F32" s="16">
        <f t="shared" si="18"/>
        <v>10.173999999999999</v>
      </c>
      <c r="G32" s="15">
        <f t="shared" si="18"/>
        <v>10.173999999999999</v>
      </c>
      <c r="H32" s="16">
        <f t="shared" si="18"/>
        <v>10.173999999999999</v>
      </c>
      <c r="I32" s="15">
        <f t="shared" si="18"/>
        <v>10.173999999999999</v>
      </c>
      <c r="J32" s="16">
        <f t="shared" si="18"/>
        <v>10.173999999999999</v>
      </c>
      <c r="K32" s="16">
        <f t="shared" si="18"/>
        <v>10.173999999999999</v>
      </c>
      <c r="L32" s="15">
        <f t="shared" si="18"/>
        <v>10.173999999999999</v>
      </c>
      <c r="M32" s="16">
        <f t="shared" si="18"/>
        <v>10.173999999999999</v>
      </c>
      <c r="N32" s="16">
        <f>1305277*($A$70)</f>
        <v>1305.277</v>
      </c>
      <c r="O32" s="68">
        <f>1305277*($A$70)</f>
        <v>1305.277</v>
      </c>
      <c r="P32" s="69" t="s">
        <v>60</v>
      </c>
      <c r="Q32" s="68">
        <f>1305277*($A$70)</f>
        <v>1305.277</v>
      </c>
      <c r="R32" s="26">
        <v>0</v>
      </c>
      <c r="S32" s="26">
        <v>0</v>
      </c>
      <c r="T32" s="24">
        <v>0</v>
      </c>
      <c r="U32" s="26">
        <v>0</v>
      </c>
      <c r="V32" s="26">
        <v>0</v>
      </c>
      <c r="W32" s="26">
        <v>0</v>
      </c>
      <c r="X32" s="24">
        <v>0</v>
      </c>
      <c r="Y32" s="26">
        <v>0</v>
      </c>
      <c r="Z32" s="26">
        <v>0</v>
      </c>
      <c r="AA32" s="26">
        <v>0</v>
      </c>
      <c r="AB32" s="67">
        <v>0</v>
      </c>
    </row>
    <row r="33" spans="1:28" ht="20.100000000000001" customHeight="1">
      <c r="A33" s="14" t="s">
        <v>62</v>
      </c>
      <c r="B33" s="33" t="s">
        <v>60</v>
      </c>
      <c r="C33" s="33" t="s">
        <v>60</v>
      </c>
      <c r="D33" s="33" t="s">
        <v>60</v>
      </c>
      <c r="E33" s="33" t="s">
        <v>60</v>
      </c>
      <c r="F33" s="34" t="s">
        <v>60</v>
      </c>
      <c r="G33" s="70" t="s">
        <v>60</v>
      </c>
      <c r="H33" s="34" t="s">
        <v>60</v>
      </c>
      <c r="I33" s="70" t="s">
        <v>60</v>
      </c>
      <c r="J33" s="34" t="s">
        <v>60</v>
      </c>
      <c r="K33" s="71" t="s">
        <v>60</v>
      </c>
      <c r="L33" s="66" t="s">
        <v>60</v>
      </c>
      <c r="M33" s="71" t="s">
        <v>60</v>
      </c>
      <c r="N33" s="72" t="s">
        <v>60</v>
      </c>
      <c r="O33" s="72" t="s">
        <v>60</v>
      </c>
      <c r="P33" s="73">
        <f>1295103*($A$70)</f>
        <v>1295.1030000000001</v>
      </c>
      <c r="Q33" s="74" t="s">
        <v>60</v>
      </c>
      <c r="R33" s="68">
        <f t="shared" ref="R33:Y33" si="19">1295103*($A$70)</f>
        <v>1295.1030000000001</v>
      </c>
      <c r="S33" s="68">
        <f t="shared" si="19"/>
        <v>1295.1030000000001</v>
      </c>
      <c r="T33" s="75">
        <f t="shared" si="19"/>
        <v>1295.1030000000001</v>
      </c>
      <c r="U33" s="76">
        <f t="shared" si="19"/>
        <v>1295.1030000000001</v>
      </c>
      <c r="V33" s="76">
        <f t="shared" si="19"/>
        <v>1295.1030000000001</v>
      </c>
      <c r="W33" s="76">
        <f t="shared" si="19"/>
        <v>1295.1030000000001</v>
      </c>
      <c r="X33" s="75">
        <f t="shared" si="19"/>
        <v>1295.1030000000001</v>
      </c>
      <c r="Y33" s="76">
        <f t="shared" si="19"/>
        <v>1295.1030000000001</v>
      </c>
      <c r="Z33" s="77">
        <v>7237.5</v>
      </c>
      <c r="AA33" s="77">
        <v>7237.5</v>
      </c>
      <c r="AB33" s="22">
        <v>7237.4</v>
      </c>
    </row>
    <row r="34" spans="1:28" ht="20.100000000000001" customHeight="1">
      <c r="A34" s="14" t="s">
        <v>63</v>
      </c>
      <c r="B34" s="24">
        <v>0</v>
      </c>
      <c r="C34" s="24">
        <v>0</v>
      </c>
      <c r="D34" s="24">
        <v>0</v>
      </c>
      <c r="E34" s="24">
        <v>0</v>
      </c>
      <c r="F34" s="26">
        <v>0</v>
      </c>
      <c r="G34" s="24">
        <v>0</v>
      </c>
      <c r="H34" s="26">
        <v>0</v>
      </c>
      <c r="I34" s="24">
        <v>0</v>
      </c>
      <c r="J34" s="26">
        <v>0</v>
      </c>
      <c r="K34" s="26">
        <v>0</v>
      </c>
      <c r="L34" s="24">
        <v>0</v>
      </c>
      <c r="M34" s="26">
        <v>0</v>
      </c>
      <c r="N34" s="78">
        <f>-927*($A$70)</f>
        <v>-0.92700000000000005</v>
      </c>
      <c r="O34" s="16">
        <f>5230*($A$70)</f>
        <v>5.23</v>
      </c>
      <c r="P34" s="66" t="s">
        <v>60</v>
      </c>
      <c r="Q34" s="16">
        <f>-3170*($A$70)</f>
        <v>-3.17</v>
      </c>
      <c r="R34" s="26">
        <v>0</v>
      </c>
      <c r="S34" s="26">
        <v>0</v>
      </c>
      <c r="T34" s="24">
        <v>0</v>
      </c>
      <c r="U34" s="26">
        <v>0</v>
      </c>
      <c r="V34" s="26">
        <v>0</v>
      </c>
      <c r="W34" s="26">
        <v>0</v>
      </c>
      <c r="X34" s="24">
        <v>0</v>
      </c>
      <c r="Y34" s="26">
        <v>0</v>
      </c>
      <c r="Z34" s="26">
        <v>0</v>
      </c>
      <c r="AA34" s="26">
        <v>0</v>
      </c>
      <c r="AB34" s="67">
        <v>0</v>
      </c>
    </row>
    <row r="35" spans="1:28" ht="20.100000000000001" customHeight="1">
      <c r="A35" s="14" t="s">
        <v>64</v>
      </c>
      <c r="B35" s="24">
        <v>0</v>
      </c>
      <c r="C35" s="24">
        <v>0</v>
      </c>
      <c r="D35" s="24">
        <v>0</v>
      </c>
      <c r="E35" s="24">
        <v>0</v>
      </c>
      <c r="F35" s="26">
        <v>0</v>
      </c>
      <c r="G35" s="24">
        <v>0</v>
      </c>
      <c r="H35" s="26">
        <v>0</v>
      </c>
      <c r="I35" s="24">
        <v>0</v>
      </c>
      <c r="J35" s="26">
        <v>0</v>
      </c>
      <c r="K35" s="26">
        <v>0</v>
      </c>
      <c r="L35" s="24">
        <v>0</v>
      </c>
      <c r="M35" s="26">
        <v>0</v>
      </c>
      <c r="N35" s="78">
        <f>-608*($A$70)</f>
        <v>-0.60799999999999998</v>
      </c>
      <c r="O35" s="16">
        <f>3449*($A$70)</f>
        <v>3.4490000000000003</v>
      </c>
      <c r="P35" s="66" t="s">
        <v>60</v>
      </c>
      <c r="Q35" s="16">
        <f>2396*($A$70)</f>
        <v>2.3959999999999999</v>
      </c>
      <c r="R35" s="26">
        <v>0</v>
      </c>
      <c r="S35" s="26">
        <v>0</v>
      </c>
      <c r="T35" s="24">
        <v>0</v>
      </c>
      <c r="U35" s="26">
        <v>0</v>
      </c>
      <c r="V35" s="26">
        <v>0</v>
      </c>
      <c r="W35" s="26">
        <v>0</v>
      </c>
      <c r="X35" s="24">
        <v>0</v>
      </c>
      <c r="Y35" s="26">
        <v>0</v>
      </c>
      <c r="Z35" s="26">
        <v>0</v>
      </c>
      <c r="AA35" s="26">
        <v>0</v>
      </c>
      <c r="AB35" s="67">
        <v>0</v>
      </c>
    </row>
    <row r="36" spans="1:28" ht="20.100000000000001" customHeight="1">
      <c r="A36" s="14" t="s">
        <v>65</v>
      </c>
      <c r="B36" s="33" t="s">
        <v>60</v>
      </c>
      <c r="C36" s="33" t="s">
        <v>60</v>
      </c>
      <c r="D36" s="33" t="s">
        <v>60</v>
      </c>
      <c r="E36" s="33" t="s">
        <v>60</v>
      </c>
      <c r="F36" s="34" t="s">
        <v>60</v>
      </c>
      <c r="G36" s="70" t="s">
        <v>60</v>
      </c>
      <c r="H36" s="34" t="s">
        <v>60</v>
      </c>
      <c r="I36" s="70" t="s">
        <v>60</v>
      </c>
      <c r="J36" s="34" t="s">
        <v>60</v>
      </c>
      <c r="K36" s="71" t="s">
        <v>60</v>
      </c>
      <c r="L36" s="66" t="s">
        <v>60</v>
      </c>
      <c r="M36" s="71" t="s">
        <v>60</v>
      </c>
      <c r="N36" s="72" t="s">
        <v>60</v>
      </c>
      <c r="O36" s="72" t="s">
        <v>60</v>
      </c>
      <c r="P36" s="15">
        <v>9.6110000000000007</v>
      </c>
      <c r="Q36" s="71" t="s">
        <v>60</v>
      </c>
      <c r="R36" s="16">
        <f>1225*($A$70)</f>
        <v>1.2250000000000001</v>
      </c>
      <c r="S36" s="16">
        <f>-8191*($A$70)</f>
        <v>-8.1910000000000007</v>
      </c>
      <c r="T36" s="64">
        <f>-16327*($A$70)</f>
        <v>-16.327000000000002</v>
      </c>
      <c r="U36" s="65">
        <f>-17667*($A$70)</f>
        <v>-17.667000000000002</v>
      </c>
      <c r="V36" s="65">
        <f>-13285*($A$70)</f>
        <v>-13.285</v>
      </c>
      <c r="W36" s="65">
        <f>-11455*($A$70)</f>
        <v>-11.455</v>
      </c>
      <c r="X36" s="64">
        <f>-8964*($A$70)</f>
        <v>-8.9640000000000004</v>
      </c>
      <c r="Y36" s="26">
        <v>0</v>
      </c>
      <c r="Z36" s="26">
        <v>0</v>
      </c>
      <c r="AA36" s="79">
        <v>-9.1999999999999993</v>
      </c>
      <c r="AB36" s="80">
        <v>-12.2</v>
      </c>
    </row>
    <row r="37" spans="1:28" ht="20.100000000000001" customHeight="1">
      <c r="A37" s="14" t="s">
        <v>66</v>
      </c>
      <c r="B37" s="10">
        <f>-94429*($A$70)</f>
        <v>-94.429000000000002</v>
      </c>
      <c r="C37" s="10">
        <f>-128937*($A$70)</f>
        <v>-128.93700000000001</v>
      </c>
      <c r="D37" s="48">
        <f>-73188*($A$70)</f>
        <v>-73.188000000000002</v>
      </c>
      <c r="E37" s="15">
        <f>36733*($A$70)</f>
        <v>36.733000000000004</v>
      </c>
      <c r="F37" s="16">
        <f>179696*($A$70)</f>
        <v>179.696</v>
      </c>
      <c r="G37" s="15">
        <f>268467*($A$70)</f>
        <v>268.46699999999998</v>
      </c>
      <c r="H37" s="16">
        <f>125905*($A$70)</f>
        <v>125.905</v>
      </c>
      <c r="I37" s="15">
        <f>227509*($A$70)</f>
        <v>227.50900000000001</v>
      </c>
      <c r="J37" s="16">
        <f>145155*($A$70)</f>
        <v>145.155</v>
      </c>
      <c r="K37" s="16">
        <f>213548*($A$70)</f>
        <v>213.548</v>
      </c>
      <c r="L37" s="15">
        <f>250497*($A$70)</f>
        <v>250.49700000000001</v>
      </c>
      <c r="M37" s="16">
        <f>326895*($A$70)</f>
        <v>326.89499999999998</v>
      </c>
      <c r="N37" s="16">
        <f>120646*($A$70)</f>
        <v>120.646</v>
      </c>
      <c r="O37" s="16">
        <f>58659*($A$70)</f>
        <v>58.658999999999999</v>
      </c>
      <c r="P37" s="15">
        <f>577395*($A$70)</f>
        <v>577.39499999999998</v>
      </c>
      <c r="Q37" s="16">
        <f>340065*($A$70)</f>
        <v>340.065</v>
      </c>
      <c r="R37" s="16">
        <f>882007*($A$70)</f>
        <v>882.00700000000006</v>
      </c>
      <c r="S37" s="68">
        <f>1054069*($A$70)</f>
        <v>1054.069</v>
      </c>
      <c r="T37" s="75">
        <f>1175693*($A$70)</f>
        <v>1175.693</v>
      </c>
      <c r="U37" s="68">
        <f>1270798*($A$70)</f>
        <v>1270.798</v>
      </c>
      <c r="V37" s="68">
        <f>1351543*($A$70)</f>
        <v>1351.5430000000001</v>
      </c>
      <c r="W37" s="68">
        <f>1527994*($A$70)</f>
        <v>1527.9940000000001</v>
      </c>
      <c r="X37" s="64">
        <f>1701138*($A$70)</f>
        <v>1701.1380000000001</v>
      </c>
      <c r="Y37" s="68">
        <f>1799310*($A$70)</f>
        <v>1799.31</v>
      </c>
      <c r="Z37" s="77">
        <v>1828.6</v>
      </c>
      <c r="AA37" s="77">
        <v>1876.8</v>
      </c>
      <c r="AB37" s="22">
        <v>1890.8</v>
      </c>
    </row>
    <row r="38" spans="1:28" s="47" customFormat="1" ht="20.100000000000001" customHeight="1">
      <c r="A38" s="81" t="s">
        <v>67</v>
      </c>
      <c r="B38" s="41">
        <f t="shared" ref="B38:I38" si="20">SUM(B30:B37)</f>
        <v>-93.929000000000002</v>
      </c>
      <c r="C38" s="41">
        <f t="shared" si="20"/>
        <v>-118.43700000000001</v>
      </c>
      <c r="D38" s="41">
        <f t="shared" si="20"/>
        <v>-62.688000000000002</v>
      </c>
      <c r="E38" s="41">
        <f t="shared" si="20"/>
        <v>61.14</v>
      </c>
      <c r="F38" s="42">
        <f t="shared" si="20"/>
        <v>204.10300000000001</v>
      </c>
      <c r="G38" s="41">
        <f t="shared" si="20"/>
        <v>293.33799999999997</v>
      </c>
      <c r="H38" s="42">
        <f t="shared" si="20"/>
        <v>220.809</v>
      </c>
      <c r="I38" s="41">
        <f t="shared" si="20"/>
        <v>322.41300000000001</v>
      </c>
      <c r="J38" s="42">
        <f t="shared" ref="J38:AB38" si="21">SUM(J30:J37)</f>
        <v>322.596</v>
      </c>
      <c r="K38" s="42">
        <f t="shared" si="21"/>
        <v>390.98900000000003</v>
      </c>
      <c r="L38" s="41">
        <f t="shared" si="21"/>
        <v>427.93799999999999</v>
      </c>
      <c r="M38" s="42">
        <f t="shared" si="21"/>
        <v>504.33600000000001</v>
      </c>
      <c r="N38" s="82">
        <f t="shared" si="21"/>
        <v>1870.5870000000002</v>
      </c>
      <c r="O38" s="82">
        <f t="shared" si="21"/>
        <v>1818.8140000000003</v>
      </c>
      <c r="P38" s="83">
        <f t="shared" si="21"/>
        <v>1896.0430000000001</v>
      </c>
      <c r="Q38" s="82">
        <f t="shared" si="21"/>
        <v>2090.7669999999998</v>
      </c>
      <c r="R38" s="82">
        <f t="shared" si="21"/>
        <v>2192.2690000000002</v>
      </c>
      <c r="S38" s="82">
        <f t="shared" si="21"/>
        <v>2354.915</v>
      </c>
      <c r="T38" s="83">
        <f t="shared" si="21"/>
        <v>2468.4030000000002</v>
      </c>
      <c r="U38" s="82">
        <f t="shared" si="21"/>
        <v>2562.1680000000001</v>
      </c>
      <c r="V38" s="82">
        <f t="shared" si="21"/>
        <v>2647.2950000000001</v>
      </c>
      <c r="W38" s="82">
        <f t="shared" si="21"/>
        <v>2825.576</v>
      </c>
      <c r="X38" s="83">
        <f t="shared" si="21"/>
        <v>3001.2110000000002</v>
      </c>
      <c r="Y38" s="82">
        <f t="shared" si="21"/>
        <v>3108.3469999999998</v>
      </c>
      <c r="Z38" s="84">
        <f t="shared" si="21"/>
        <v>9091.7000000000007</v>
      </c>
      <c r="AA38" s="84">
        <f t="shared" si="21"/>
        <v>9130.7000000000007</v>
      </c>
      <c r="AB38" s="85">
        <f t="shared" si="21"/>
        <v>9141.6</v>
      </c>
    </row>
    <row r="39" spans="1:28" ht="20.100000000000001" customHeight="1">
      <c r="A39" s="14" t="s">
        <v>68</v>
      </c>
      <c r="B39" s="10">
        <f>321*($A$70)</f>
        <v>0.32100000000000001</v>
      </c>
      <c r="C39" s="10">
        <f>126*($A$70)</f>
        <v>0.126</v>
      </c>
      <c r="D39" s="10">
        <f>70*($A$70)</f>
        <v>7.0000000000000007E-2</v>
      </c>
      <c r="E39" s="24">
        <v>0</v>
      </c>
      <c r="F39" s="26">
        <v>0</v>
      </c>
      <c r="G39" s="24">
        <v>0</v>
      </c>
      <c r="H39" s="26">
        <v>0</v>
      </c>
      <c r="I39" s="24">
        <v>0</v>
      </c>
      <c r="J39" s="26">
        <v>0</v>
      </c>
      <c r="K39" s="26">
        <v>0</v>
      </c>
      <c r="L39" s="24">
        <v>0</v>
      </c>
      <c r="M39" s="26">
        <v>0</v>
      </c>
      <c r="N39" s="26">
        <v>0</v>
      </c>
      <c r="O39" s="26">
        <v>0</v>
      </c>
      <c r="P39" s="24">
        <v>0</v>
      </c>
      <c r="Q39" s="26">
        <v>0</v>
      </c>
      <c r="R39" s="26">
        <v>0</v>
      </c>
      <c r="S39" s="26">
        <v>0</v>
      </c>
      <c r="T39" s="24">
        <v>0</v>
      </c>
      <c r="U39" s="26">
        <v>0</v>
      </c>
      <c r="V39" s="26">
        <v>0</v>
      </c>
      <c r="W39" s="11">
        <f>2/1000</f>
        <v>2E-3</v>
      </c>
      <c r="X39" s="12">
        <f>2/1000</f>
        <v>2E-3</v>
      </c>
      <c r="Y39" s="11">
        <f>2/1000</f>
        <v>2E-3</v>
      </c>
      <c r="Z39" s="26">
        <v>0</v>
      </c>
      <c r="AA39" s="86">
        <v>0</v>
      </c>
      <c r="AB39" s="29">
        <v>0</v>
      </c>
    </row>
    <row r="40" spans="1:28" s="47" customFormat="1" ht="20.100000000000001" customHeight="1">
      <c r="A40" s="81" t="s">
        <v>69</v>
      </c>
      <c r="B40" s="41">
        <f>B38+B39</f>
        <v>-93.608000000000004</v>
      </c>
      <c r="C40" s="41">
        <f t="shared" ref="C40:S40" si="22">C38+C39</f>
        <v>-118.31100000000001</v>
      </c>
      <c r="D40" s="41">
        <f t="shared" si="22"/>
        <v>-62.618000000000002</v>
      </c>
      <c r="E40" s="41">
        <f t="shared" si="22"/>
        <v>61.14</v>
      </c>
      <c r="F40" s="42">
        <f t="shared" si="22"/>
        <v>204.10300000000001</v>
      </c>
      <c r="G40" s="41">
        <f t="shared" si="22"/>
        <v>293.33799999999997</v>
      </c>
      <c r="H40" s="42">
        <f t="shared" si="22"/>
        <v>220.809</v>
      </c>
      <c r="I40" s="41">
        <f t="shared" si="22"/>
        <v>322.41300000000001</v>
      </c>
      <c r="J40" s="42">
        <f t="shared" si="22"/>
        <v>322.596</v>
      </c>
      <c r="K40" s="42">
        <f t="shared" si="22"/>
        <v>390.98900000000003</v>
      </c>
      <c r="L40" s="41">
        <f t="shared" si="22"/>
        <v>427.93799999999999</v>
      </c>
      <c r="M40" s="42">
        <f t="shared" si="22"/>
        <v>504.33600000000001</v>
      </c>
      <c r="N40" s="82">
        <f t="shared" si="22"/>
        <v>1870.5870000000002</v>
      </c>
      <c r="O40" s="82">
        <f t="shared" si="22"/>
        <v>1818.8140000000003</v>
      </c>
      <c r="P40" s="83">
        <f t="shared" si="22"/>
        <v>1896.0430000000001</v>
      </c>
      <c r="Q40" s="82">
        <f t="shared" si="22"/>
        <v>2090.7669999999998</v>
      </c>
      <c r="R40" s="82">
        <f t="shared" si="22"/>
        <v>2192.2690000000002</v>
      </c>
      <c r="S40" s="82">
        <f t="shared" si="22"/>
        <v>2354.915</v>
      </c>
      <c r="T40" s="83">
        <f t="shared" ref="T40:V40" si="23">T38</f>
        <v>2468.4030000000002</v>
      </c>
      <c r="U40" s="82">
        <f t="shared" si="23"/>
        <v>2562.1680000000001</v>
      </c>
      <c r="V40" s="82">
        <f t="shared" si="23"/>
        <v>2647.2950000000001</v>
      </c>
      <c r="W40" s="82">
        <f>SUM(W38:W39)</f>
        <v>2825.578</v>
      </c>
      <c r="X40" s="83">
        <f>X38+X39</f>
        <v>3001.2130000000002</v>
      </c>
      <c r="Y40" s="82">
        <f>Y38+Y39</f>
        <v>3108.3489999999997</v>
      </c>
      <c r="Z40" s="84">
        <f>Z38+Z39</f>
        <v>9091.7000000000007</v>
      </c>
      <c r="AA40" s="84">
        <f>AA38+AA39</f>
        <v>9130.7000000000007</v>
      </c>
      <c r="AB40" s="85">
        <f>AB38+AB39</f>
        <v>9141.6</v>
      </c>
    </row>
    <row r="41" spans="1:28" ht="20.100000000000001" customHeight="1">
      <c r="A41" s="14" t="s">
        <v>70</v>
      </c>
      <c r="B41" s="10">
        <f>198263*($A$70)</f>
        <v>198.26300000000001</v>
      </c>
      <c r="C41" s="24">
        <v>0</v>
      </c>
      <c r="D41" s="48">
        <f>29240*($A$70)</f>
        <v>29.240000000000002</v>
      </c>
      <c r="E41" s="15">
        <f>132226*($A$70)</f>
        <v>132.226</v>
      </c>
      <c r="F41" s="16">
        <f>73747*($A$70)</f>
        <v>73.747</v>
      </c>
      <c r="G41" s="15">
        <f>44135*($A$70)</f>
        <v>44.134999999999998</v>
      </c>
      <c r="H41" s="16">
        <f>15054*($A$70)</f>
        <v>15.054</v>
      </c>
      <c r="I41" s="24">
        <v>0</v>
      </c>
      <c r="J41" s="26">
        <v>0</v>
      </c>
      <c r="K41" s="26">
        <v>0</v>
      </c>
      <c r="L41" s="24">
        <v>0</v>
      </c>
      <c r="M41" s="26">
        <v>0</v>
      </c>
      <c r="N41" s="16">
        <f>1061912*($A$70)</f>
        <v>1061.912</v>
      </c>
      <c r="O41" s="16">
        <f>1018123*($A$70)</f>
        <v>1018.123</v>
      </c>
      <c r="P41" s="15">
        <f>958407*($A$70)</f>
        <v>958.40700000000004</v>
      </c>
      <c r="Q41" s="16">
        <f>932068*($A$70)</f>
        <v>932.06799999999998</v>
      </c>
      <c r="R41" s="16">
        <f>889155*($A$70)</f>
        <v>889.15499999999997</v>
      </c>
      <c r="S41" s="11">
        <f>680371*($A$70)</f>
        <v>680.37099999999998</v>
      </c>
      <c r="T41" s="64">
        <f>592003*($A$70)</f>
        <v>592.00300000000004</v>
      </c>
      <c r="U41" s="65">
        <f>572819*($A$70)</f>
        <v>572.81899999999996</v>
      </c>
      <c r="V41" s="65">
        <f>422858*($A$70)</f>
        <v>422.858</v>
      </c>
      <c r="W41" s="65">
        <f>329798*($A$70)</f>
        <v>329.798</v>
      </c>
      <c r="X41" s="64">
        <f>239889*($A$70)</f>
        <v>239.88900000000001</v>
      </c>
      <c r="Y41" s="65">
        <f>236277*($A$70)</f>
        <v>236.27700000000002</v>
      </c>
      <c r="Z41" s="21">
        <v>8446.1</v>
      </c>
      <c r="AA41" s="21">
        <v>7976.3</v>
      </c>
      <c r="AB41" s="22">
        <v>7683.5</v>
      </c>
    </row>
    <row r="42" spans="1:28" ht="20.100000000000001" customHeight="1">
      <c r="A42" s="14" t="s">
        <v>71</v>
      </c>
      <c r="B42" s="24">
        <v>0</v>
      </c>
      <c r="C42" s="24">
        <v>0</v>
      </c>
      <c r="D42" s="24">
        <v>0</v>
      </c>
      <c r="E42" s="24">
        <v>0</v>
      </c>
      <c r="F42" s="26">
        <v>0</v>
      </c>
      <c r="G42" s="24">
        <v>0</v>
      </c>
      <c r="H42" s="26">
        <v>0</v>
      </c>
      <c r="I42" s="24">
        <v>0</v>
      </c>
      <c r="J42" s="26">
        <v>0</v>
      </c>
      <c r="K42" s="26">
        <v>0</v>
      </c>
      <c r="L42" s="24">
        <v>0</v>
      </c>
      <c r="M42" s="26">
        <v>0</v>
      </c>
      <c r="N42" s="16">
        <f>1277148*($A$70)</f>
        <v>1277.1480000000001</v>
      </c>
      <c r="O42" s="16">
        <f>1439935*($A$70)</f>
        <v>1439.9349999999999</v>
      </c>
      <c r="P42" s="15">
        <f>1417525*($A$70)</f>
        <v>1417.5250000000001</v>
      </c>
      <c r="Q42" s="16">
        <f>1360637*($A$70)</f>
        <v>1360.6369999999999</v>
      </c>
      <c r="R42" s="16">
        <f>1369593*($A$70)</f>
        <v>1369.5930000000001</v>
      </c>
      <c r="S42" s="11">
        <f>1347224*($A$70)</f>
        <v>1347.2239999999999</v>
      </c>
      <c r="T42" s="64">
        <f>1316479*($A$70)</f>
        <v>1316.479</v>
      </c>
      <c r="U42" s="65">
        <f>1370119*($A$70)</f>
        <v>1370.1190000000001</v>
      </c>
      <c r="V42" s="65">
        <f>1395972*($A$70)</f>
        <v>1395.972</v>
      </c>
      <c r="W42" s="65">
        <f>1385314*($A$70)</f>
        <v>1385.3140000000001</v>
      </c>
      <c r="X42" s="64">
        <f>1340010*($A$70)</f>
        <v>1340.01</v>
      </c>
      <c r="Y42" s="65">
        <f>1396071*($A$70)</f>
        <v>1396.0710000000001</v>
      </c>
      <c r="Z42" s="21">
        <v>4286.8999999999996</v>
      </c>
      <c r="AA42" s="21">
        <v>4302.1000000000004</v>
      </c>
      <c r="AB42" s="22">
        <v>4550.2</v>
      </c>
    </row>
    <row r="43" spans="1:28" ht="20.100000000000001" customHeight="1">
      <c r="A43" s="14" t="s">
        <v>72</v>
      </c>
      <c r="B43" s="24">
        <v>0</v>
      </c>
      <c r="C43" s="24">
        <v>0</v>
      </c>
      <c r="D43" s="10">
        <f>893*($A$70)</f>
        <v>0.89300000000000002</v>
      </c>
      <c r="E43" s="15">
        <f>1412*($A$70)</f>
        <v>1.4119999999999999</v>
      </c>
      <c r="F43" s="16">
        <f>1227*($A$70)</f>
        <v>1.2270000000000001</v>
      </c>
      <c r="G43" s="15">
        <f>1407*($A$70)</f>
        <v>1.407</v>
      </c>
      <c r="H43" s="16">
        <f>1380*($A$70)</f>
        <v>1.3800000000000001</v>
      </c>
      <c r="I43" s="15">
        <f>1151*($A$70)</f>
        <v>1.151</v>
      </c>
      <c r="J43" s="16">
        <f>1580*($A$70)</f>
        <v>1.58</v>
      </c>
      <c r="K43" s="16">
        <f>1246*($A$70)</f>
        <v>1.246</v>
      </c>
      <c r="L43" s="15">
        <f>1095*($A$70)</f>
        <v>1.095</v>
      </c>
      <c r="M43" s="16">
        <f>1029*($A$70)</f>
        <v>1.0289999999999999</v>
      </c>
      <c r="N43" s="16">
        <f>1103*($A$70)</f>
        <v>1.103</v>
      </c>
      <c r="O43" s="16">
        <f>1032*($A$70)</f>
        <v>1.032</v>
      </c>
      <c r="P43" s="15">
        <f>934*($A$70)</f>
        <v>0.93400000000000005</v>
      </c>
      <c r="Q43" s="16">
        <f>810*($A$70)</f>
        <v>0.81</v>
      </c>
      <c r="R43" s="16">
        <f>741*($A$70)</f>
        <v>0.74099999999999999</v>
      </c>
      <c r="S43" s="11">
        <f>638*($A$70)</f>
        <v>0.63800000000000001</v>
      </c>
      <c r="T43" s="64">
        <f>551*($A$70)</f>
        <v>0.55100000000000005</v>
      </c>
      <c r="U43" s="65">
        <f>474*($A$70)</f>
        <v>0.47400000000000003</v>
      </c>
      <c r="V43" s="65">
        <f>424*($A$70)</f>
        <v>0.42399999999999999</v>
      </c>
      <c r="W43" s="65">
        <f>306*($A$70)</f>
        <v>0.30599999999999999</v>
      </c>
      <c r="X43" s="64">
        <f>227*($A$70)</f>
        <v>0.22700000000000001</v>
      </c>
      <c r="Y43" s="65">
        <f>166*($A$70)</f>
        <v>0.16600000000000001</v>
      </c>
      <c r="Z43" s="23">
        <v>4.5</v>
      </c>
      <c r="AA43" s="23">
        <v>7.9</v>
      </c>
      <c r="AB43" s="22">
        <v>11.7</v>
      </c>
    </row>
    <row r="44" spans="1:28" ht="20.100000000000001" customHeight="1">
      <c r="A44" s="14" t="s">
        <v>73</v>
      </c>
      <c r="B44" s="24"/>
      <c r="C44" s="24"/>
      <c r="D44" s="87"/>
      <c r="E44" s="15"/>
      <c r="F44" s="16"/>
      <c r="G44" s="15"/>
      <c r="H44" s="16"/>
      <c r="I44" s="15"/>
      <c r="J44" s="16"/>
      <c r="K44" s="88"/>
      <c r="L44" s="89"/>
      <c r="M44" s="88"/>
      <c r="N44" s="88"/>
      <c r="O44" s="88"/>
      <c r="P44" s="12"/>
      <c r="Q44" s="11"/>
      <c r="R44" s="11"/>
      <c r="S44" s="11"/>
      <c r="T44" s="12"/>
      <c r="U44" s="11"/>
      <c r="V44" s="11"/>
      <c r="W44" s="11"/>
      <c r="X44" s="12"/>
      <c r="Y44" s="11"/>
      <c r="Z44" s="23">
        <v>835.8</v>
      </c>
      <c r="AA44" s="23">
        <v>730.2</v>
      </c>
      <c r="AB44" s="22">
        <v>750.3</v>
      </c>
    </row>
    <row r="45" spans="1:28" ht="20.100000000000001" customHeight="1">
      <c r="A45" s="14" t="s">
        <v>74</v>
      </c>
      <c r="B45" s="10">
        <f>8543*($A$70)</f>
        <v>8.543000000000001</v>
      </c>
      <c r="C45" s="24">
        <v>0</v>
      </c>
      <c r="D45" s="10">
        <f>22*($A$70)</f>
        <v>2.1999999999999999E-2</v>
      </c>
      <c r="E45" s="10">
        <f>671*($A$70)</f>
        <v>0.67100000000000004</v>
      </c>
      <c r="F45" s="16">
        <f>5029*($A$70)</f>
        <v>5.0289999999999999</v>
      </c>
      <c r="G45" s="15">
        <f>11536*($A$70)</f>
        <v>11.536</v>
      </c>
      <c r="H45" s="16">
        <f>11980*($A$70)</f>
        <v>11.98</v>
      </c>
      <c r="I45" s="15">
        <f>26060*($A$70)</f>
        <v>26.060000000000002</v>
      </c>
      <c r="J45" s="16">
        <f>56863*($A$70)</f>
        <v>56.863</v>
      </c>
      <c r="K45" s="16">
        <f>63455*($A$70)</f>
        <v>63.454999999999998</v>
      </c>
      <c r="L45" s="15">
        <f>65338*($A$70)</f>
        <v>65.338000000000008</v>
      </c>
      <c r="M45" s="16">
        <f>73846*($A$70)</f>
        <v>73.846000000000004</v>
      </c>
      <c r="N45" s="16">
        <f>86665*($A$70)</f>
        <v>86.665000000000006</v>
      </c>
      <c r="O45" s="16">
        <f>63474*($A$70)</f>
        <v>63.474000000000004</v>
      </c>
      <c r="P45" s="15">
        <f>87122*($A$70)</f>
        <v>87.122</v>
      </c>
      <c r="Q45" s="16">
        <f>87307*($A$70)</f>
        <v>87.307000000000002</v>
      </c>
      <c r="R45" s="16">
        <f>88480*($A$70)</f>
        <v>88.48</v>
      </c>
      <c r="S45" s="16">
        <f>97271*($A$70)</f>
        <v>97.271000000000001</v>
      </c>
      <c r="T45" s="64">
        <f>94258*($A$70)</f>
        <v>94.257999999999996</v>
      </c>
      <c r="U45" s="65">
        <f>93487*($A$70)</f>
        <v>93.487000000000009</v>
      </c>
      <c r="V45" s="65">
        <f>93150*($A$70)</f>
        <v>93.15</v>
      </c>
      <c r="W45" s="65">
        <f>98799*($A$70)</f>
        <v>98.799000000000007</v>
      </c>
      <c r="X45" s="64">
        <f>108066*($A$70)</f>
        <v>108.066</v>
      </c>
      <c r="Y45" s="65">
        <f>95950*($A$70)</f>
        <v>95.95</v>
      </c>
      <c r="Z45" s="21">
        <v>1010.7</v>
      </c>
      <c r="AA45" s="21">
        <v>1038.8</v>
      </c>
      <c r="AB45" s="22">
        <v>887.8</v>
      </c>
    </row>
    <row r="46" spans="1:28" ht="20.100000000000001" customHeight="1">
      <c r="A46" s="14" t="s">
        <v>75</v>
      </c>
      <c r="B46" s="33" t="s">
        <v>76</v>
      </c>
      <c r="C46" s="33" t="s">
        <v>76</v>
      </c>
      <c r="D46" s="33" t="s">
        <v>76</v>
      </c>
      <c r="E46" s="33" t="s">
        <v>76</v>
      </c>
      <c r="F46" s="90" t="s">
        <v>76</v>
      </c>
      <c r="G46" s="33" t="s">
        <v>76</v>
      </c>
      <c r="H46" s="90" t="s">
        <v>76</v>
      </c>
      <c r="I46" s="33" t="s">
        <v>76</v>
      </c>
      <c r="J46" s="90" t="s">
        <v>76</v>
      </c>
      <c r="K46" s="90" t="s">
        <v>76</v>
      </c>
      <c r="L46" s="33" t="s">
        <v>76</v>
      </c>
      <c r="M46" s="90" t="s">
        <v>76</v>
      </c>
      <c r="N46" s="90" t="s">
        <v>76</v>
      </c>
      <c r="O46" s="90" t="s">
        <v>76</v>
      </c>
      <c r="P46" s="15">
        <f>7595*($A$70)</f>
        <v>7.5949999999999998</v>
      </c>
      <c r="Q46" s="71" t="s">
        <v>76</v>
      </c>
      <c r="R46" s="16">
        <f>6285*($A$70)</f>
        <v>6.2850000000000001</v>
      </c>
      <c r="S46" s="16">
        <f>5716*($A$70)</f>
        <v>5.7160000000000002</v>
      </c>
      <c r="T46" s="64">
        <f>5181*($A$70)</f>
        <v>5.181</v>
      </c>
      <c r="U46" s="65">
        <f>4978*($A$70)</f>
        <v>4.9779999999999998</v>
      </c>
      <c r="V46" s="65">
        <f>4754*($A$70)</f>
        <v>4.7540000000000004</v>
      </c>
      <c r="W46" s="65">
        <f>4303*($A$70)</f>
        <v>4.3029999999999999</v>
      </c>
      <c r="X46" s="64">
        <f>4079*($A$70)</f>
        <v>4.0789999999999997</v>
      </c>
      <c r="Y46" s="65">
        <f>3008*($A$70)</f>
        <v>3.008</v>
      </c>
      <c r="Z46" s="23">
        <v>2.8</v>
      </c>
      <c r="AA46" s="23">
        <v>3.9</v>
      </c>
      <c r="AB46" s="22">
        <v>4.7</v>
      </c>
    </row>
    <row r="47" spans="1:28" ht="20.100000000000001" customHeight="1">
      <c r="A47" s="14" t="s">
        <v>77</v>
      </c>
      <c r="B47" s="10">
        <f>4048*($A$70)</f>
        <v>4.048</v>
      </c>
      <c r="C47" s="10">
        <f>1898*($A$70)</f>
        <v>1.8980000000000001</v>
      </c>
      <c r="D47" s="10">
        <f>564*($A$70)</f>
        <v>0.56400000000000006</v>
      </c>
      <c r="E47" s="10">
        <f>605*($A$70)</f>
        <v>0.60499999999999998</v>
      </c>
      <c r="F47" s="16">
        <f>243*($A$70)</f>
        <v>0.24299999999999999</v>
      </c>
      <c r="G47" s="10">
        <f>269*($A$70)</f>
        <v>0.26900000000000002</v>
      </c>
      <c r="H47" s="63">
        <f>489*($A$70)</f>
        <v>0.48899999999999999</v>
      </c>
      <c r="I47" s="15">
        <f>1543*($A$70)</f>
        <v>1.5429999999999999</v>
      </c>
      <c r="J47" s="16">
        <f>2446*($A$70)</f>
        <v>2.4460000000000002</v>
      </c>
      <c r="K47" s="16">
        <f>2441*($A$70)</f>
        <v>2.4409999999999998</v>
      </c>
      <c r="L47" s="15">
        <f>2384*($A$70)</f>
        <v>2.3839999999999999</v>
      </c>
      <c r="M47" s="16">
        <f>2317*($A$70)</f>
        <v>2.3170000000000002</v>
      </c>
      <c r="N47" s="16">
        <f>11108*($A$70)</f>
        <v>11.108000000000001</v>
      </c>
      <c r="O47" s="16">
        <f>12002*($A$70)</f>
        <v>12.002000000000001</v>
      </c>
      <c r="P47" s="15">
        <f>12497*($A$70)</f>
        <v>12.497</v>
      </c>
      <c r="Q47" s="16">
        <f>13779*($A$70)</f>
        <v>13.779</v>
      </c>
      <c r="R47" s="16">
        <f>17835*($A$70)</f>
        <v>17.835000000000001</v>
      </c>
      <c r="S47" s="16">
        <f>19037*($A$70)</f>
        <v>19.036999999999999</v>
      </c>
      <c r="T47" s="64">
        <f>17690*($A$70)</f>
        <v>17.690000000000001</v>
      </c>
      <c r="U47" s="65">
        <f>17684*($A$70)</f>
        <v>17.684000000000001</v>
      </c>
      <c r="V47" s="65">
        <f>10154*($A$70)</f>
        <v>10.154</v>
      </c>
      <c r="W47" s="65">
        <f>8594*($A$70)</f>
        <v>8.5939999999999994</v>
      </c>
      <c r="X47" s="64">
        <f>7915*($A$70)</f>
        <v>7.915</v>
      </c>
      <c r="Y47" s="65">
        <f>7828*($A$70)</f>
        <v>7.8280000000000003</v>
      </c>
      <c r="Z47" s="23">
        <v>158.19999999999999</v>
      </c>
      <c r="AA47" s="23">
        <v>164.6</v>
      </c>
      <c r="AB47" s="22">
        <v>184.2</v>
      </c>
    </row>
    <row r="48" spans="1:28" s="47" customFormat="1" ht="20.100000000000001" customHeight="1">
      <c r="A48" s="91" t="s">
        <v>78</v>
      </c>
      <c r="B48" s="41">
        <f>SUM(B41:B47)</f>
        <v>210.85400000000001</v>
      </c>
      <c r="C48" s="41">
        <f t="shared" ref="C48:AB48" si="24">SUM(C41:C47)</f>
        <v>1.8980000000000001</v>
      </c>
      <c r="D48" s="41">
        <f t="shared" si="24"/>
        <v>30.719000000000001</v>
      </c>
      <c r="E48" s="41">
        <f t="shared" si="24"/>
        <v>134.91399999999999</v>
      </c>
      <c r="F48" s="42">
        <f t="shared" si="24"/>
        <v>80.245999999999995</v>
      </c>
      <c r="G48" s="41">
        <f t="shared" si="24"/>
        <v>57.347000000000001</v>
      </c>
      <c r="H48" s="42">
        <f t="shared" si="24"/>
        <v>28.903000000000002</v>
      </c>
      <c r="I48" s="41">
        <f t="shared" si="24"/>
        <v>28.754000000000001</v>
      </c>
      <c r="J48" s="42">
        <f t="shared" si="24"/>
        <v>60.888999999999996</v>
      </c>
      <c r="K48" s="42">
        <f t="shared" si="24"/>
        <v>67.141999999999996</v>
      </c>
      <c r="L48" s="41">
        <f t="shared" si="24"/>
        <v>68.817000000000007</v>
      </c>
      <c r="M48" s="42">
        <f t="shared" si="24"/>
        <v>77.192000000000007</v>
      </c>
      <c r="N48" s="82">
        <f t="shared" si="24"/>
        <v>2437.9360000000006</v>
      </c>
      <c r="O48" s="82">
        <f t="shared" si="24"/>
        <v>2534.5660000000003</v>
      </c>
      <c r="P48" s="83">
        <f t="shared" si="24"/>
        <v>2484.08</v>
      </c>
      <c r="Q48" s="82">
        <f t="shared" si="24"/>
        <v>2394.6009999999997</v>
      </c>
      <c r="R48" s="82">
        <f t="shared" si="24"/>
        <v>2372.0889999999999</v>
      </c>
      <c r="S48" s="82">
        <f t="shared" si="24"/>
        <v>2150.2569999999996</v>
      </c>
      <c r="T48" s="83">
        <f t="shared" si="24"/>
        <v>2026.162</v>
      </c>
      <c r="U48" s="82">
        <f t="shared" si="24"/>
        <v>2059.5610000000001</v>
      </c>
      <c r="V48" s="82">
        <f t="shared" si="24"/>
        <v>1927.3119999999999</v>
      </c>
      <c r="W48" s="82">
        <f t="shared" si="24"/>
        <v>1827.1140000000003</v>
      </c>
      <c r="X48" s="83">
        <f t="shared" si="24"/>
        <v>1700.1859999999999</v>
      </c>
      <c r="Y48" s="82">
        <f t="shared" si="24"/>
        <v>1739.3000000000002</v>
      </c>
      <c r="Z48" s="45">
        <f t="shared" si="24"/>
        <v>14745</v>
      </c>
      <c r="AA48" s="45">
        <f t="shared" si="24"/>
        <v>14223.800000000001</v>
      </c>
      <c r="AB48" s="85">
        <f t="shared" si="24"/>
        <v>14072.400000000001</v>
      </c>
    </row>
    <row r="49" spans="1:28" ht="20.100000000000001" customHeight="1">
      <c r="A49" s="14" t="s">
        <v>70</v>
      </c>
      <c r="B49" s="10">
        <f>30355*($A$70)</f>
        <v>30.355</v>
      </c>
      <c r="C49" s="10">
        <f>247376*($A$70)</f>
        <v>247.376</v>
      </c>
      <c r="D49" s="48">
        <f>208084*($A$70)</f>
        <v>208.084</v>
      </c>
      <c r="E49" s="15">
        <f>88731*($A$70)</f>
        <v>88.731000000000009</v>
      </c>
      <c r="F49" s="16">
        <f>93063*($A$70)</f>
        <v>93.063000000000002</v>
      </c>
      <c r="G49" s="15">
        <f>66571*($A$70)</f>
        <v>66.570999999999998</v>
      </c>
      <c r="H49" s="16">
        <f>63868*($A$70)</f>
        <v>63.868000000000002</v>
      </c>
      <c r="I49" s="15">
        <f>47370*($A$70)</f>
        <v>47.37</v>
      </c>
      <c r="J49" s="16">
        <f>20085*($A$70)</f>
        <v>20.085000000000001</v>
      </c>
      <c r="K49" s="16">
        <f>71541*($A$70)</f>
        <v>71.540999999999997</v>
      </c>
      <c r="L49" s="15">
        <f>18041*($A$70)</f>
        <v>18.041</v>
      </c>
      <c r="M49" s="16">
        <f>164648*($A$70)</f>
        <v>164.648</v>
      </c>
      <c r="N49" s="16">
        <f>225577*($A$70)</f>
        <v>225.577</v>
      </c>
      <c r="O49" s="16">
        <f>230283*($A$70)</f>
        <v>230.28300000000002</v>
      </c>
      <c r="P49" s="15">
        <f>246778*($A$70)</f>
        <v>246.77799999999999</v>
      </c>
      <c r="Q49" s="16">
        <f>250363*($A$70)</f>
        <v>250.363</v>
      </c>
      <c r="R49" s="16">
        <f>265796*($A$70)</f>
        <v>265.79599999999999</v>
      </c>
      <c r="S49" s="16">
        <f>238676*($A$70)</f>
        <v>238.67600000000002</v>
      </c>
      <c r="T49" s="64">
        <f>275608*($A$70)</f>
        <v>275.608</v>
      </c>
      <c r="U49" s="65">
        <f>250329*($A$70)</f>
        <v>250.32900000000001</v>
      </c>
      <c r="V49" s="65">
        <f>263389*($A$70)</f>
        <v>263.38900000000001</v>
      </c>
      <c r="W49" s="65">
        <f>214673*($A$70)</f>
        <v>214.673</v>
      </c>
      <c r="X49" s="64">
        <f>245994*($A$70)</f>
        <v>245.994</v>
      </c>
      <c r="Y49" s="65">
        <f>240921*($A$70)</f>
        <v>240.92099999999999</v>
      </c>
      <c r="Z49" s="21">
        <v>1094.3</v>
      </c>
      <c r="AA49" s="21">
        <v>1365.1</v>
      </c>
      <c r="AB49" s="22">
        <v>1322.6</v>
      </c>
    </row>
    <row r="50" spans="1:28" ht="20.100000000000001" customHeight="1">
      <c r="A50" s="14" t="s">
        <v>71</v>
      </c>
      <c r="B50" s="24">
        <v>0</v>
      </c>
      <c r="C50" s="24">
        <v>0</v>
      </c>
      <c r="D50" s="24">
        <v>0</v>
      </c>
      <c r="E50" s="24">
        <v>0</v>
      </c>
      <c r="F50" s="26">
        <v>0</v>
      </c>
      <c r="G50" s="24">
        <v>0</v>
      </c>
      <c r="H50" s="26">
        <v>0</v>
      </c>
      <c r="I50" s="24">
        <v>0</v>
      </c>
      <c r="J50" s="26">
        <v>0</v>
      </c>
      <c r="K50" s="26">
        <v>0</v>
      </c>
      <c r="L50" s="24">
        <v>0</v>
      </c>
      <c r="M50" s="26">
        <v>0</v>
      </c>
      <c r="N50" s="16">
        <f>94800*($A$70)</f>
        <v>94.8</v>
      </c>
      <c r="O50" s="16">
        <f>106883*($A$70)</f>
        <v>106.883</v>
      </c>
      <c r="P50" s="15">
        <f>105052*($A$70)</f>
        <v>105.05200000000001</v>
      </c>
      <c r="Q50" s="16">
        <f>100836*($A$70)</f>
        <v>100.836</v>
      </c>
      <c r="R50" s="16">
        <f>101342*($A$70)</f>
        <v>101.342</v>
      </c>
      <c r="S50" s="16">
        <f>99687*($A$70)</f>
        <v>99.686999999999998</v>
      </c>
      <c r="T50" s="64">
        <f>97256*($A$70)</f>
        <v>97.256</v>
      </c>
      <c r="U50" s="65">
        <f>101219*($A$70)</f>
        <v>101.21900000000001</v>
      </c>
      <c r="V50" s="65">
        <f>102957*($A$70)</f>
        <v>102.95700000000001</v>
      </c>
      <c r="W50" s="65">
        <f>102171*($A$70)</f>
        <v>102.17100000000001</v>
      </c>
      <c r="X50" s="64">
        <f>98659*($A$70)</f>
        <v>98.659000000000006</v>
      </c>
      <c r="Y50" s="65">
        <f>101071*($A$70)</f>
        <v>101.071</v>
      </c>
      <c r="Z50" s="23">
        <v>431.9</v>
      </c>
      <c r="AA50" s="23">
        <v>439.1</v>
      </c>
      <c r="AB50" s="22">
        <v>464.4</v>
      </c>
    </row>
    <row r="51" spans="1:28" ht="20.100000000000001" customHeight="1">
      <c r="A51" s="14" t="s">
        <v>72</v>
      </c>
      <c r="B51" s="24">
        <v>0</v>
      </c>
      <c r="C51" s="24">
        <v>0</v>
      </c>
      <c r="D51" s="24">
        <v>0</v>
      </c>
      <c r="E51" s="10">
        <f>204*($A$70)</f>
        <v>0.20400000000000001</v>
      </c>
      <c r="F51" s="16">
        <f>191*($A$70)</f>
        <v>0.191</v>
      </c>
      <c r="G51" s="10">
        <f>238*($A$70)</f>
        <v>0.23800000000000002</v>
      </c>
      <c r="H51" s="17">
        <f>255*($A$70)</f>
        <v>0.255</v>
      </c>
      <c r="I51" s="10">
        <f>234*($A$70)</f>
        <v>0.23400000000000001</v>
      </c>
      <c r="J51" s="16">
        <f>729*($A$70)</f>
        <v>0.72899999999999998</v>
      </c>
      <c r="K51" s="16">
        <f>574*($A$70)</f>
        <v>0.57400000000000007</v>
      </c>
      <c r="L51" s="15">
        <f>491*($A$70)</f>
        <v>0.49099999999999999</v>
      </c>
      <c r="M51" s="16">
        <f>430*($A$70)</f>
        <v>0.43</v>
      </c>
      <c r="N51" s="16">
        <f>227*($A$70)</f>
        <v>0.22700000000000001</v>
      </c>
      <c r="O51" s="16">
        <f>251*($A$70)</f>
        <v>0.251</v>
      </c>
      <c r="P51" s="15">
        <f>252*($A$70)</f>
        <v>0.252</v>
      </c>
      <c r="Q51" s="16">
        <f>237*($A$70)</f>
        <v>0.23700000000000002</v>
      </c>
      <c r="R51" s="16">
        <f>243*($A$70)</f>
        <v>0.24299999999999999</v>
      </c>
      <c r="S51" s="16">
        <f>234*($A$70)</f>
        <v>0.23400000000000001</v>
      </c>
      <c r="T51" s="64">
        <f>233*($A$70)</f>
        <v>0.23300000000000001</v>
      </c>
      <c r="U51" s="65">
        <f>238*($A$70)</f>
        <v>0.23800000000000002</v>
      </c>
      <c r="V51" s="65">
        <f>247*($A$70)</f>
        <v>0.247</v>
      </c>
      <c r="W51" s="65">
        <f>240*($A$70)</f>
        <v>0.24</v>
      </c>
      <c r="X51" s="64">
        <f>236*($A$70)</f>
        <v>0.23600000000000002</v>
      </c>
      <c r="Y51" s="65">
        <f>237*($A$70)</f>
        <v>0.23700000000000002</v>
      </c>
      <c r="Z51" s="23">
        <v>5.3</v>
      </c>
      <c r="AA51" s="23">
        <v>5.8</v>
      </c>
      <c r="AB51" s="22">
        <v>6.8</v>
      </c>
    </row>
    <row r="52" spans="1:28" ht="20.100000000000001" customHeight="1">
      <c r="A52" s="14" t="s">
        <v>73</v>
      </c>
      <c r="B52" s="24"/>
      <c r="C52" s="24"/>
      <c r="D52" s="24"/>
      <c r="E52" s="62"/>
      <c r="F52" s="63"/>
      <c r="G52" s="62"/>
      <c r="H52" s="63"/>
      <c r="I52" s="62"/>
      <c r="J52" s="63"/>
      <c r="K52" s="63"/>
      <c r="L52" s="62"/>
      <c r="M52" s="63"/>
      <c r="N52" s="11"/>
      <c r="O52" s="11"/>
      <c r="P52" s="12"/>
      <c r="Q52" s="11"/>
      <c r="R52" s="11"/>
      <c r="S52" s="11"/>
      <c r="T52" s="12"/>
      <c r="U52" s="11"/>
      <c r="V52" s="11"/>
      <c r="W52" s="11"/>
      <c r="X52" s="12"/>
      <c r="Y52" s="11"/>
      <c r="Z52" s="23">
        <v>115.8</v>
      </c>
      <c r="AA52" s="23">
        <v>113.9</v>
      </c>
      <c r="AB52" s="22">
        <v>117.1</v>
      </c>
    </row>
    <row r="53" spans="1:28" ht="20.100000000000001" customHeight="1">
      <c r="A53" s="14" t="s">
        <v>79</v>
      </c>
      <c r="B53" s="10">
        <f>50510*($A$70)</f>
        <v>50.51</v>
      </c>
      <c r="C53" s="10">
        <f>46898*($A$70)</f>
        <v>46.898000000000003</v>
      </c>
      <c r="D53" s="48">
        <f>97562*($A$70)</f>
        <v>97.561999999999998</v>
      </c>
      <c r="E53" s="15">
        <f>208714*($A$70)</f>
        <v>208.714</v>
      </c>
      <c r="F53" s="16">
        <f>124381*($A$70)</f>
        <v>124.381</v>
      </c>
      <c r="G53" s="15">
        <f>197525*($A$70)</f>
        <v>197.52500000000001</v>
      </c>
      <c r="H53" s="16">
        <f>214344*($A$70)</f>
        <v>214.34399999999999</v>
      </c>
      <c r="I53" s="15">
        <f>222213*($A$70)</f>
        <v>222.21299999999999</v>
      </c>
      <c r="J53" s="16">
        <f>373736*($A$70)</f>
        <v>373.73599999999999</v>
      </c>
      <c r="K53" s="16">
        <f>279303*($A$70)</f>
        <v>279.303</v>
      </c>
      <c r="L53" s="15">
        <f>317953*($A$70)</f>
        <v>317.95300000000003</v>
      </c>
      <c r="M53" s="16">
        <f>294933*($A$70)</f>
        <v>294.93299999999999</v>
      </c>
      <c r="N53" s="16">
        <f>409504*($A$70)</f>
        <v>409.50400000000002</v>
      </c>
      <c r="O53" s="16">
        <f>458370*($A$70)</f>
        <v>458.37</v>
      </c>
      <c r="P53" s="15">
        <f>374955*($A$70)</f>
        <v>374.95499999999998</v>
      </c>
      <c r="Q53" s="16">
        <f>435427*($A$70)</f>
        <v>435.42700000000002</v>
      </c>
      <c r="R53" s="16">
        <f>436188*($A$70)</f>
        <v>436.18799999999999</v>
      </c>
      <c r="S53" s="16">
        <f>441676*($A$70)</f>
        <v>441.67599999999999</v>
      </c>
      <c r="T53" s="64">
        <f>472094*($A$70)</f>
        <v>472.09399999999999</v>
      </c>
      <c r="U53" s="65">
        <f>432897*($A$70)</f>
        <v>432.89699999999999</v>
      </c>
      <c r="V53" s="65">
        <f>428004*($A$70)</f>
        <v>428.00400000000002</v>
      </c>
      <c r="W53" s="65">
        <f>390829*($A$70)</f>
        <v>390.82900000000001</v>
      </c>
      <c r="X53" s="64">
        <f>413210*($A$70)</f>
        <v>413.21000000000004</v>
      </c>
      <c r="Y53" s="65">
        <f>418100*($A$70)</f>
        <v>418.1</v>
      </c>
      <c r="Z53" s="21">
        <v>1618.8</v>
      </c>
      <c r="AA53" s="21">
        <v>1505.3</v>
      </c>
      <c r="AB53" s="22">
        <v>1523</v>
      </c>
    </row>
    <row r="54" spans="1:28" ht="20.100000000000001" customHeight="1">
      <c r="A54" s="14" t="s">
        <v>80</v>
      </c>
      <c r="B54" s="24">
        <v>0</v>
      </c>
      <c r="C54" s="24">
        <v>0</v>
      </c>
      <c r="D54" s="24">
        <v>0</v>
      </c>
      <c r="E54" s="24">
        <v>0</v>
      </c>
      <c r="F54" s="16">
        <f>1779*($A$70)</f>
        <v>1.7790000000000001</v>
      </c>
      <c r="G54" s="10">
        <v>0.4</v>
      </c>
      <c r="H54" s="63">
        <f>330*($A$70)</f>
        <v>0.33</v>
      </c>
      <c r="I54" s="24">
        <v>0</v>
      </c>
      <c r="J54" s="26">
        <v>0</v>
      </c>
      <c r="K54" s="26">
        <v>0</v>
      </c>
      <c r="L54" s="24">
        <v>0</v>
      </c>
      <c r="M54" s="26">
        <v>0</v>
      </c>
      <c r="N54" s="16">
        <f>23085*($A$70)</f>
        <v>23.085000000000001</v>
      </c>
      <c r="O54" s="16">
        <f>24895*($A$70)</f>
        <v>24.895</v>
      </c>
      <c r="P54" s="15">
        <f>29226*($A$70)</f>
        <v>29.225999999999999</v>
      </c>
      <c r="Q54" s="16">
        <f>29589*($A$70)</f>
        <v>29.589000000000002</v>
      </c>
      <c r="R54" s="16">
        <f>7799*($A$70)</f>
        <v>7.7990000000000004</v>
      </c>
      <c r="S54" s="16">
        <f>6782*($A$70)</f>
        <v>6.782</v>
      </c>
      <c r="T54" s="64">
        <f>7092*($A$70)</f>
        <v>7.0920000000000005</v>
      </c>
      <c r="U54" s="65">
        <f>1990*($A$70)</f>
        <v>1.99</v>
      </c>
      <c r="V54" s="65">
        <f>6510*($A$70)</f>
        <v>6.51</v>
      </c>
      <c r="W54" s="65">
        <f>14152*($A$70)</f>
        <v>14.152000000000001</v>
      </c>
      <c r="X54" s="64">
        <f>4520*($A$70)</f>
        <v>4.5200000000000005</v>
      </c>
      <c r="Y54" s="65">
        <f>12203*($A$70)</f>
        <v>12.202999999999999</v>
      </c>
      <c r="Z54" s="23">
        <v>43.7</v>
      </c>
      <c r="AA54" s="23">
        <v>22.1</v>
      </c>
      <c r="AB54" s="22">
        <v>48.028993427171699</v>
      </c>
    </row>
    <row r="55" spans="1:28" ht="20.100000000000001" customHeight="1">
      <c r="A55" s="14" t="s">
        <v>81</v>
      </c>
      <c r="B55" s="10">
        <f>31542*($A$70)</f>
        <v>31.542000000000002</v>
      </c>
      <c r="C55" s="10">
        <f>28472*($A$70)</f>
        <v>28.472000000000001</v>
      </c>
      <c r="D55" s="48">
        <f>21641*($A$70)</f>
        <v>21.641000000000002</v>
      </c>
      <c r="E55" s="15">
        <f>20032*($A$70)</f>
        <v>20.032</v>
      </c>
      <c r="F55" s="16">
        <f>19853*($A$70)</f>
        <v>19.853000000000002</v>
      </c>
      <c r="G55" s="15">
        <f>22447*($A$70)</f>
        <v>22.446999999999999</v>
      </c>
      <c r="H55" s="16">
        <f>19631*($A$70)</f>
        <v>19.631</v>
      </c>
      <c r="I55" s="15">
        <f>18800*($A$70)</f>
        <v>18.8</v>
      </c>
      <c r="J55" s="16">
        <f>17659*($A$70)</f>
        <v>17.658999999999999</v>
      </c>
      <c r="K55" s="16">
        <f>16126*($A$70)</f>
        <v>16.126000000000001</v>
      </c>
      <c r="L55" s="15">
        <f>15523*($A$70)</f>
        <v>15.523</v>
      </c>
      <c r="M55" s="16">
        <f>14124*($A$70)</f>
        <v>14.124000000000001</v>
      </c>
      <c r="N55" s="16">
        <f>15170*($A$70)</f>
        <v>15.17</v>
      </c>
      <c r="O55" s="16">
        <f>14960*($A$70)</f>
        <v>14.96</v>
      </c>
      <c r="P55" s="15">
        <f>12744*($A$70)</f>
        <v>12.744</v>
      </c>
      <c r="Q55" s="16">
        <f>12532*($A$70)</f>
        <v>12.532</v>
      </c>
      <c r="R55" s="16">
        <f>12125*($A$70)</f>
        <v>12.125</v>
      </c>
      <c r="S55" s="16">
        <f>12084*($A$70)</f>
        <v>12.084</v>
      </c>
      <c r="T55" s="64">
        <f>13259*($A$70)</f>
        <v>13.259</v>
      </c>
      <c r="U55" s="65">
        <f>13182*($A$70)</f>
        <v>13.182</v>
      </c>
      <c r="V55" s="65">
        <f>12551*($A$70)</f>
        <v>12.551</v>
      </c>
      <c r="W55" s="65">
        <f>12536*($A$70)</f>
        <v>12.536</v>
      </c>
      <c r="X55" s="64">
        <f>2727*($A$70)</f>
        <v>2.7269999999999999</v>
      </c>
      <c r="Y55" s="65">
        <f>2843*($A$70)</f>
        <v>2.843</v>
      </c>
      <c r="Z55" s="23">
        <v>2.6</v>
      </c>
      <c r="AA55" s="23">
        <v>2.7</v>
      </c>
      <c r="AB55" s="22">
        <v>1.4</v>
      </c>
    </row>
    <row r="56" spans="1:28" ht="20.100000000000001" customHeight="1">
      <c r="A56" s="14" t="s">
        <v>82</v>
      </c>
      <c r="B56" s="10">
        <f>27995*($A$70)</f>
        <v>27.995000000000001</v>
      </c>
      <c r="C56" s="10">
        <f>35645*($A$70)</f>
        <v>35.645000000000003</v>
      </c>
      <c r="D56" s="48">
        <f>56799*($A$70)</f>
        <v>56.798999999999999</v>
      </c>
      <c r="E56" s="15">
        <f>81468*($A$70)</f>
        <v>81.468000000000004</v>
      </c>
      <c r="F56" s="16">
        <f>106824*($A$70)</f>
        <v>106.824</v>
      </c>
      <c r="G56" s="15">
        <f>119265*($A$70)</f>
        <v>119.265</v>
      </c>
      <c r="H56" s="16">
        <f>133273*($A$70)</f>
        <v>133.273</v>
      </c>
      <c r="I56" s="15">
        <f>135062*($A$70)</f>
        <v>135.06200000000001</v>
      </c>
      <c r="J56" s="16">
        <f>149981*($A$70)</f>
        <v>149.98099999999999</v>
      </c>
      <c r="K56" s="16">
        <f>159197*($A$70)</f>
        <v>159.197</v>
      </c>
      <c r="L56" s="15">
        <f>166432*($A$70)</f>
        <v>166.43200000000002</v>
      </c>
      <c r="M56" s="16">
        <f>171191*($A$70)</f>
        <v>171.191</v>
      </c>
      <c r="N56" s="16">
        <f>171189*($A$70)</f>
        <v>171.18899999999999</v>
      </c>
      <c r="O56" s="16">
        <f>174847*($A$70)</f>
        <v>174.84700000000001</v>
      </c>
      <c r="P56" s="15">
        <f>199418*($A$70)</f>
        <v>199.41800000000001</v>
      </c>
      <c r="Q56" s="16">
        <f>188402*($A$70)</f>
        <v>188.40200000000002</v>
      </c>
      <c r="R56" s="16">
        <f>209950*($A$70)</f>
        <v>209.95000000000002</v>
      </c>
      <c r="S56" s="16">
        <f>210563*($A$70)</f>
        <v>210.56300000000002</v>
      </c>
      <c r="T56" s="64">
        <f>201238*($A$70)</f>
        <v>201.238</v>
      </c>
      <c r="U56" s="65">
        <f>207890*($A$70)</f>
        <v>207.89000000000001</v>
      </c>
      <c r="V56" s="65">
        <f>204442*($A$70)</f>
        <v>204.44200000000001</v>
      </c>
      <c r="W56" s="65">
        <f>210688*($A$70)</f>
        <v>210.68800000000002</v>
      </c>
      <c r="X56" s="64">
        <f>209485*($A$70)</f>
        <v>209.48500000000001</v>
      </c>
      <c r="Y56" s="65">
        <f>228170*($A$70)</f>
        <v>228.17000000000002</v>
      </c>
      <c r="Z56" s="23">
        <v>678</v>
      </c>
      <c r="AA56" s="23">
        <v>672.7</v>
      </c>
      <c r="AB56" s="22">
        <v>683.9</v>
      </c>
    </row>
    <row r="57" spans="1:28" ht="20.100000000000001" customHeight="1">
      <c r="A57" s="14" t="s">
        <v>83</v>
      </c>
      <c r="B57" s="24">
        <v>0</v>
      </c>
      <c r="C57" s="24">
        <v>0</v>
      </c>
      <c r="D57" s="48">
        <f>1171*($A$70)</f>
        <v>1.171</v>
      </c>
      <c r="E57" s="24">
        <v>0</v>
      </c>
      <c r="F57" s="26">
        <v>0</v>
      </c>
      <c r="G57" s="24">
        <v>0</v>
      </c>
      <c r="H57" s="26">
        <v>0</v>
      </c>
      <c r="I57" s="24">
        <v>0</v>
      </c>
      <c r="J57" s="26">
        <v>0</v>
      </c>
      <c r="K57" s="26">
        <v>0</v>
      </c>
      <c r="L57" s="24">
        <v>0</v>
      </c>
      <c r="M57" s="26">
        <v>0</v>
      </c>
      <c r="N57" s="26">
        <v>0</v>
      </c>
      <c r="O57" s="26">
        <v>0</v>
      </c>
      <c r="P57" s="24">
        <v>0</v>
      </c>
      <c r="Q57" s="26">
        <v>0</v>
      </c>
      <c r="R57" s="26">
        <v>0</v>
      </c>
      <c r="S57" s="26">
        <v>0</v>
      </c>
      <c r="T57" s="24">
        <v>0</v>
      </c>
      <c r="U57" s="26">
        <v>0</v>
      </c>
      <c r="V57" s="26">
        <v>0</v>
      </c>
      <c r="W57" s="26">
        <v>0</v>
      </c>
      <c r="X57" s="24">
        <v>0</v>
      </c>
      <c r="Y57" s="26">
        <v>0</v>
      </c>
      <c r="Z57" s="26">
        <v>0</v>
      </c>
      <c r="AA57" s="26">
        <v>0</v>
      </c>
      <c r="AB57" s="24">
        <v>0</v>
      </c>
    </row>
    <row r="58" spans="1:28" s="47" customFormat="1" ht="20.100000000000001" customHeight="1">
      <c r="A58" s="81" t="s">
        <v>84</v>
      </c>
      <c r="B58" s="41">
        <f>SUM(B49:B57)</f>
        <v>140.40199999999999</v>
      </c>
      <c r="C58" s="41">
        <f t="shared" ref="C58:AB58" si="25">SUM(C49:C57)</f>
        <v>358.39099999999996</v>
      </c>
      <c r="D58" s="41">
        <f t="shared" si="25"/>
        <v>385.25700000000001</v>
      </c>
      <c r="E58" s="41">
        <f t="shared" si="25"/>
        <v>399.149</v>
      </c>
      <c r="F58" s="42">
        <f t="shared" si="25"/>
        <v>346.09100000000001</v>
      </c>
      <c r="G58" s="41">
        <f t="shared" si="25"/>
        <v>406.44599999999997</v>
      </c>
      <c r="H58" s="42">
        <f t="shared" si="25"/>
        <v>431.70100000000002</v>
      </c>
      <c r="I58" s="41">
        <f t="shared" si="25"/>
        <v>423.67900000000003</v>
      </c>
      <c r="J58" s="42">
        <f t="shared" si="25"/>
        <v>562.19000000000005</v>
      </c>
      <c r="K58" s="42">
        <f t="shared" si="25"/>
        <v>526.74099999999999</v>
      </c>
      <c r="L58" s="41">
        <f t="shared" si="25"/>
        <v>518.44000000000005</v>
      </c>
      <c r="M58" s="42">
        <f t="shared" si="25"/>
        <v>645.32600000000002</v>
      </c>
      <c r="N58" s="42">
        <f t="shared" si="25"/>
        <v>939.55199999999991</v>
      </c>
      <c r="O58" s="42">
        <f t="shared" si="25"/>
        <v>1010.489</v>
      </c>
      <c r="P58" s="41">
        <f t="shared" si="25"/>
        <v>968.42500000000007</v>
      </c>
      <c r="Q58" s="82">
        <f t="shared" si="25"/>
        <v>1017.3860000000002</v>
      </c>
      <c r="R58" s="82">
        <f t="shared" si="25"/>
        <v>1033.443</v>
      </c>
      <c r="S58" s="82">
        <f t="shared" si="25"/>
        <v>1009.7019999999999</v>
      </c>
      <c r="T58" s="92">
        <f t="shared" si="25"/>
        <v>1066.78</v>
      </c>
      <c r="U58" s="93">
        <f t="shared" si="25"/>
        <v>1007.745</v>
      </c>
      <c r="V58" s="93">
        <f t="shared" si="25"/>
        <v>1018.1</v>
      </c>
      <c r="W58" s="93">
        <f t="shared" si="25"/>
        <v>945.28899999999999</v>
      </c>
      <c r="X58" s="92">
        <f t="shared" si="25"/>
        <v>974.83100000000002</v>
      </c>
      <c r="Y58" s="93">
        <f t="shared" si="25"/>
        <v>1003.5449999999998</v>
      </c>
      <c r="Z58" s="45">
        <f t="shared" si="25"/>
        <v>3990.3999999999992</v>
      </c>
      <c r="AA58" s="45">
        <f t="shared" si="25"/>
        <v>4126.7</v>
      </c>
      <c r="AB58" s="46">
        <f t="shared" si="25"/>
        <v>4167.2289934271712</v>
      </c>
    </row>
    <row r="59" spans="1:28" s="47" customFormat="1" ht="20.100000000000001" customHeight="1">
      <c r="A59" s="81" t="s">
        <v>85</v>
      </c>
      <c r="B59" s="94">
        <f>B48+B58</f>
        <v>351.25599999999997</v>
      </c>
      <c r="C59" s="94">
        <f t="shared" ref="C59:S59" si="26">C48+C58</f>
        <v>360.28899999999999</v>
      </c>
      <c r="D59" s="94">
        <f t="shared" si="26"/>
        <v>415.976</v>
      </c>
      <c r="E59" s="94">
        <f t="shared" si="26"/>
        <v>534.06299999999999</v>
      </c>
      <c r="F59" s="95">
        <f t="shared" si="26"/>
        <v>426.33699999999999</v>
      </c>
      <c r="G59" s="94">
        <f t="shared" si="26"/>
        <v>463.79299999999995</v>
      </c>
      <c r="H59" s="95">
        <f t="shared" si="26"/>
        <v>460.60400000000004</v>
      </c>
      <c r="I59" s="94">
        <f t="shared" si="26"/>
        <v>452.43300000000005</v>
      </c>
      <c r="J59" s="95">
        <f t="shared" si="26"/>
        <v>623.07900000000006</v>
      </c>
      <c r="K59" s="95">
        <f t="shared" si="26"/>
        <v>593.88300000000004</v>
      </c>
      <c r="L59" s="94">
        <f t="shared" si="26"/>
        <v>587.25700000000006</v>
      </c>
      <c r="M59" s="95">
        <f t="shared" si="26"/>
        <v>722.51800000000003</v>
      </c>
      <c r="N59" s="96">
        <f t="shared" si="26"/>
        <v>3377.4880000000003</v>
      </c>
      <c r="O59" s="96">
        <f t="shared" si="26"/>
        <v>3545.0550000000003</v>
      </c>
      <c r="P59" s="97">
        <f t="shared" si="26"/>
        <v>3452.5050000000001</v>
      </c>
      <c r="Q59" s="96">
        <f t="shared" si="26"/>
        <v>3411.9870000000001</v>
      </c>
      <c r="R59" s="96">
        <f t="shared" si="26"/>
        <v>3405.5320000000002</v>
      </c>
      <c r="S59" s="96">
        <f t="shared" si="26"/>
        <v>3159.9589999999994</v>
      </c>
      <c r="T59" s="92">
        <f t="shared" ref="T59:AB59" si="27">T58+T48</f>
        <v>3092.942</v>
      </c>
      <c r="U59" s="93">
        <f t="shared" si="27"/>
        <v>3067.306</v>
      </c>
      <c r="V59" s="93">
        <f t="shared" si="27"/>
        <v>2945.4119999999998</v>
      </c>
      <c r="W59" s="93">
        <f t="shared" si="27"/>
        <v>2772.4030000000002</v>
      </c>
      <c r="X59" s="92">
        <f t="shared" si="27"/>
        <v>2675.0169999999998</v>
      </c>
      <c r="Y59" s="93">
        <f t="shared" si="27"/>
        <v>2742.8450000000003</v>
      </c>
      <c r="Z59" s="45">
        <f t="shared" si="27"/>
        <v>18735.399999999998</v>
      </c>
      <c r="AA59" s="45">
        <f t="shared" si="27"/>
        <v>18350.5</v>
      </c>
      <c r="AB59" s="46">
        <f t="shared" si="27"/>
        <v>18239.628993427174</v>
      </c>
    </row>
    <row r="60" spans="1:28" s="47" customFormat="1" ht="20.100000000000001" customHeight="1">
      <c r="A60" s="55" t="s">
        <v>57</v>
      </c>
      <c r="B60" s="98">
        <f>B59+B40</f>
        <v>257.64799999999997</v>
      </c>
      <c r="C60" s="98">
        <f t="shared" ref="C60:AB60" si="28">C59+C40</f>
        <v>241.97799999999998</v>
      </c>
      <c r="D60" s="98">
        <f t="shared" si="28"/>
        <v>353.358</v>
      </c>
      <c r="E60" s="98">
        <f t="shared" si="28"/>
        <v>595.20299999999997</v>
      </c>
      <c r="F60" s="99">
        <f t="shared" si="28"/>
        <v>630.44000000000005</v>
      </c>
      <c r="G60" s="98">
        <f t="shared" si="28"/>
        <v>757.13099999999986</v>
      </c>
      <c r="H60" s="99">
        <f t="shared" si="28"/>
        <v>681.41300000000001</v>
      </c>
      <c r="I60" s="98">
        <f t="shared" si="28"/>
        <v>774.846</v>
      </c>
      <c r="J60" s="99">
        <f t="shared" si="28"/>
        <v>945.67500000000007</v>
      </c>
      <c r="K60" s="99">
        <f t="shared" si="28"/>
        <v>984.87200000000007</v>
      </c>
      <c r="L60" s="98">
        <f t="shared" si="28"/>
        <v>1015.1950000000001</v>
      </c>
      <c r="M60" s="100">
        <f t="shared" si="28"/>
        <v>1226.854</v>
      </c>
      <c r="N60" s="100">
        <f t="shared" si="28"/>
        <v>5248.0750000000007</v>
      </c>
      <c r="O60" s="100">
        <f t="shared" si="28"/>
        <v>5363.8690000000006</v>
      </c>
      <c r="P60" s="101">
        <f t="shared" si="28"/>
        <v>5348.5480000000007</v>
      </c>
      <c r="Q60" s="100">
        <f t="shared" si="28"/>
        <v>5502.7539999999999</v>
      </c>
      <c r="R60" s="100">
        <f t="shared" si="28"/>
        <v>5597.8010000000004</v>
      </c>
      <c r="S60" s="100">
        <f t="shared" si="28"/>
        <v>5514.8739999999998</v>
      </c>
      <c r="T60" s="102">
        <f t="shared" si="28"/>
        <v>5561.3450000000003</v>
      </c>
      <c r="U60" s="103">
        <f t="shared" si="28"/>
        <v>5629.4740000000002</v>
      </c>
      <c r="V60" s="103">
        <f t="shared" si="28"/>
        <v>5592.7070000000003</v>
      </c>
      <c r="W60" s="103">
        <f t="shared" si="28"/>
        <v>5597.9809999999998</v>
      </c>
      <c r="X60" s="102">
        <f t="shared" si="28"/>
        <v>5676.23</v>
      </c>
      <c r="Y60" s="103">
        <f t="shared" si="28"/>
        <v>5851.1939999999995</v>
      </c>
      <c r="Z60" s="104">
        <f t="shared" si="28"/>
        <v>27827.1</v>
      </c>
      <c r="AA60" s="104">
        <f t="shared" si="28"/>
        <v>27481.200000000001</v>
      </c>
      <c r="AB60" s="61">
        <f t="shared" si="28"/>
        <v>27381.228993427176</v>
      </c>
    </row>
    <row r="61" spans="1:28" s="106" customFormat="1">
      <c r="A61" s="105"/>
      <c r="B61" s="105"/>
      <c r="C61" s="105"/>
      <c r="D61" s="105"/>
      <c r="E61" s="105"/>
      <c r="F61" s="105"/>
      <c r="H61" s="107"/>
      <c r="I61" s="107"/>
      <c r="J61" s="107"/>
      <c r="Z61" s="108"/>
      <c r="AA61" s="108"/>
    </row>
    <row r="62" spans="1:28" s="106" customFormat="1" ht="49.5" customHeight="1">
      <c r="A62" s="109" t="s">
        <v>86</v>
      </c>
      <c r="B62" s="109"/>
      <c r="C62" s="109"/>
      <c r="D62" s="109"/>
      <c r="E62" s="109"/>
      <c r="F62" s="109"/>
      <c r="G62" s="109"/>
      <c r="H62" s="109"/>
      <c r="I62" s="109"/>
      <c r="J62" s="110"/>
      <c r="Z62" s="111"/>
      <c r="AA62" s="111"/>
    </row>
    <row r="63" spans="1:28" s="106" customFormat="1" ht="20.100000000000001" customHeight="1">
      <c r="A63" s="106" t="s">
        <v>87</v>
      </c>
      <c r="H63" s="112"/>
      <c r="I63" s="112"/>
      <c r="J63" s="112"/>
      <c r="Z63" s="111"/>
      <c r="AA63" s="111"/>
    </row>
    <row r="64" spans="1:28" s="106" customFormat="1" ht="20.100000000000001" customHeight="1">
      <c r="A64" s="106" t="s">
        <v>88</v>
      </c>
      <c r="H64" s="110"/>
      <c r="I64" s="110"/>
      <c r="J64" s="113"/>
      <c r="Z64" s="111"/>
      <c r="AA64" s="111"/>
    </row>
    <row r="65" spans="1:27" s="115" customFormat="1" ht="35.1" customHeight="1">
      <c r="A65" s="114" t="s">
        <v>89</v>
      </c>
      <c r="B65" s="114"/>
      <c r="C65" s="114"/>
      <c r="D65" s="114"/>
      <c r="E65" s="114"/>
      <c r="F65" s="114"/>
      <c r="G65" s="114"/>
      <c r="H65" s="114"/>
      <c r="I65" s="112"/>
      <c r="J65" s="112"/>
      <c r="Z65" s="116"/>
      <c r="AA65" s="111"/>
    </row>
    <row r="66" spans="1:27" s="106" customFormat="1" ht="20.100000000000001" customHeight="1">
      <c r="H66" s="107"/>
      <c r="I66" s="107"/>
      <c r="J66" s="107"/>
      <c r="Z66" s="111"/>
      <c r="AA66" s="116"/>
    </row>
    <row r="67" spans="1:27" s="106" customFormat="1">
      <c r="H67" s="107"/>
      <c r="I67" s="107"/>
      <c r="J67" s="107"/>
      <c r="Z67" s="111"/>
      <c r="AA67" s="111"/>
    </row>
    <row r="68" spans="1:27" s="106" customFormat="1">
      <c r="H68" s="107"/>
      <c r="I68" s="107"/>
      <c r="J68" s="107"/>
      <c r="Z68" s="111"/>
      <c r="AA68" s="111"/>
    </row>
    <row r="70" spans="1:27">
      <c r="A70" s="5">
        <f>1/1000</f>
        <v>1E-3</v>
      </c>
    </row>
    <row r="71" spans="1:27">
      <c r="A71" s="5">
        <f>$A$70</f>
        <v>1E-3</v>
      </c>
    </row>
  </sheetData>
  <mergeCells count="2">
    <mergeCell ref="A62:I62"/>
    <mergeCell ref="A65:H6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Balance sheet</vt:lpstr>
      <vt:lpstr>'Balance sheet'!Obszar_wydruku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2015-03-09T20:47:53Z</dcterms:created>
  <dcterms:modified xsi:type="dcterms:W3CDTF">2015-03-09T20:48:08Z</dcterms:modified>
</cp:coreProperties>
</file>