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egieniusz\Grupa Polsat Plus\[PROJ] MD&amp;A - Dokumenty\4Q 2023\"/>
    </mc:Choice>
  </mc:AlternateContent>
  <bookViews>
    <workbookView xWindow="11860" yWindow="-160" windowWidth="11200" windowHeight="9710" tabRatio="597"/>
  </bookViews>
  <sheets>
    <sheet name="P&amp;L" sheetId="1" r:id="rId1"/>
    <sheet name="Balance sheet" sheetId="3" r:id="rId2"/>
    <sheet name="Cash Flow" sheetId="4" r:id="rId3"/>
    <sheet name="Segments" sheetId="2" r:id="rId4"/>
    <sheet name="Ratios" sheetId="7" r:id="rId5"/>
    <sheet name="new KPI_segment B2C&amp;B2B" sheetId="9" r:id="rId6"/>
    <sheet name="KPI TV &amp; online" sheetId="13" r:id="rId7"/>
    <sheet name="KPI_segment Green Energy" sheetId="15" r:id="rId8"/>
    <sheet name="STARE KPI--&gt;" sheetId="8" r:id="rId9"/>
    <sheet name="KPI_segment B2C&amp;B2B" sheetId="5" r:id="rId10"/>
  </sheets>
  <definedNames>
    <definedName name="_xlnm.Print_Area" localSheetId="1">'Balance sheet'!$A$1:$R$85</definedName>
    <definedName name="_xlnm.Print_Area" localSheetId="2">'Cash Flow'!$A$1:$R$79</definedName>
    <definedName name="_xlnm.Print_Area" localSheetId="9">'KPI_segment B2C&amp;B2B'!$A$1:$T$38</definedName>
    <definedName name="_xlnm.Print_Area" localSheetId="5">'new KPI_segment B2C&amp;B2B'!$A$1:$B$31</definedName>
    <definedName name="_xlnm.Print_Area" localSheetId="0">'P&amp;L'!$A$4:$T$49</definedName>
    <definedName name="OLE_LINK3" localSheetId="2">'Cash Flow'!$A$22</definedName>
    <definedName name="Z_0581D693_F741_454A_848A_FCD54BC91A66_.wvu.Cols" localSheetId="1" hidden="1">'Balance sheet'!$C:$AD</definedName>
    <definedName name="Z_0581D693_F741_454A_848A_FCD54BC91A66_.wvu.Cols" localSheetId="2" hidden="1">'Cash Flow'!$C:$AH</definedName>
    <definedName name="Z_0581D693_F741_454A_848A_FCD54BC91A66_.wvu.Cols" localSheetId="6" hidden="1">'KPI TV &amp; online'!$D:$AF</definedName>
    <definedName name="Z_0581D693_F741_454A_848A_FCD54BC91A66_.wvu.Cols" localSheetId="9" hidden="1">'KPI_segment B2C&amp;B2B'!$C:$AF</definedName>
    <definedName name="Z_0581D693_F741_454A_848A_FCD54BC91A66_.wvu.Cols" localSheetId="7" hidden="1">'KPI_segment Green Energy'!#REF!,'KPI_segment Green Energy'!#REF!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3" hidden="1">Segments!$C:$AL,Segments!$AR:$AV</definedName>
    <definedName name="Z_0581D693_F741_454A_848A_FCD54BC91A66_.wvu.PrintArea" localSheetId="1" hidden="1">'Balance sheet'!$A$1:$R$85</definedName>
    <definedName name="Z_0581D693_F741_454A_848A_FCD54BC91A66_.wvu.PrintArea" localSheetId="2" hidden="1">'Cash Flow'!$A$1:$R$79</definedName>
    <definedName name="Z_0581D693_F741_454A_848A_FCD54BC91A66_.wvu.PrintArea" localSheetId="9" hidden="1">'KPI_segment B2C&amp;B2B'!$A$1:$T$38</definedName>
    <definedName name="Z_0581D693_F741_454A_848A_FCD54BC91A66_.wvu.PrintArea" localSheetId="5" hidden="1">'new KPI_segment B2C&amp;B2B'!$A$1:$B$31</definedName>
    <definedName name="Z_0581D693_F741_454A_848A_FCD54BC91A66_.wvu.PrintArea" localSheetId="0" hidden="1">'P&amp;L'!$A$4:$T$49</definedName>
    <definedName name="Z_0581D693_F741_454A_848A_FCD54BC91A66_.wvu.Rows" localSheetId="9" hidden="1">'KPI_segment B2C&amp;B2B'!$14:$14</definedName>
    <definedName name="Z_0581D693_F741_454A_848A_FCD54BC91A66_.wvu.Rows" localSheetId="5" hidden="1">'new KPI_segment B2C&amp;B2B'!#REF!</definedName>
    <definedName name="Z_634BFE77_A2AA_4FA6_8ED5_F02244B9F10C_.wvu.Cols" localSheetId="1" hidden="1">'Balance sheet'!$C:$AD</definedName>
    <definedName name="Z_634BFE77_A2AA_4FA6_8ED5_F02244B9F10C_.wvu.Cols" localSheetId="2" hidden="1">'Cash Flow'!$C:$AH</definedName>
    <definedName name="Z_634BFE77_A2AA_4FA6_8ED5_F02244B9F10C_.wvu.Cols" localSheetId="6" hidden="1">'KPI TV &amp; online'!$D:$AF</definedName>
    <definedName name="Z_634BFE77_A2AA_4FA6_8ED5_F02244B9F10C_.wvu.Cols" localSheetId="9" hidden="1">'KPI_segment B2C&amp;B2B'!$C:$AF</definedName>
    <definedName name="Z_634BFE77_A2AA_4FA6_8ED5_F02244B9F10C_.wvu.Cols" localSheetId="7" hidden="1">'KPI_segment Green Energy'!#REF!,'KPI_segment Green Energy'!#REF!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3" hidden="1">Segments!$C:$AL,Segments!$AR:$AV</definedName>
    <definedName name="Z_634BFE77_A2AA_4FA6_8ED5_F02244B9F10C_.wvu.PrintArea" localSheetId="1" hidden="1">'Balance sheet'!$A$1:$R$85</definedName>
    <definedName name="Z_634BFE77_A2AA_4FA6_8ED5_F02244B9F10C_.wvu.PrintArea" localSheetId="2" hidden="1">'Cash Flow'!$A$1:$R$79</definedName>
    <definedName name="Z_634BFE77_A2AA_4FA6_8ED5_F02244B9F10C_.wvu.PrintArea" localSheetId="9" hidden="1">'KPI_segment B2C&amp;B2B'!$A$1:$T$38</definedName>
    <definedName name="Z_634BFE77_A2AA_4FA6_8ED5_F02244B9F10C_.wvu.PrintArea" localSheetId="5" hidden="1">'new KPI_segment B2C&amp;B2B'!$A$1:$B$31</definedName>
    <definedName name="Z_634BFE77_A2AA_4FA6_8ED5_F02244B9F10C_.wvu.PrintArea" localSheetId="0" hidden="1">'P&amp;L'!$A$4:$T$49</definedName>
    <definedName name="Z_634BFE77_A2AA_4FA6_8ED5_F02244B9F10C_.wvu.Rows" localSheetId="9" hidden="1">'KPI_segment B2C&amp;B2B'!$14:$14</definedName>
    <definedName name="Z_634BFE77_A2AA_4FA6_8ED5_F02244B9F10C_.wvu.Rows" localSheetId="5" hidden="1">'new KPI_segment B2C&amp;B2B'!#REF!</definedName>
    <definedName name="Z_B87BD74C_18F3_4393_BF03_31B25889E08F_.wvu.Cols" localSheetId="2" hidden="1">'Cash Flow'!$C:$AH</definedName>
    <definedName name="Z_B87BD74C_18F3_4393_BF03_31B25889E08F_.wvu.Cols" localSheetId="6" hidden="1">'KPI TV &amp; online'!$D:$AF</definedName>
    <definedName name="Z_B87BD74C_18F3_4393_BF03_31B25889E08F_.wvu.Cols" localSheetId="9" hidden="1">'KPI_segment B2C&amp;B2B'!$C:$AF</definedName>
    <definedName name="Z_B87BD74C_18F3_4393_BF03_31B25889E08F_.wvu.Cols" localSheetId="7" hidden="1">'KPI_segment Green Energy'!#REF!,'KPI_segment Green Energy'!#REF!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3" hidden="1">Segments!$C:$AL,Segments!$AR:$AV</definedName>
    <definedName name="Z_B87BD74C_18F3_4393_BF03_31B25889E08F_.wvu.PrintArea" localSheetId="1" hidden="1">'Balance sheet'!$A$1:$R$85</definedName>
    <definedName name="Z_B87BD74C_18F3_4393_BF03_31B25889E08F_.wvu.PrintArea" localSheetId="2" hidden="1">'Cash Flow'!$A$1:$R$79</definedName>
    <definedName name="Z_B87BD74C_18F3_4393_BF03_31B25889E08F_.wvu.PrintArea" localSheetId="9" hidden="1">'KPI_segment B2C&amp;B2B'!$A$1:$T$38</definedName>
    <definedName name="Z_B87BD74C_18F3_4393_BF03_31B25889E08F_.wvu.PrintArea" localSheetId="5" hidden="1">'new KPI_segment B2C&amp;B2B'!$A$1:$B$31</definedName>
    <definedName name="Z_B87BD74C_18F3_4393_BF03_31B25889E08F_.wvu.PrintArea" localSheetId="0" hidden="1">'P&amp;L'!$A$4:$T$49</definedName>
    <definedName name="Z_B87BD74C_18F3_4393_BF03_31B25889E08F_.wvu.Rows" localSheetId="9"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7" hidden="1">'KPI_segment Green Energy'!#REF!,'KPI_segment Green Energy'!#REF!</definedName>
    <definedName name="Z_ED9E521F_BC9B_4E88_8A9F_5288A046401B_.wvu.Cols" localSheetId="3" hidden="1">Segments!$C:$AL,Segments!$AR:$AV</definedName>
    <definedName name="Z_ED9E521F_BC9B_4E88_8A9F_5288A046401B_.wvu.PrintArea" localSheetId="1" hidden="1">'Balance sheet'!$A$1:$R$85</definedName>
    <definedName name="Z_ED9E521F_BC9B_4E88_8A9F_5288A046401B_.wvu.PrintArea" localSheetId="2" hidden="1">'Cash Flow'!$A$1:$R$79</definedName>
    <definedName name="Z_ED9E521F_BC9B_4E88_8A9F_5288A046401B_.wvu.PrintArea" localSheetId="9" hidden="1">'KPI_segment B2C&amp;B2B'!$A$1:$T$38</definedName>
    <definedName name="Z_ED9E521F_BC9B_4E88_8A9F_5288A046401B_.wvu.PrintArea" localSheetId="5" hidden="1">'new KPI_segment B2C&amp;B2B'!$A$1:$B$31</definedName>
    <definedName name="Z_ED9E521F_BC9B_4E88_8A9F_5288A046401B_.wvu.PrintArea" localSheetId="0" hidden="1">'P&amp;L'!$A$4:$T$49</definedName>
    <definedName name="Z_ED9E521F_BC9B_4E88_8A9F_5288A046401B_.wvu.Rows" localSheetId="9" hidden="1">'KPI_segment B2C&amp;B2B'!$14:$14</definedName>
    <definedName name="Z_ED9E521F_BC9B_4E88_8A9F_5288A046401B_.wvu.Rows" localSheetId="5" hidden="1">'new KPI_segment B2C&amp;B2B'!#REF!</definedName>
  </definedNames>
  <calcPr calcId="162913"/>
  <customWorkbookViews>
    <customWorkbookView name="egieniusz - Widok osobisty" guid="{B87BD74C-18F3-4393-BF03-31B25889E08F}" mergeInterval="0" personalView="1" maximized="1" xWindow="-8" yWindow="-8" windowWidth="1936" windowHeight="1056" activeSheetId="6"/>
    <customWorkbookView name="Anna Kuchnio - Widok osobisty" guid="{0581D693-F741-454A-848A-FCD54BC91A66}" mergeInterval="0" personalView="1" xWindow="-2295" yWindow="-56" windowWidth="1251" windowHeight="1134" activeSheetId="4"/>
    <customWorkbookView name="Grzegorz Para - Widok osobisty" guid="{634BFE77-A2AA-4FA6-8ED5-F02244B9F10C}" mergeInterval="0" personalView="1" maximized="1" xWindow="-8" yWindow="-8" windowWidth="1936" windowHeight="1056" activeSheetId="1"/>
    <customWorkbookView name="Agata Wiktorow-Sobczuk - Widok osobisty" guid="{ED9E521F-BC9B-4E88-8A9F-5288A046401B}" mergeInterval="0" personalView="1" maximized="1" xWindow="1912" yWindow="2" windowWidth="1936" windowHeight="1056" tabRatio="5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U35" i="1" l="1"/>
  <c r="BX8" i="7" l="1"/>
  <c r="BS4" i="7"/>
  <c r="BQ25" i="1"/>
  <c r="BQ36" i="1"/>
  <c r="BQ40" i="1"/>
  <c r="BU18" i="1"/>
  <c r="BU23" i="1"/>
  <c r="BW8" i="7" l="1"/>
  <c r="BT32" i="2" l="1"/>
  <c r="BB54" i="4" l="1"/>
  <c r="BB6" i="4" l="1"/>
  <c r="AX37" i="3" l="1"/>
  <c r="BT11" i="1" l="1"/>
  <c r="BT5" i="1"/>
  <c r="BT25" i="1" l="1"/>
  <c r="AX24" i="3"/>
  <c r="BT30" i="1" l="1"/>
  <c r="BT36" i="1"/>
  <c r="BT40" i="1" s="1"/>
  <c r="BU40" i="1" s="1"/>
  <c r="BQ13" i="2"/>
  <c r="BR13" i="2"/>
  <c r="BQ14" i="2"/>
  <c r="BR14" i="2"/>
  <c r="BQ15" i="2"/>
  <c r="BR15" i="2"/>
  <c r="BQ16" i="2"/>
  <c r="BR16" i="2"/>
  <c r="BR12" i="2"/>
  <c r="BQ12" i="2"/>
  <c r="BU15" i="2" l="1"/>
  <c r="BT32" i="1"/>
  <c r="BW7" i="7"/>
  <c r="BW5" i="7"/>
  <c r="BT37" i="1"/>
  <c r="BW4" i="7" s="1"/>
  <c r="AQ24" i="3"/>
  <c r="AR24" i="3"/>
  <c r="AS24" i="3"/>
  <c r="AT24" i="3"/>
  <c r="AW24" i="3"/>
  <c r="AW37" i="3"/>
  <c r="AR37" i="3"/>
  <c r="AT37" i="3"/>
  <c r="AS37" i="3"/>
  <c r="BT41" i="1" l="1"/>
  <c r="AS40" i="3"/>
  <c r="AT40" i="3"/>
  <c r="BU33" i="1" l="1"/>
  <c r="BU34" i="1"/>
  <c r="BU29" i="1"/>
  <c r="BU28" i="1"/>
  <c r="BU27" i="1"/>
  <c r="BU26" i="1"/>
  <c r="BU24" i="1"/>
  <c r="BU17" i="1"/>
  <c r="BS11" i="1"/>
  <c r="BU19" i="1"/>
  <c r="BU20" i="1"/>
  <c r="BU21" i="1"/>
  <c r="BU22" i="1"/>
  <c r="BU16" i="1"/>
  <c r="BU15" i="1"/>
  <c r="BU14" i="1"/>
  <c r="BU13" i="1"/>
  <c r="BU12" i="1"/>
  <c r="BU6" i="1"/>
  <c r="BU7" i="1"/>
  <c r="BU8" i="1"/>
  <c r="BU9" i="1"/>
  <c r="BU10" i="1"/>
  <c r="BU39" i="1"/>
  <c r="BU38" i="1"/>
  <c r="BU31" i="1"/>
  <c r="BQ5" i="1"/>
  <c r="BR5" i="1"/>
  <c r="BS5" i="1"/>
  <c r="BQ11" i="1"/>
  <c r="BR11" i="1"/>
  <c r="BS25" i="1" l="1"/>
  <c r="BS36" i="1"/>
  <c r="BS40" i="1" s="1"/>
  <c r="BS30" i="1"/>
  <c r="BR25" i="1"/>
  <c r="BU5" i="1"/>
  <c r="BU11" i="1"/>
  <c r="BR30" i="1" l="1"/>
  <c r="BR32" i="1" s="1"/>
  <c r="BU5" i="7" s="1"/>
  <c r="BS32" i="1"/>
  <c r="BS37" i="1"/>
  <c r="BR36" i="1"/>
  <c r="BR40" i="1" s="1"/>
  <c r="BU25" i="1"/>
  <c r="BU36" i="1" s="1"/>
  <c r="BQ30" i="1"/>
  <c r="BS41" i="1"/>
  <c r="G7" i="15"/>
  <c r="L7" i="15"/>
  <c r="L6" i="15"/>
  <c r="G6" i="15"/>
  <c r="L5" i="15"/>
  <c r="K4" i="15"/>
  <c r="J4" i="15"/>
  <c r="H4" i="15"/>
  <c r="C4" i="15"/>
  <c r="BU30" i="1" l="1"/>
  <c r="BU32" i="1" s="1"/>
  <c r="BV4" i="7"/>
  <c r="BR37" i="1"/>
  <c r="BU4" i="7" s="1"/>
  <c r="BV5" i="7"/>
  <c r="BQ32" i="1"/>
  <c r="BT5" i="7" s="1"/>
  <c r="BQ37" i="1"/>
  <c r="BT4" i="7" s="1"/>
  <c r="BR41" i="1"/>
  <c r="I4" i="15"/>
  <c r="D4" i="15"/>
  <c r="L4" i="15"/>
  <c r="BX7" i="7" l="1"/>
  <c r="BX5" i="7"/>
  <c r="BU41" i="1"/>
  <c r="BU37" i="1"/>
  <c r="BQ41" i="1"/>
  <c r="E4" i="15"/>
  <c r="BX4" i="7" l="1"/>
  <c r="F4" i="15"/>
  <c r="G5" i="15"/>
  <c r="G4" i="15" s="1"/>
  <c r="BA6" i="4" l="1"/>
  <c r="BA33" i="4" s="1"/>
  <c r="BS33" i="2" l="1"/>
  <c r="BR32" i="2" l="1"/>
  <c r="BS32" i="2"/>
  <c r="BQ32" i="2"/>
  <c r="BU36" i="2"/>
  <c r="BU30" i="2"/>
  <c r="BU24" i="2"/>
  <c r="BU9" i="2"/>
  <c r="AW76" i="3" l="1"/>
  <c r="BV8" i="7" s="1"/>
  <c r="AW63" i="3" l="1"/>
  <c r="AW79" i="3" l="1"/>
  <c r="AW52" i="3"/>
  <c r="AW54" i="3" l="1"/>
  <c r="BV7" i="7" s="1"/>
  <c r="BR6" i="2" l="1"/>
  <c r="BR35" i="2" l="1"/>
  <c r="BR34" i="2"/>
  <c r="BR33" i="2"/>
  <c r="AV6" i="4" l="1"/>
  <c r="BR10" i="2" l="1"/>
  <c r="BR8" i="2"/>
  <c r="BR7" i="2"/>
  <c r="AZ54" i="4"/>
  <c r="BJ34" i="13" l="1"/>
  <c r="BE34" i="13"/>
  <c r="AZ34" i="13"/>
  <c r="AU34" i="13"/>
  <c r="BJ33" i="13"/>
  <c r="BE33" i="13"/>
  <c r="AZ33" i="13"/>
  <c r="AU33" i="13"/>
  <c r="BJ32" i="13"/>
  <c r="BE32" i="13"/>
  <c r="AZ32" i="13"/>
  <c r="AU32" i="13"/>
  <c r="BJ31" i="13"/>
  <c r="BE31" i="13"/>
  <c r="AZ31" i="13"/>
  <c r="AU31" i="13"/>
  <c r="BJ30" i="13"/>
  <c r="BE30" i="13"/>
  <c r="AZ30" i="13"/>
  <c r="AU30" i="13"/>
  <c r="BF28" i="13"/>
  <c r="BA28" i="13"/>
  <c r="AV28" i="13"/>
  <c r="BJ25" i="13"/>
  <c r="BE25" i="13"/>
  <c r="AZ25" i="13"/>
  <c r="AU25" i="13"/>
  <c r="BJ24" i="13"/>
  <c r="BE24" i="13"/>
  <c r="AZ24" i="13"/>
  <c r="AU24" i="13"/>
  <c r="BJ23" i="13"/>
  <c r="BE23" i="13"/>
  <c r="AZ23" i="13"/>
  <c r="AU23" i="13"/>
  <c r="BJ22" i="13"/>
  <c r="BE22" i="13"/>
  <c r="AZ22" i="13"/>
  <c r="AU22" i="13"/>
  <c r="BJ21" i="13"/>
  <c r="BE21" i="13"/>
  <c r="AZ21" i="13"/>
  <c r="AU21" i="13"/>
  <c r="BF19" i="13"/>
  <c r="BA19" i="13"/>
  <c r="AV19" i="13"/>
  <c r="BI13" i="13"/>
  <c r="BH13" i="13"/>
  <c r="BG13" i="13"/>
  <c r="BF13" i="13"/>
  <c r="BD13" i="13"/>
  <c r="BC13" i="13"/>
  <c r="BB13" i="13"/>
  <c r="BA13" i="13"/>
  <c r="AY13" i="13"/>
  <c r="AX13" i="13"/>
  <c r="AW13" i="13"/>
  <c r="AV13" i="13"/>
  <c r="AT13" i="13"/>
  <c r="AS13" i="13"/>
  <c r="AR13" i="13"/>
  <c r="AQ13" i="13"/>
  <c r="AP13" i="13"/>
  <c r="AO13" i="13"/>
  <c r="AN13" i="13"/>
  <c r="AM13" i="13"/>
  <c r="AL13" i="13"/>
  <c r="AK13" i="13"/>
  <c r="AJ13" i="13"/>
  <c r="AI13" i="13"/>
  <c r="AH13" i="13"/>
  <c r="AG13" i="13"/>
  <c r="BJ12" i="13"/>
  <c r="BE12" i="13"/>
  <c r="AZ12" i="13"/>
  <c r="BJ11" i="13"/>
  <c r="BE11" i="13"/>
  <c r="AZ11" i="13"/>
  <c r="AU11" i="13"/>
  <c r="AU13" i="13" s="1"/>
  <c r="BJ9" i="13"/>
  <c r="BJ8" i="13"/>
  <c r="BJ7" i="13"/>
  <c r="BJ6" i="13"/>
  <c r="BJ5" i="13"/>
  <c r="AZ13" i="13" l="1"/>
  <c r="BE13" i="13"/>
  <c r="BJ13" i="13"/>
  <c r="BR20" i="2" l="1"/>
  <c r="BS20" i="2"/>
  <c r="BT20" i="2"/>
  <c r="BQ20" i="2"/>
  <c r="BR26" i="2"/>
  <c r="BS26" i="2"/>
  <c r="BT26" i="2"/>
  <c r="BQ26" i="2"/>
  <c r="AY54" i="4" l="1"/>
  <c r="AY6" i="4" l="1"/>
  <c r="BB33" i="4" l="1"/>
  <c r="BB36" i="4" s="1"/>
  <c r="AZ6" i="4"/>
  <c r="AZ33" i="4" s="1"/>
  <c r="AY3" i="4"/>
  <c r="BB69" i="4"/>
  <c r="BA69" i="4"/>
  <c r="AZ69" i="4"/>
  <c r="AY69" i="4"/>
  <c r="BA54" i="4"/>
  <c r="BA36" i="4" l="1"/>
  <c r="AZ36" i="4"/>
  <c r="BB70" i="4"/>
  <c r="BB74" i="4" s="1"/>
  <c r="BA70" i="4" l="1"/>
  <c r="AZ70" i="4"/>
  <c r="AU63" i="3"/>
  <c r="AX76" i="3" l="1"/>
  <c r="AV76" i="3"/>
  <c r="AX63" i="3"/>
  <c r="AV63" i="3"/>
  <c r="AX52" i="3"/>
  <c r="AV52" i="3"/>
  <c r="AV37" i="3"/>
  <c r="BU8" i="7" s="1"/>
  <c r="AV24" i="3"/>
  <c r="BU31" i="2"/>
  <c r="BU23" i="2"/>
  <c r="BU22" i="2"/>
  <c r="BU19" i="2"/>
  <c r="BU18" i="2"/>
  <c r="BU17" i="2"/>
  <c r="BU16" i="2"/>
  <c r="BU14" i="2"/>
  <c r="BQ11" i="2"/>
  <c r="BU10" i="2"/>
  <c r="BU7" i="2"/>
  <c r="BQ5" i="2"/>
  <c r="AX79" i="3" l="1"/>
  <c r="AX54" i="3"/>
  <c r="AW40" i="3"/>
  <c r="AV54" i="3"/>
  <c r="BU7" i="7" s="1"/>
  <c r="BQ37" i="2"/>
  <c r="AV79" i="3"/>
  <c r="AX40" i="3"/>
  <c r="AV40" i="3"/>
  <c r="BU6" i="7" s="1"/>
  <c r="BS5" i="2"/>
  <c r="BS37" i="2" s="1"/>
  <c r="BT5" i="2"/>
  <c r="BU12" i="2"/>
  <c r="BU13" i="2"/>
  <c r="BU11" i="2" s="1"/>
  <c r="BS11" i="2"/>
  <c r="BU34" i="2"/>
  <c r="BU35" i="2"/>
  <c r="BU27" i="2"/>
  <c r="BR11" i="2"/>
  <c r="BU8" i="2"/>
  <c r="BU6" i="2"/>
  <c r="BR5" i="2"/>
  <c r="BR37" i="2" s="1"/>
  <c r="BU25" i="2"/>
  <c r="BU29" i="2"/>
  <c r="BX6" i="7" l="1"/>
  <c r="BX9" i="7"/>
  <c r="BW9" i="7"/>
  <c r="BW6" i="7"/>
  <c r="BU9" i="7"/>
  <c r="AX80" i="3"/>
  <c r="BV6" i="7"/>
  <c r="BV9" i="7"/>
  <c r="AW80" i="3"/>
  <c r="AY5" i="4"/>
  <c r="AY33" i="4" s="1"/>
  <c r="AY36" i="4" s="1"/>
  <c r="AV80" i="3"/>
  <c r="BU5" i="2"/>
  <c r="BT37" i="2"/>
  <c r="BU33" i="2"/>
  <c r="BU32" i="2" s="1"/>
  <c r="BT11" i="2"/>
  <c r="BU28" i="2"/>
  <c r="BU26" i="2" s="1"/>
  <c r="BU37" i="2" l="1"/>
  <c r="AY70" i="4"/>
  <c r="BU21" i="2"/>
  <c r="BU20" i="2" s="1"/>
  <c r="AU37" i="3" l="1"/>
  <c r="BT8" i="7" s="1"/>
  <c r="AU52" i="3"/>
  <c r="AU24" i="3"/>
  <c r="AU76" i="3"/>
  <c r="AU54" i="3" l="1"/>
  <c r="BT7" i="7" s="1"/>
  <c r="AU40" i="3"/>
  <c r="BT6" i="7" s="1"/>
  <c r="AU79" i="3"/>
  <c r="BT9" i="7" s="1"/>
  <c r="AU80" i="3" l="1"/>
  <c r="Z16" i="9"/>
  <c r="Y16" i="9"/>
  <c r="X16" i="9"/>
  <c r="Z6" i="9"/>
  <c r="Y6" i="9"/>
  <c r="X6" i="9"/>
  <c r="W16" i="9" l="1"/>
  <c r="W6" i="9"/>
  <c r="K28" i="3" l="1"/>
  <c r="J28" i="3"/>
  <c r="I28" i="3"/>
  <c r="H28" i="3"/>
  <c r="G28" i="3"/>
  <c r="F28" i="3"/>
  <c r="E28" i="3"/>
  <c r="D28" i="3"/>
  <c r="C28" i="3"/>
  <c r="BO29" i="1" l="1"/>
  <c r="BP29" i="1" s="1"/>
  <c r="BO33" i="1" l="1"/>
  <c r="BP33" i="1" s="1"/>
  <c r="BO24" i="1"/>
  <c r="BO34" i="1" l="1"/>
  <c r="BP34" i="1" s="1"/>
  <c r="BO31" i="1"/>
  <c r="BO26" i="1"/>
  <c r="AP76" i="3" l="1"/>
  <c r="V6" i="9" l="1"/>
  <c r="BO19" i="1" l="1"/>
  <c r="BO7" i="1"/>
  <c r="BO27" i="1" l="1"/>
  <c r="BO23" i="1"/>
  <c r="BO21" i="1"/>
  <c r="BO20" i="1"/>
  <c r="BO16" i="1"/>
  <c r="BO15" i="1"/>
  <c r="BO14" i="1"/>
  <c r="BO13" i="1"/>
  <c r="BO10" i="1"/>
  <c r="BO8" i="1"/>
  <c r="BO6" i="1"/>
  <c r="BN29" i="2" l="1"/>
  <c r="BO29" i="2" s="1"/>
  <c r="BN5" i="1" l="1"/>
  <c r="BN35" i="2" l="1"/>
  <c r="BO35" i="2" s="1"/>
  <c r="BN31" i="2"/>
  <c r="BO31" i="2" s="1"/>
  <c r="BN25" i="2"/>
  <c r="BO25" i="2" s="1"/>
  <c r="BN23" i="2"/>
  <c r="BO23" i="2" s="1"/>
  <c r="BM21" i="2"/>
  <c r="BN21" i="2" s="1"/>
  <c r="BL20" i="2"/>
  <c r="BN16" i="2"/>
  <c r="BO16" i="2" s="1"/>
  <c r="BN14" i="2"/>
  <c r="BO14" i="2" s="1"/>
  <c r="BN8" i="2"/>
  <c r="BO8" i="2" s="1"/>
  <c r="BO21" i="2" l="1"/>
  <c r="AS52" i="3" l="1"/>
  <c r="BM27" i="2" l="1"/>
  <c r="BN27" i="2" s="1"/>
  <c r="BM12" i="2"/>
  <c r="BN12" i="2" s="1"/>
  <c r="BO12" i="2" s="1"/>
  <c r="BO27" i="2" l="1"/>
  <c r="BP35" i="2"/>
  <c r="BM33" i="2"/>
  <c r="BN33" i="2" s="1"/>
  <c r="BO33" i="2" s="1"/>
  <c r="BM6" i="2" l="1"/>
  <c r="BN6" i="2" s="1"/>
  <c r="BO6" i="2" s="1"/>
  <c r="BM7" i="2"/>
  <c r="BN7" i="2" s="1"/>
  <c r="BO7" i="2" s="1"/>
  <c r="BM34" i="2" l="1"/>
  <c r="BN34" i="2" s="1"/>
  <c r="BO34" i="2" s="1"/>
  <c r="BL11" i="2"/>
  <c r="BP16" i="2"/>
  <c r="BP25" i="2"/>
  <c r="BP23" i="2"/>
  <c r="BP29" i="2"/>
  <c r="BP31" i="2"/>
  <c r="BM28" i="2"/>
  <c r="BM22" i="2"/>
  <c r="BM13" i="2"/>
  <c r="BP14" i="2"/>
  <c r="BP8" i="2"/>
  <c r="BM10" i="2"/>
  <c r="BO32" i="2"/>
  <c r="BN32" i="2"/>
  <c r="BL32" i="2"/>
  <c r="BL26" i="2"/>
  <c r="BL5" i="2"/>
  <c r="BM5" i="2" l="1"/>
  <c r="BN10" i="2"/>
  <c r="BO10" i="2" s="1"/>
  <c r="BM11" i="2"/>
  <c r="BN13" i="2"/>
  <c r="BM20" i="2"/>
  <c r="BN22" i="2"/>
  <c r="BM26" i="2"/>
  <c r="BN28" i="2"/>
  <c r="BN26" i="2" s="1"/>
  <c r="BM32" i="2"/>
  <c r="BM37" i="2" s="1"/>
  <c r="BO22" i="2" l="1"/>
  <c r="BO20" i="2" s="1"/>
  <c r="BN20" i="2"/>
  <c r="BN11" i="2"/>
  <c r="BO13" i="2"/>
  <c r="BO11" i="2" s="1"/>
  <c r="BO28" i="2"/>
  <c r="BO26" i="2" s="1"/>
  <c r="BP39" i="1"/>
  <c r="AR76" i="3" l="1"/>
  <c r="AR52" i="3" l="1"/>
  <c r="BM12" i="1"/>
  <c r="BO12" i="1" l="1"/>
  <c r="BP19" i="2"/>
  <c r="AQ52" i="3" l="1"/>
  <c r="AX69" i="4" l="1"/>
  <c r="AW69" i="4"/>
  <c r="AV69" i="4"/>
  <c r="AU69" i="4"/>
  <c r="AX54" i="4"/>
  <c r="AW54" i="4"/>
  <c r="AV54" i="4"/>
  <c r="AU54" i="4"/>
  <c r="AX6" i="4"/>
  <c r="AW6" i="4"/>
  <c r="AU6" i="4"/>
  <c r="BP34" i="2"/>
  <c r="BP28" i="2"/>
  <c r="BP27" i="2"/>
  <c r="BP22" i="2"/>
  <c r="BP21" i="2"/>
  <c r="BP18" i="2"/>
  <c r="BP17" i="2"/>
  <c r="BP13" i="2"/>
  <c r="BP12" i="2"/>
  <c r="BP11" i="2" s="1"/>
  <c r="BP10" i="2"/>
  <c r="BP7" i="2"/>
  <c r="BP6" i="2"/>
  <c r="BO5" i="2"/>
  <c r="BO37" i="2" s="1"/>
  <c r="BN5" i="2"/>
  <c r="BN37" i="2" s="1"/>
  <c r="AT76" i="3"/>
  <c r="AS76" i="3"/>
  <c r="AQ76" i="3"/>
  <c r="AT63" i="3"/>
  <c r="AS63" i="3"/>
  <c r="AR63" i="3"/>
  <c r="AQ63" i="3"/>
  <c r="AT52" i="3"/>
  <c r="AS54" i="3"/>
  <c r="AR54" i="3"/>
  <c r="AQ54" i="3"/>
  <c r="AQ37" i="3"/>
  <c r="BP31" i="1"/>
  <c r="BP27" i="1"/>
  <c r="BP26" i="1"/>
  <c r="BP24" i="1"/>
  <c r="BP21" i="1"/>
  <c r="BP19" i="1"/>
  <c r="BP16" i="1"/>
  <c r="BP15" i="1"/>
  <c r="BP14" i="1"/>
  <c r="BP13" i="1"/>
  <c r="BP12" i="1"/>
  <c r="BP11" i="1" s="1"/>
  <c r="BP10" i="1"/>
  <c r="BP8" i="1"/>
  <c r="BP7" i="1"/>
  <c r="BP38" i="1"/>
  <c r="BP28" i="1"/>
  <c r="BP23" i="1"/>
  <c r="BP20" i="1"/>
  <c r="BO11" i="1"/>
  <c r="BN11" i="1"/>
  <c r="BM11" i="1"/>
  <c r="BO5" i="1"/>
  <c r="BM5" i="1"/>
  <c r="BS8" i="7" l="1"/>
  <c r="BO25" i="1"/>
  <c r="BQ8" i="7"/>
  <c r="BR8" i="7"/>
  <c r="AT54" i="3"/>
  <c r="BP20" i="2"/>
  <c r="BO8" i="7"/>
  <c r="BP8" i="7"/>
  <c r="BP26" i="2"/>
  <c r="BP5" i="2"/>
  <c r="AR79" i="3"/>
  <c r="AR40" i="3"/>
  <c r="BM25" i="1"/>
  <c r="BL37" i="2"/>
  <c r="AQ40" i="3"/>
  <c r="BP33" i="2"/>
  <c r="BP32" i="2" s="1"/>
  <c r="AQ79" i="3"/>
  <c r="AS79" i="3"/>
  <c r="AT79" i="3"/>
  <c r="BL11" i="1"/>
  <c r="BL5" i="1"/>
  <c r="AT80" i="3" l="1"/>
  <c r="BS9" i="7"/>
  <c r="BR9" i="7"/>
  <c r="BP37" i="2"/>
  <c r="BO36" i="1"/>
  <c r="AS80" i="3"/>
  <c r="BQ9" i="7"/>
  <c r="BO9" i="7"/>
  <c r="BM36" i="1"/>
  <c r="AR80" i="3"/>
  <c r="BP9" i="7"/>
  <c r="BO30" i="1"/>
  <c r="BM30" i="1"/>
  <c r="AQ80" i="3"/>
  <c r="BL25" i="1"/>
  <c r="V16" i="9"/>
  <c r="T16" i="9"/>
  <c r="T6" i="9"/>
  <c r="BL36" i="1" l="1"/>
  <c r="BO37" i="1"/>
  <c r="BR4" i="7" s="1"/>
  <c r="BM40" i="1"/>
  <c r="BO40" i="1"/>
  <c r="BO32" i="1"/>
  <c r="BM32" i="1"/>
  <c r="BM35" i="1" s="1"/>
  <c r="BM37" i="1"/>
  <c r="BL37" i="1"/>
  <c r="BL30" i="1"/>
  <c r="S16" i="9"/>
  <c r="S6" i="9"/>
  <c r="BO4" i="7" l="1"/>
  <c r="BL40" i="1"/>
  <c r="BP5" i="7"/>
  <c r="BR6" i="7"/>
  <c r="BR5" i="7"/>
  <c r="BR7" i="7"/>
  <c r="BO41" i="1"/>
  <c r="BP7" i="7"/>
  <c r="BP6" i="7"/>
  <c r="BM41" i="1"/>
  <c r="BP4" i="7"/>
  <c r="BL32" i="1"/>
  <c r="BL35" i="1" s="1"/>
  <c r="BL41" i="1" l="1"/>
  <c r="AU5" i="4"/>
  <c r="AV5" i="4"/>
  <c r="AV33" i="4" s="1"/>
  <c r="BO7" i="7"/>
  <c r="BO6" i="7"/>
  <c r="BO5" i="7"/>
  <c r="AT6" i="4"/>
  <c r="BJ33" i="2" l="1"/>
  <c r="BK33" i="1" l="1"/>
  <c r="BJ34" i="2" l="1"/>
  <c r="BJ32" i="2" s="1"/>
  <c r="BJ28" i="2"/>
  <c r="BJ27" i="2"/>
  <c r="BJ22" i="2"/>
  <c r="BJ21" i="2"/>
  <c r="BJ18" i="2"/>
  <c r="BJ13" i="2"/>
  <c r="BJ12" i="2"/>
  <c r="BJ7" i="2"/>
  <c r="BJ6" i="2"/>
  <c r="BJ10" i="2"/>
  <c r="BI11" i="2"/>
  <c r="BJ11" i="2" l="1"/>
  <c r="BJ5" i="2"/>
  <c r="BK26" i="1" l="1"/>
  <c r="AP24" i="3" l="1"/>
  <c r="BK24" i="1" l="1"/>
  <c r="AP52"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V4" i="9" s="1"/>
  <c r="Z4" i="9" s="1"/>
  <c r="I4" i="9"/>
  <c r="M4" i="9" s="1"/>
  <c r="Q4" i="9" s="1"/>
  <c r="U4" i="9" s="1"/>
  <c r="Y4" i="9" s="1"/>
  <c r="H4" i="9"/>
  <c r="L4" i="9" s="1"/>
  <c r="P4" i="9" s="1"/>
  <c r="T4" i="9" s="1"/>
  <c r="X4" i="9" s="1"/>
  <c r="G4" i="9"/>
  <c r="K4" i="9" s="1"/>
  <c r="O4" i="9" s="1"/>
  <c r="S4" i="9" s="1"/>
  <c r="W4" i="9" s="1"/>
  <c r="AP54" i="3" l="1"/>
  <c r="BG11" i="2"/>
  <c r="BH11" i="2" l="1"/>
  <c r="BK17" i="2" l="1"/>
  <c r="BF17" i="2"/>
  <c r="AZ25" i="5" l="1"/>
  <c r="AZ17" i="5"/>
  <c r="AZ16" i="5"/>
  <c r="AZ15" i="5"/>
  <c r="AZ12" i="5"/>
  <c r="AZ27" i="5"/>
  <c r="AZ26" i="5"/>
  <c r="AZ8" i="5"/>
  <c r="AZ11" i="5"/>
  <c r="AZ10" i="5"/>
  <c r="AZ9" i="5"/>
  <c r="AZ7" i="5" l="1"/>
  <c r="AZ24" i="5"/>
  <c r="AZ29" i="5"/>
  <c r="BK23" i="1" l="1"/>
  <c r="BC11" i="1" l="1"/>
  <c r="BG11" i="1"/>
  <c r="BH11" i="1"/>
  <c r="AN37" i="3" l="1"/>
  <c r="AM37" i="3" l="1"/>
  <c r="BG20" i="2" l="1"/>
  <c r="BH5" i="2"/>
  <c r="BI5" i="2"/>
  <c r="BG5" i="2"/>
  <c r="AM52" i="3" l="1"/>
  <c r="AV7" i="5" l="1"/>
  <c r="AY29" i="5" l="1"/>
  <c r="AX29" i="5"/>
  <c r="AW29" i="5"/>
  <c r="AV29" i="5"/>
  <c r="AY24" i="5"/>
  <c r="AX24" i="5"/>
  <c r="AV24" i="5"/>
  <c r="AY17" i="5"/>
  <c r="AX17" i="5"/>
  <c r="AW17" i="5"/>
  <c r="AV17" i="5"/>
  <c r="AY7" i="5"/>
  <c r="AX7" i="5"/>
  <c r="AW7" i="5"/>
  <c r="AS69" i="4"/>
  <c r="AS54" i="4"/>
  <c r="AT69" i="4"/>
  <c r="AR69" i="4"/>
  <c r="AQ69" i="4"/>
  <c r="AT54" i="4"/>
  <c r="AR54" i="4"/>
  <c r="AQ54" i="4"/>
  <c r="AS6" i="4"/>
  <c r="AR6" i="4"/>
  <c r="AQ6" i="4"/>
  <c r="AO76" i="3"/>
  <c r="AN76" i="3"/>
  <c r="AM76" i="3"/>
  <c r="AP63" i="3"/>
  <c r="AO63" i="3"/>
  <c r="AN63" i="3"/>
  <c r="AM63" i="3"/>
  <c r="AO52" i="3"/>
  <c r="AO54" i="3" s="1"/>
  <c r="AN52" i="3"/>
  <c r="AN54" i="3" s="1"/>
  <c r="AM54" i="3"/>
  <c r="AP37" i="3"/>
  <c r="AO37" i="3"/>
  <c r="AO24" i="3"/>
  <c r="AN24" i="3"/>
  <c r="AM24" i="3"/>
  <c r="BK38" i="1"/>
  <c r="BK34" i="1"/>
  <c r="BK31" i="1"/>
  <c r="BK29" i="1"/>
  <c r="BK28" i="1"/>
  <c r="BK27" i="1"/>
  <c r="BK21" i="1"/>
  <c r="BK20" i="1"/>
  <c r="BK19" i="1"/>
  <c r="BK16" i="1"/>
  <c r="BK15" i="1"/>
  <c r="BK14" i="1"/>
  <c r="BK13" i="1"/>
  <c r="BK12" i="1"/>
  <c r="BJ11" i="1"/>
  <c r="BI11" i="1"/>
  <c r="BK10" i="1"/>
  <c r="BK8" i="1"/>
  <c r="BK7" i="1"/>
  <c r="BK6" i="1"/>
  <c r="BJ5" i="1"/>
  <c r="BI5" i="1"/>
  <c r="BH5" i="1"/>
  <c r="BH25" i="1" s="1"/>
  <c r="BH30" i="1" s="1"/>
  <c r="BG5" i="1"/>
  <c r="BK34" i="2"/>
  <c r="BK33" i="2"/>
  <c r="BJ37" i="2"/>
  <c r="BI32" i="2"/>
  <c r="BI37" i="2" s="1"/>
  <c r="BH32" i="2"/>
  <c r="BH37" i="2" s="1"/>
  <c r="BG32" i="2"/>
  <c r="BG37" i="2" s="1"/>
  <c r="BK28" i="2"/>
  <c r="BK27" i="2"/>
  <c r="BJ26" i="2"/>
  <c r="BI26" i="2"/>
  <c r="BH26" i="2"/>
  <c r="BG26" i="2"/>
  <c r="BK22" i="2"/>
  <c r="BK21" i="2"/>
  <c r="BJ20" i="2"/>
  <c r="BI20" i="2"/>
  <c r="BH20" i="2"/>
  <c r="BK18" i="2"/>
  <c r="BK13" i="2"/>
  <c r="BK12" i="2"/>
  <c r="BK10" i="2"/>
  <c r="BK7" i="2"/>
  <c r="BK6" i="2"/>
  <c r="BJ8" i="7" l="1"/>
  <c r="AM40" i="3"/>
  <c r="BK8" i="7"/>
  <c r="AN40" i="3"/>
  <c r="BI25" i="1"/>
  <c r="BI36" i="1" s="1"/>
  <c r="BJ25" i="1"/>
  <c r="BN8" i="7"/>
  <c r="BM8" i="7"/>
  <c r="BK11" i="2"/>
  <c r="BL8" i="7"/>
  <c r="AN79" i="3"/>
  <c r="AM79" i="3"/>
  <c r="AO79" i="3"/>
  <c r="AO80" i="3" s="1"/>
  <c r="AP79" i="3"/>
  <c r="AO40" i="3"/>
  <c r="AP40" i="3"/>
  <c r="AX5" i="5"/>
  <c r="BK20" i="2"/>
  <c r="BG25" i="1"/>
  <c r="BG36" i="1" s="1"/>
  <c r="BK5" i="1"/>
  <c r="BK32" i="2"/>
  <c r="AY5" i="5"/>
  <c r="AV5" i="5"/>
  <c r="BK11" i="1"/>
  <c r="BH32" i="1"/>
  <c r="BH36" i="1"/>
  <c r="BK26" i="2"/>
  <c r="BK5" i="2"/>
  <c r="AM32" i="2"/>
  <c r="BG40" i="1" l="1"/>
  <c r="BG41" i="1" s="1"/>
  <c r="BI40" i="1"/>
  <c r="BJ36" i="1"/>
  <c r="BI30" i="1"/>
  <c r="BI32" i="1" s="1"/>
  <c r="BL5" i="7" s="1"/>
  <c r="BH37" i="1"/>
  <c r="BK4" i="7" s="1"/>
  <c r="BH40" i="1"/>
  <c r="BH41" i="1" s="1"/>
  <c r="AP80" i="3"/>
  <c r="BN9" i="7"/>
  <c r="BM9" i="7"/>
  <c r="BK25" i="1"/>
  <c r="AN80" i="3"/>
  <c r="BK9" i="7"/>
  <c r="AM80" i="3"/>
  <c r="BJ9" i="7"/>
  <c r="BL9" i="7"/>
  <c r="BH35" i="1"/>
  <c r="BK7" i="7"/>
  <c r="BK6" i="7"/>
  <c r="BK5" i="7"/>
  <c r="BI41" i="1"/>
  <c r="BK37" i="2"/>
  <c r="BG37" i="1"/>
  <c r="BJ4" i="7" s="1"/>
  <c r="BG30" i="1"/>
  <c r="BG32" i="1" s="1"/>
  <c r="BJ30" i="1"/>
  <c r="BJ37" i="1" l="1"/>
  <c r="BM4" i="7" s="1"/>
  <c r="BJ40" i="1"/>
  <c r="BJ41" i="1" s="1"/>
  <c r="BJ32" i="1"/>
  <c r="BM5" i="7" s="1"/>
  <c r="BL6" i="7"/>
  <c r="BI35" i="1"/>
  <c r="BL7" i="7"/>
  <c r="BJ5" i="7"/>
  <c r="BJ6" i="7"/>
  <c r="BJ7" i="7"/>
  <c r="BK30" i="1"/>
  <c r="BI37" i="1"/>
  <c r="BL4" i="7" s="1"/>
  <c r="BG35" i="1"/>
  <c r="AQ5" i="4"/>
  <c r="BK36" i="1"/>
  <c r="AV37" i="2"/>
  <c r="AU37" i="2"/>
  <c r="AT37" i="2"/>
  <c r="AS37" i="2"/>
  <c r="AR37" i="2"/>
  <c r="BF34" i="2"/>
  <c r="BA34" i="2"/>
  <c r="AQ34" i="2"/>
  <c r="BF33" i="2"/>
  <c r="BA33" i="2"/>
  <c r="AQ33" i="2"/>
  <c r="BE32" i="2"/>
  <c r="BD32" i="2"/>
  <c r="BC32" i="2"/>
  <c r="BB32" i="2"/>
  <c r="AZ32" i="2"/>
  <c r="AY32" i="2"/>
  <c r="AX32" i="2"/>
  <c r="AW32" i="2"/>
  <c r="AP32" i="2"/>
  <c r="AO32" i="2"/>
  <c r="AN32" i="2"/>
  <c r="BF28" i="2"/>
  <c r="BA28" i="2"/>
  <c r="AQ28" i="2"/>
  <c r="BF27" i="2"/>
  <c r="BA27" i="2"/>
  <c r="AQ27" i="2"/>
  <c r="BE26" i="2"/>
  <c r="BD26" i="2"/>
  <c r="BC26" i="2"/>
  <c r="BB26" i="2"/>
  <c r="AZ26" i="2"/>
  <c r="AY26" i="2"/>
  <c r="AX26" i="2"/>
  <c r="AW26" i="2"/>
  <c r="AV26" i="2"/>
  <c r="AU26" i="2"/>
  <c r="AT26" i="2"/>
  <c r="AS26" i="2"/>
  <c r="AR26" i="2"/>
  <c r="AP26" i="2"/>
  <c r="AO26" i="2"/>
  <c r="AN26" i="2"/>
  <c r="AM26" i="2"/>
  <c r="BF22" i="2"/>
  <c r="BA22" i="2"/>
  <c r="AQ22" i="2"/>
  <c r="BF21" i="2"/>
  <c r="BA21" i="2"/>
  <c r="AQ21" i="2"/>
  <c r="BE20" i="2"/>
  <c r="BD20" i="2"/>
  <c r="BC20" i="2"/>
  <c r="BB20" i="2"/>
  <c r="BB11" i="2" s="1"/>
  <c r="AZ20" i="2"/>
  <c r="AY20" i="2"/>
  <c r="AX20" i="2"/>
  <c r="AW20" i="2"/>
  <c r="AP20" i="2"/>
  <c r="AO20" i="2"/>
  <c r="AN20" i="2"/>
  <c r="AM20" i="2"/>
  <c r="BF13" i="2"/>
  <c r="BF12" i="2"/>
  <c r="BE11" i="2"/>
  <c r="BD11" i="2"/>
  <c r="BC11" i="2"/>
  <c r="BF10" i="2"/>
  <c r="BA10" i="2"/>
  <c r="AQ10" i="2"/>
  <c r="BF7" i="2"/>
  <c r="BA7" i="2"/>
  <c r="AQ7" i="2"/>
  <c r="BF6" i="2"/>
  <c r="BA6" i="2"/>
  <c r="AQ6" i="2"/>
  <c r="BD5" i="2"/>
  <c r="BC5" i="2"/>
  <c r="BB5" i="2"/>
  <c r="AZ5" i="2"/>
  <c r="AY5" i="2"/>
  <c r="AX5" i="2"/>
  <c r="AW5" i="2"/>
  <c r="AP5" i="2"/>
  <c r="AO5" i="2"/>
  <c r="AN5" i="2"/>
  <c r="AM5" i="2"/>
  <c r="BK40" i="1" l="1"/>
  <c r="BK41" i="1" s="1"/>
  <c r="BM6" i="7"/>
  <c r="BK32" i="1"/>
  <c r="BM7" i="7"/>
  <c r="BJ35" i="1"/>
  <c r="AQ33" i="4"/>
  <c r="AQ36" i="4" s="1"/>
  <c r="AR5" i="4"/>
  <c r="AQ26" i="2"/>
  <c r="BA5" i="2"/>
  <c r="BK37" i="1"/>
  <c r="BA26" i="2"/>
  <c r="AP37" i="2"/>
  <c r="BA20" i="2"/>
  <c r="BF20" i="2"/>
  <c r="BF32" i="2"/>
  <c r="BD37" i="2"/>
  <c r="AX37" i="2"/>
  <c r="AQ5" i="2"/>
  <c r="BB37" i="2"/>
  <c r="BF11" i="2"/>
  <c r="AY37" i="2"/>
  <c r="BF26" i="2"/>
  <c r="AZ37" i="2"/>
  <c r="AW37" i="2"/>
  <c r="BF5" i="2"/>
  <c r="AQ32" i="2"/>
  <c r="AN37" i="2"/>
  <c r="BC37" i="2"/>
  <c r="AQ20" i="2"/>
  <c r="AO37" i="2"/>
  <c r="BE5" i="2"/>
  <c r="BE37" i="2" s="1"/>
  <c r="AM37" i="2"/>
  <c r="BA32" i="2"/>
  <c r="BN7" i="7" l="1"/>
  <c r="BK35" i="1"/>
  <c r="BN5" i="7"/>
  <c r="AT5" i="4"/>
  <c r="AT33" i="4" s="1"/>
  <c r="BN6" i="7"/>
  <c r="BN4" i="7"/>
  <c r="AS5" i="4"/>
  <c r="AS33" i="4" s="1"/>
  <c r="AS36" i="4" s="1"/>
  <c r="AQ70" i="4"/>
  <c r="AR33" i="4"/>
  <c r="BA37" i="2"/>
  <c r="AQ37" i="2"/>
  <c r="BF37" i="2"/>
  <c r="AR36" i="4" l="1"/>
  <c r="AT36" i="4"/>
  <c r="AS70" i="4"/>
  <c r="AL76" i="3"/>
  <c r="AR70" i="4" l="1"/>
  <c r="AT70" i="4"/>
  <c r="AL37" i="3"/>
  <c r="BF29" i="1"/>
  <c r="BF26" i="1"/>
  <c r="BE11"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33" i="1"/>
  <c r="AU5" i="5" l="1"/>
  <c r="V5" i="5"/>
  <c r="AA5" i="5"/>
  <c r="AF5" i="5"/>
  <c r="L5" i="5"/>
  <c r="AN60" i="4"/>
  <c r="BF38" i="1" l="1"/>
  <c r="BF27" i="1" l="1"/>
  <c r="AN6" i="4"/>
  <c r="AN33" i="4" s="1"/>
  <c r="AN36" i="4" s="1"/>
  <c r="AO6" i="4"/>
  <c r="AO33" i="4" s="1"/>
  <c r="AP6" i="4"/>
  <c r="AP33" i="4" s="1"/>
  <c r="AP36" i="4" s="1"/>
  <c r="AN54" i="4"/>
  <c r="AP54" i="4"/>
  <c r="AN69" i="4"/>
  <c r="AP69" i="4"/>
  <c r="AM69" i="4"/>
  <c r="AM54" i="4"/>
  <c r="AM6" i="4"/>
  <c r="AK76" i="3"/>
  <c r="AJ76" i="3"/>
  <c r="AI76" i="3"/>
  <c r="AL63" i="3"/>
  <c r="AK63" i="3"/>
  <c r="AJ63" i="3"/>
  <c r="AI63" i="3"/>
  <c r="AL52" i="3"/>
  <c r="AK52" i="3"/>
  <c r="AK54" i="3" s="1"/>
  <c r="AJ52" i="3"/>
  <c r="AJ54" i="3" s="1"/>
  <c r="AI52" i="3"/>
  <c r="AI54" i="3" s="1"/>
  <c r="AK37" i="3"/>
  <c r="AJ37" i="3"/>
  <c r="AI37" i="3"/>
  <c r="AL24" i="3"/>
  <c r="AK24" i="3"/>
  <c r="AJ24" i="3"/>
  <c r="AI24" i="3"/>
  <c r="BF34" i="1"/>
  <c r="BF31" i="1"/>
  <c r="BF28" i="1"/>
  <c r="BF24" i="1"/>
  <c r="BF21" i="1"/>
  <c r="BF20" i="1"/>
  <c r="BF19" i="1"/>
  <c r="BF16" i="1"/>
  <c r="BF15" i="1"/>
  <c r="BF14" i="1"/>
  <c r="BF13" i="1"/>
  <c r="BF12" i="1"/>
  <c r="BD11" i="1"/>
  <c r="BB11" i="1"/>
  <c r="BF10" i="1"/>
  <c r="BF8" i="1"/>
  <c r="BF7" i="1"/>
  <c r="BF6" i="1"/>
  <c r="BE5" i="1"/>
  <c r="BD5" i="1"/>
  <c r="BC5" i="1"/>
  <c r="BB5" i="1"/>
  <c r="AL54" i="3" l="1"/>
  <c r="AL40" i="3"/>
  <c r="BE25" i="1"/>
  <c r="BE30" i="1" s="1"/>
  <c r="BE32" i="1" s="1"/>
  <c r="BE35" i="1" s="1"/>
  <c r="AK40" i="3"/>
  <c r="BD25" i="1"/>
  <c r="BD30" i="1" s="1"/>
  <c r="BD32" i="1" s="1"/>
  <c r="BD35" i="1" s="1"/>
  <c r="AK79" i="3"/>
  <c r="AK80" i="3" s="1"/>
  <c r="AJ79" i="3"/>
  <c r="AJ80" i="3" s="1"/>
  <c r="BC25" i="1"/>
  <c r="BC36" i="1" s="1"/>
  <c r="BF5" i="1"/>
  <c r="AP70" i="4"/>
  <c r="AO74" i="4"/>
  <c r="AN70" i="4"/>
  <c r="AN74" i="4" s="1"/>
  <c r="AI40" i="3"/>
  <c r="AJ40" i="3"/>
  <c r="AL79" i="3"/>
  <c r="AI79" i="3"/>
  <c r="AI80" i="3" s="1"/>
  <c r="BF11" i="1"/>
  <c r="BB25" i="1"/>
  <c r="BB30" i="1" s="1"/>
  <c r="BB32" i="1" s="1"/>
  <c r="BB35" i="1" s="1"/>
  <c r="AL69" i="4"/>
  <c r="AZ5" i="1"/>
  <c r="AZ11" i="1"/>
  <c r="AU11" i="1"/>
  <c r="AU5" i="1"/>
  <c r="AL80" i="3" l="1"/>
  <c r="AP74" i="4"/>
  <c r="BC37" i="1"/>
  <c r="BC40" i="1"/>
  <c r="BC41" i="1" s="1"/>
  <c r="BE36" i="1"/>
  <c r="BD36" i="1"/>
  <c r="BC30" i="1"/>
  <c r="BC32" i="1" s="1"/>
  <c r="BC35" i="1" s="1"/>
  <c r="AM5" i="4"/>
  <c r="AM33" i="4" s="1"/>
  <c r="AM36" i="4" s="1"/>
  <c r="BF25" i="1"/>
  <c r="BF30" i="1" s="1"/>
  <c r="BB36" i="1"/>
  <c r="AU25" i="1"/>
  <c r="AU36" i="1" s="1"/>
  <c r="AU37" i="1" s="1"/>
  <c r="AZ25" i="1"/>
  <c r="AZ30" i="1" s="1"/>
  <c r="AZ32" i="1" s="1"/>
  <c r="BE40" i="1" l="1"/>
  <c r="BB37" i="1"/>
  <c r="BF32" i="1"/>
  <c r="AQ71" i="4"/>
  <c r="AQ74" i="4" s="1"/>
  <c r="AT71" i="4"/>
  <c r="AT74" i="4" s="1"/>
  <c r="AS71" i="4"/>
  <c r="AS74" i="4" s="1"/>
  <c r="AR71" i="4"/>
  <c r="AR74" i="4" s="1"/>
  <c r="AM70" i="4"/>
  <c r="BE37" i="1"/>
  <c r="BE41" i="1"/>
  <c r="BD37" i="1"/>
  <c r="BD40" i="1"/>
  <c r="BD41" i="1" s="1"/>
  <c r="BF36" i="1"/>
  <c r="AU30" i="1"/>
  <c r="AU32" i="1" s="1"/>
  <c r="AZ36" i="1"/>
  <c r="AZ37" i="1" l="1"/>
  <c r="BF35" i="1"/>
  <c r="AV71" i="4"/>
  <c r="AW71" i="4"/>
  <c r="AX71" i="4"/>
  <c r="AU71" i="4"/>
  <c r="BF37" i="1"/>
  <c r="BF40" i="1"/>
  <c r="BF41" i="1" s="1"/>
  <c r="AG46" i="4"/>
  <c r="AY11" i="1"/>
  <c r="AY5" i="1"/>
  <c r="AT11" i="1"/>
  <c r="AT5" i="1"/>
  <c r="AY25" i="1" l="1"/>
  <c r="AY30" i="1" s="1"/>
  <c r="AY32" i="1" s="1"/>
  <c r="AT25" i="1"/>
  <c r="AT30" i="1" s="1"/>
  <c r="AT32" i="1" s="1"/>
  <c r="AJ69" i="4"/>
  <c r="AJ54" i="4"/>
  <c r="AJ6" i="4"/>
  <c r="AJ33" i="4" s="1"/>
  <c r="AJ36" i="4" s="1"/>
  <c r="AF69" i="4"/>
  <c r="AF54" i="4"/>
  <c r="AF6" i="4"/>
  <c r="AF33" i="4" s="1"/>
  <c r="AF36" i="4" s="1"/>
  <c r="AT36" i="1" l="1"/>
  <c r="AT37" i="1" s="1"/>
  <c r="AY36" i="1"/>
  <c r="AJ70" i="4"/>
  <c r="AF70" i="4"/>
  <c r="AY37" i="1" l="1"/>
  <c r="AX11" i="1"/>
  <c r="AX5" i="1"/>
  <c r="AX25" i="1" l="1"/>
  <c r="AX30" i="1" s="1"/>
  <c r="AX32" i="1" s="1"/>
  <c r="AS11" i="1"/>
  <c r="AS5" i="1"/>
  <c r="AX36" i="1" l="1"/>
  <c r="AS25" i="1"/>
  <c r="AS30" i="1" s="1"/>
  <c r="AS32" i="1" s="1"/>
  <c r="AK69" i="4"/>
  <c r="AI69" i="4"/>
  <c r="AL54" i="4"/>
  <c r="AK54" i="4"/>
  <c r="AI54" i="4"/>
  <c r="AL6" i="4"/>
  <c r="AL33" i="4" s="1"/>
  <c r="AL36" i="4" s="1"/>
  <c r="AK6" i="4"/>
  <c r="AK33" i="4" s="1"/>
  <c r="AK36" i="4" s="1"/>
  <c r="AI6" i="4"/>
  <c r="AI33" i="4" s="1"/>
  <c r="AI36" i="4" s="1"/>
  <c r="AX37" i="1" l="1"/>
  <c r="AL70" i="4"/>
  <c r="AK70" i="4"/>
  <c r="AS36" i="1"/>
  <c r="AS37" i="1" s="1"/>
  <c r="AI70" i="4"/>
  <c r="AI74" i="4" s="1"/>
  <c r="AW11" i="1"/>
  <c r="AE24" i="3" l="1"/>
  <c r="AC24" i="3"/>
  <c r="Z24" i="3"/>
  <c r="AA24" i="3"/>
  <c r="AR11" i="1" l="1"/>
  <c r="AQ31" i="1"/>
  <c r="AE63" i="3"/>
  <c r="AE52" i="3"/>
  <c r="AD52" i="3"/>
  <c r="AE37" i="3"/>
  <c r="AC37" i="3"/>
  <c r="AD37" i="3"/>
  <c r="AD24" i="3"/>
  <c r="AE54" i="4" l="1"/>
  <c r="AG69" i="4"/>
  <c r="AE6" i="4"/>
  <c r="AG54" i="4"/>
  <c r="AH54" i="4"/>
  <c r="AE69" i="4"/>
  <c r="AH69" i="4"/>
  <c r="AG6" i="4"/>
  <c r="AG33" i="4" s="1"/>
  <c r="AG36" i="4" s="1"/>
  <c r="AH6" i="4"/>
  <c r="AH33" i="4" s="1"/>
  <c r="AH36" i="4" s="1"/>
  <c r="AD6" i="4"/>
  <c r="AH70" i="4" l="1"/>
  <c r="AG70" i="4"/>
  <c r="AE33" i="4"/>
  <c r="AE36" i="4" l="1"/>
  <c r="AE70" i="4" l="1"/>
  <c r="AE74" i="4" l="1"/>
  <c r="AH76" i="3" l="1"/>
  <c r="AG76" i="3"/>
  <c r="AF76" i="3"/>
  <c r="AE76" i="3"/>
  <c r="AH63" i="3"/>
  <c r="AG63" i="3"/>
  <c r="AF63" i="3"/>
  <c r="AH52" i="3"/>
  <c r="AH54" i="3" s="1"/>
  <c r="AG52" i="3"/>
  <c r="AG54" i="3" s="1"/>
  <c r="AF52" i="3"/>
  <c r="AF54" i="3" s="1"/>
  <c r="AE54" i="3"/>
  <c r="AH37" i="3"/>
  <c r="AG37" i="3"/>
  <c r="AF37" i="3"/>
  <c r="AH24" i="3"/>
  <c r="AG24" i="3"/>
  <c r="AF24" i="3"/>
  <c r="BA34" i="1"/>
  <c r="BA33" i="1"/>
  <c r="BA31" i="1"/>
  <c r="BA29" i="1"/>
  <c r="BA28" i="1"/>
  <c r="BA27" i="1"/>
  <c r="BA26" i="1"/>
  <c r="BA24" i="1"/>
  <c r="BA21" i="1"/>
  <c r="BA20" i="1"/>
  <c r="BA19" i="1"/>
  <c r="BA16" i="1"/>
  <c r="BA15" i="1"/>
  <c r="BA14" i="1"/>
  <c r="BA13" i="1"/>
  <c r="BA12" i="1"/>
  <c r="BA10" i="1"/>
  <c r="BA8" i="1"/>
  <c r="BA7" i="1"/>
  <c r="BA6" i="1"/>
  <c r="AW5" i="1"/>
  <c r="AW25" i="1" s="1"/>
  <c r="AW30" i="1" s="1"/>
  <c r="AV31" i="1"/>
  <c r="AV29" i="1"/>
  <c r="AV28" i="1"/>
  <c r="AV27" i="1"/>
  <c r="AV26" i="1"/>
  <c r="AV24" i="1"/>
  <c r="AV21" i="1"/>
  <c r="AV20" i="1"/>
  <c r="AV19" i="1"/>
  <c r="AV16" i="1"/>
  <c r="AV15" i="1"/>
  <c r="AV14" i="1"/>
  <c r="AV13" i="1"/>
  <c r="AV12" i="1"/>
  <c r="AV10" i="1"/>
  <c r="AV8" i="1"/>
  <c r="AV7" i="1"/>
  <c r="AV6" i="1"/>
  <c r="AR5" i="1"/>
  <c r="AR25" i="1" s="1"/>
  <c r="AR30" i="1" s="1"/>
  <c r="BA11" i="1" l="1"/>
  <c r="AR32" i="1"/>
  <c r="AW32" i="1"/>
  <c r="AW35" i="1" s="1"/>
  <c r="BA5" i="1"/>
  <c r="AE79" i="3"/>
  <c r="AE80" i="3" s="1"/>
  <c r="AF79" i="3"/>
  <c r="AF80" i="3" s="1"/>
  <c r="AG79" i="3"/>
  <c r="AG80" i="3" s="1"/>
  <c r="AH79" i="3"/>
  <c r="AH80" i="3" s="1"/>
  <c r="AE40" i="3"/>
  <c r="AF40" i="3"/>
  <c r="AG40" i="3"/>
  <c r="AH40" i="3"/>
  <c r="AV5" i="1"/>
  <c r="AV11" i="1"/>
  <c r="BA25" i="1" l="1"/>
  <c r="AW36" i="1"/>
  <c r="AV25" i="1"/>
  <c r="AV30" i="1" s="1"/>
  <c r="AV32" i="1" s="1"/>
  <c r="AR36" i="1"/>
  <c r="AD76" i="3"/>
  <c r="AW37" i="1" l="1"/>
  <c r="BA30" i="1"/>
  <c r="BA36" i="1"/>
  <c r="BA37" i="1" s="1"/>
  <c r="AV36" i="1"/>
  <c r="AV37" i="1" s="1"/>
  <c r="AR37" i="1"/>
  <c r="AD46" i="4"/>
  <c r="BA32" i="1" l="1"/>
  <c r="AC46" i="4"/>
  <c r="BA35" i="1" l="1"/>
  <c r="AC36" i="4"/>
  <c r="AC54" i="4"/>
  <c r="AC69" i="4"/>
  <c r="AC76" i="3"/>
  <c r="AO11" i="1"/>
  <c r="AO5" i="1"/>
  <c r="AI11" i="1"/>
  <c r="AI5" i="1"/>
  <c r="AI25" i="1" l="1"/>
  <c r="AI36" i="1" s="1"/>
  <c r="AI37" i="1" s="1"/>
  <c r="AO25" i="1"/>
  <c r="AC70" i="4"/>
  <c r="AI30" i="1" l="1"/>
  <c r="AI32" i="1" s="1"/>
  <c r="AI35" i="1" s="1"/>
  <c r="AO36" i="1"/>
  <c r="AO30" i="1"/>
  <c r="AH10" i="1"/>
  <c r="AO32" i="1" l="1"/>
  <c r="AO37" i="1"/>
  <c r="AK28" i="1"/>
  <c r="AB46" i="4" l="1"/>
  <c r="AB76" i="3"/>
  <c r="AB37" i="3"/>
  <c r="AB24" i="3"/>
  <c r="AQ28" i="1" l="1"/>
  <c r="AA37" i="3" l="1"/>
  <c r="AD69" i="4" l="1"/>
  <c r="AB69" i="4"/>
  <c r="AA69" i="4"/>
  <c r="AD54" i="4"/>
  <c r="AB54" i="4"/>
  <c r="AA54" i="4"/>
  <c r="AB6" i="4"/>
  <c r="AA6" i="4"/>
  <c r="AA33" i="4" s="1"/>
  <c r="AA36" i="4" s="1"/>
  <c r="AA76" i="3"/>
  <c r="AD63" i="3"/>
  <c r="AC63" i="3"/>
  <c r="AB63" i="3"/>
  <c r="AA63" i="3"/>
  <c r="AD54" i="3"/>
  <c r="AC52" i="3"/>
  <c r="AB52" i="3"/>
  <c r="AB54" i="3" s="1"/>
  <c r="AA52" i="3"/>
  <c r="AA54" i="3" s="1"/>
  <c r="AB40" i="3"/>
  <c r="AC54" i="3" l="1"/>
  <c r="AC40" i="3"/>
  <c r="AA70" i="4"/>
  <c r="AA40" i="3"/>
  <c r="AD79" i="3"/>
  <c r="AD80" i="3" s="1"/>
  <c r="AD40" i="3"/>
  <c r="AA79" i="3"/>
  <c r="AA80" i="3" s="1"/>
  <c r="AB79" i="3"/>
  <c r="AB80" i="3" s="1"/>
  <c r="AC79" i="3"/>
  <c r="AC80" i="3" l="1"/>
  <c r="AK34" i="1"/>
  <c r="AK33" i="1"/>
  <c r="AK29" i="1"/>
  <c r="AK27" i="1"/>
  <c r="AK26" i="1"/>
  <c r="AK24" i="1"/>
  <c r="AK21" i="1"/>
  <c r="AK20" i="1"/>
  <c r="AK19" i="1"/>
  <c r="AK16" i="1"/>
  <c r="AK15" i="1"/>
  <c r="AK14" i="1"/>
  <c r="AK13" i="1"/>
  <c r="AK12" i="1"/>
  <c r="AJ11" i="1"/>
  <c r="AH11" i="1"/>
  <c r="AG11" i="1"/>
  <c r="AK10" i="1"/>
  <c r="AK8" i="1"/>
  <c r="AK7" i="1"/>
  <c r="AK6" i="1"/>
  <c r="AJ5" i="1"/>
  <c r="AH5" i="1"/>
  <c r="AG5" i="1"/>
  <c r="AQ34" i="1"/>
  <c r="AQ33" i="1"/>
  <c r="AQ29" i="1"/>
  <c r="AQ27" i="1"/>
  <c r="AQ26" i="1"/>
  <c r="AQ24" i="1"/>
  <c r="AQ21" i="1"/>
  <c r="AQ20" i="1"/>
  <c r="AQ19" i="1"/>
  <c r="AQ16" i="1"/>
  <c r="AQ15" i="1"/>
  <c r="AQ14" i="1"/>
  <c r="AQ13" i="1"/>
  <c r="AQ12" i="1"/>
  <c r="AP11" i="1"/>
  <c r="AN11" i="1"/>
  <c r="AM11" i="1"/>
  <c r="AQ10" i="1"/>
  <c r="AQ8" i="1"/>
  <c r="AQ7" i="1"/>
  <c r="AQ6" i="1"/>
  <c r="AP5" i="1"/>
  <c r="AN5" i="1"/>
  <c r="AM5" i="1"/>
  <c r="AG25" i="1" l="1"/>
  <c r="AG36" i="1" s="1"/>
  <c r="AP25" i="1"/>
  <c r="AJ25" i="1"/>
  <c r="AJ30" i="1" s="1"/>
  <c r="AN25" i="1"/>
  <c r="AQ11" i="1"/>
  <c r="AH25" i="1"/>
  <c r="AH36" i="1" s="1"/>
  <c r="AH37" i="1" s="1"/>
  <c r="AK11" i="1"/>
  <c r="AK5" i="1"/>
  <c r="AQ5" i="1"/>
  <c r="AM25" i="1"/>
  <c r="AG30" i="1" l="1"/>
  <c r="AG32" i="1" s="1"/>
  <c r="AG35" i="1" s="1"/>
  <c r="AN36" i="1"/>
  <c r="AN30" i="1"/>
  <c r="AN32" i="1" s="1"/>
  <c r="AN35" i="1" s="1"/>
  <c r="AP36" i="1"/>
  <c r="AP30" i="1"/>
  <c r="AP32" i="1" s="1"/>
  <c r="AG37" i="1"/>
  <c r="AJ36" i="1"/>
  <c r="AJ37" i="1" s="1"/>
  <c r="AQ25" i="1"/>
  <c r="AQ30" i="1" s="1"/>
  <c r="AH30" i="1"/>
  <c r="AH32" i="1" s="1"/>
  <c r="AH35" i="1" s="1"/>
  <c r="AK25" i="1"/>
  <c r="AK36" i="1" s="1"/>
  <c r="AK37" i="1" s="1"/>
  <c r="AM36" i="1"/>
  <c r="AM30" i="1"/>
  <c r="AP37" i="1" l="1"/>
  <c r="AN37" i="1"/>
  <c r="AQ32" i="1"/>
  <c r="AM32" i="1"/>
  <c r="AM37" i="1"/>
  <c r="AB33" i="4"/>
  <c r="AB36" i="4" s="1"/>
  <c r="AQ36" i="1"/>
  <c r="AK30" i="1"/>
  <c r="AF29" i="1"/>
  <c r="AQ35" i="1" l="1"/>
  <c r="AB70" i="4"/>
  <c r="AM35" i="1"/>
  <c r="AQ37" i="1"/>
  <c r="AF28" i="1"/>
  <c r="AA28" i="1"/>
  <c r="Q28" i="1"/>
  <c r="L28" i="1"/>
  <c r="G28" i="1"/>
  <c r="AD11" i="1" l="1"/>
  <c r="Z6" i="4" l="1"/>
  <c r="Z33" i="4" s="1"/>
  <c r="Z36" i="4" s="1"/>
  <c r="Z69" i="4"/>
  <c r="Z54" i="4"/>
  <c r="Z37" i="3"/>
  <c r="Z76" i="3"/>
  <c r="Z63" i="3"/>
  <c r="Z52" i="3"/>
  <c r="Z54" i="3" s="1"/>
  <c r="AF34" i="1"/>
  <c r="AF33" i="1"/>
  <c r="AF31" i="1"/>
  <c r="AF27" i="1"/>
  <c r="AF26" i="1"/>
  <c r="AF24" i="1"/>
  <c r="AF21" i="1"/>
  <c r="AF20" i="1"/>
  <c r="AF19" i="1"/>
  <c r="AF16" i="1"/>
  <c r="AF15" i="1"/>
  <c r="AF14" i="1"/>
  <c r="AF13" i="1"/>
  <c r="AF12" i="1"/>
  <c r="AF7" i="1"/>
  <c r="AF8" i="1"/>
  <c r="AF10" i="1"/>
  <c r="AF6" i="1"/>
  <c r="AE5" i="1"/>
  <c r="AE11" i="1"/>
  <c r="Z70" i="4" l="1"/>
  <c r="Z79" i="3"/>
  <c r="Z80" i="3" s="1"/>
  <c r="Z40" i="3"/>
  <c r="AF11" i="1"/>
  <c r="AE25" i="1"/>
  <c r="AE30" i="1" s="1"/>
  <c r="AF5" i="1"/>
  <c r="Y69" i="4"/>
  <c r="Y54" i="4"/>
  <c r="Y6" i="4"/>
  <c r="Y33" i="4" s="1"/>
  <c r="Y36" i="4" s="1"/>
  <c r="Y76" i="3"/>
  <c r="Y63" i="3"/>
  <c r="Y52" i="3"/>
  <c r="Y54" i="3" s="1"/>
  <c r="Y37" i="3"/>
  <c r="Y24" i="3"/>
  <c r="AD5" i="1"/>
  <c r="Y40" i="3" l="1"/>
  <c r="AE36" i="1"/>
  <c r="AE37" i="1" s="1"/>
  <c r="AE32" i="1"/>
  <c r="AE35" i="1" s="1"/>
  <c r="Y70" i="4"/>
  <c r="Y79" i="3"/>
  <c r="Y80" i="3" s="1"/>
  <c r="AF25" i="1"/>
  <c r="AF30" i="1" s="1"/>
  <c r="AD25" i="1"/>
  <c r="AD30" i="1" s="1"/>
  <c r="AF32" i="1" l="1"/>
  <c r="AD32" i="1"/>
  <c r="AD35" i="1" s="1"/>
  <c r="AD36" i="1"/>
  <c r="AD37" i="1" s="1"/>
  <c r="AF36" i="1"/>
  <c r="AF37" i="1" s="1"/>
  <c r="AF35" i="1" l="1"/>
  <c r="X69" i="4"/>
  <c r="X54" i="4"/>
  <c r="X6" i="4"/>
  <c r="X76" i="3"/>
  <c r="X63" i="3"/>
  <c r="X52" i="3"/>
  <c r="X54" i="3" s="1"/>
  <c r="X37" i="3"/>
  <c r="X24" i="3"/>
  <c r="AC11" i="1"/>
  <c r="AC5" i="1"/>
  <c r="AC25" i="1" l="1"/>
  <c r="AC30" i="1" s="1"/>
  <c r="AC32" i="1" s="1"/>
  <c r="AC35" i="1" s="1"/>
  <c r="X40" i="3"/>
  <c r="X79" i="3"/>
  <c r="X80" i="3" s="1"/>
  <c r="AC36" i="1" l="1"/>
  <c r="AC37" i="1" s="1"/>
  <c r="W66" i="4"/>
  <c r="Z11" i="1" l="1"/>
  <c r="Y11" i="1"/>
  <c r="X11" i="1"/>
  <c r="W11" i="1"/>
  <c r="V11" i="1"/>
  <c r="U11" i="1"/>
  <c r="T11" i="1"/>
  <c r="S11" i="1"/>
  <c r="R11" i="1"/>
  <c r="P11" i="1"/>
  <c r="O11" i="1"/>
  <c r="N11" i="1"/>
  <c r="M11" i="1"/>
  <c r="K11" i="1"/>
  <c r="J11" i="1"/>
  <c r="I11" i="1"/>
  <c r="H11" i="1"/>
  <c r="F11" i="1"/>
  <c r="E11" i="1"/>
  <c r="D11" i="1"/>
  <c r="C11" i="1"/>
  <c r="AB11" i="1"/>
  <c r="AA12" i="1"/>
  <c r="W69" i="4"/>
  <c r="W54" i="4"/>
  <c r="W6" i="4"/>
  <c r="W76" i="3"/>
  <c r="W63" i="3"/>
  <c r="W52" i="3"/>
  <c r="W54" i="3" s="1"/>
  <c r="W37" i="3"/>
  <c r="W24" i="3"/>
  <c r="AB5" i="1"/>
  <c r="W79" i="3" l="1"/>
  <c r="W80" i="3" s="1"/>
  <c r="W40" i="3"/>
  <c r="AB25" i="1"/>
  <c r="AB30" i="1" s="1"/>
  <c r="AB32" i="1" l="1"/>
  <c r="AB36" i="1"/>
  <c r="AB37" i="1" s="1"/>
  <c r="X33" i="4" l="1"/>
  <c r="X36" i="4" s="1"/>
  <c r="X70" i="4" s="1"/>
  <c r="AB35" i="1"/>
  <c r="W33" i="4"/>
  <c r="W36" i="4" s="1"/>
  <c r="W70" i="4" s="1"/>
  <c r="AA34" i="1"/>
  <c r="AA33" i="1"/>
  <c r="AA31" i="1"/>
  <c r="Q31" i="1"/>
  <c r="L31" i="1"/>
  <c r="G31" i="1"/>
  <c r="AA27" i="1"/>
  <c r="Q27" i="1"/>
  <c r="L27" i="1"/>
  <c r="G27" i="1"/>
  <c r="AA26" i="1"/>
  <c r="Q26" i="1"/>
  <c r="L26" i="1"/>
  <c r="G26" i="1"/>
  <c r="AA24" i="1"/>
  <c r="Q24" i="1"/>
  <c r="L24" i="1"/>
  <c r="G24" i="1"/>
  <c r="AA21" i="1"/>
  <c r="Q21" i="1"/>
  <c r="L21" i="1"/>
  <c r="G21" i="1"/>
  <c r="AA20" i="1"/>
  <c r="Q20" i="1"/>
  <c r="L20" i="1"/>
  <c r="G20" i="1"/>
  <c r="AA14" i="1"/>
  <c r="Q14" i="1"/>
  <c r="L14" i="1"/>
  <c r="G14" i="1"/>
  <c r="AA19" i="1"/>
  <c r="Q19" i="1"/>
  <c r="L19" i="1"/>
  <c r="G19" i="1"/>
  <c r="Q12" i="1"/>
  <c r="L12" i="1"/>
  <c r="G12" i="1"/>
  <c r="AA13" i="1"/>
  <c r="Q13" i="1"/>
  <c r="L13" i="1"/>
  <c r="G13" i="1"/>
  <c r="AA16" i="1"/>
  <c r="Q16" i="1"/>
  <c r="L16" i="1"/>
  <c r="G16" i="1"/>
  <c r="AA15" i="1"/>
  <c r="Q15" i="1"/>
  <c r="L15" i="1"/>
  <c r="G15" i="1"/>
  <c r="AA10" i="1"/>
  <c r="Q10" i="1"/>
  <c r="L10" i="1"/>
  <c r="G10"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1" i="1"/>
  <c r="AA11" i="1"/>
  <c r="Q11" i="1"/>
  <c r="Q25" i="1" s="1"/>
  <c r="Q30" i="1" s="1"/>
  <c r="G11" i="1"/>
  <c r="C25" i="1"/>
  <c r="C30" i="1" s="1"/>
  <c r="M25" i="1"/>
  <c r="M30" i="1" s="1"/>
  <c r="U25" i="1"/>
  <c r="U30" i="1" s="1"/>
  <c r="Z25" i="1"/>
  <c r="Z30" i="1" s="1"/>
  <c r="D25" i="1"/>
  <c r="D30" i="1" s="1"/>
  <c r="E25" i="1"/>
  <c r="E30" i="1" s="1"/>
  <c r="O25" i="1"/>
  <c r="O30" i="1" s="1"/>
  <c r="F25" i="1"/>
  <c r="F30" i="1" s="1"/>
  <c r="P25" i="1"/>
  <c r="P30" i="1" s="1"/>
  <c r="N25" i="1"/>
  <c r="N30" i="1" s="1"/>
  <c r="I25" i="1"/>
  <c r="I30" i="1" s="1"/>
  <c r="R25" i="1"/>
  <c r="R30" i="1" s="1"/>
  <c r="V25" i="1"/>
  <c r="V30" i="1" s="1"/>
  <c r="S25" i="1"/>
  <c r="S30" i="1" s="1"/>
  <c r="W25" i="1"/>
  <c r="W30" i="1" s="1"/>
  <c r="K25" i="1"/>
  <c r="K30" i="1" s="1"/>
  <c r="T25" i="1"/>
  <c r="T30" i="1" s="1"/>
  <c r="X25" i="1"/>
  <c r="X30" i="1" s="1"/>
  <c r="Y25" i="1"/>
  <c r="Y30" i="1" s="1"/>
  <c r="J25" i="1"/>
  <c r="J30" i="1" s="1"/>
  <c r="H25" i="1"/>
  <c r="H30" i="1" s="1"/>
  <c r="L25" i="1" l="1"/>
  <c r="L30" i="1" s="1"/>
  <c r="L32" i="1" s="1"/>
  <c r="G25" i="1"/>
  <c r="G30" i="1" s="1"/>
  <c r="G32" i="1" s="1"/>
  <c r="G33" i="1" s="1"/>
  <c r="AA25" i="1"/>
  <c r="AA30" i="1" s="1"/>
  <c r="AA32" i="1" s="1"/>
  <c r="AA35" i="1" s="1"/>
  <c r="P36" i="1"/>
  <c r="P37" i="1" s="1"/>
  <c r="S36" i="1"/>
  <c r="S37" i="1" s="1"/>
  <c r="S32" i="1"/>
  <c r="S35" i="1" s="1"/>
  <c r="O36" i="1"/>
  <c r="O37" i="1" s="1"/>
  <c r="U32" i="1"/>
  <c r="K32" i="1"/>
  <c r="K35" i="1" s="1"/>
  <c r="V32" i="1"/>
  <c r="E36" i="1"/>
  <c r="E37" i="1" s="1"/>
  <c r="M36" i="1"/>
  <c r="M37" i="1" s="1"/>
  <c r="Q32" i="1"/>
  <c r="Y36" i="1"/>
  <c r="Y37" i="1" s="1"/>
  <c r="Y32" i="1"/>
  <c r="Y35" i="1" s="1"/>
  <c r="R32" i="1"/>
  <c r="P32" i="1"/>
  <c r="P35" i="1" s="1"/>
  <c r="D36" i="1"/>
  <c r="D37" i="1" s="1"/>
  <c r="D32" i="1"/>
  <c r="C32" i="1"/>
  <c r="C33" i="1" s="1"/>
  <c r="T32" i="1"/>
  <c r="N36" i="1"/>
  <c r="N37" i="1" s="1"/>
  <c r="X36" i="1"/>
  <c r="X37" i="1" s="1"/>
  <c r="W36" i="1"/>
  <c r="W37" i="1" s="1"/>
  <c r="I36" i="1"/>
  <c r="I37" i="1" s="1"/>
  <c r="F32" i="1"/>
  <c r="Z36" i="1"/>
  <c r="Z37" i="1" s="1"/>
  <c r="Z32" i="1"/>
  <c r="Z35" i="1" s="1"/>
  <c r="V36" i="1"/>
  <c r="V37" i="1" s="1"/>
  <c r="N32" i="1"/>
  <c r="N33" i="1" s="1"/>
  <c r="C36" i="1"/>
  <c r="C37" i="1" s="1"/>
  <c r="E32" i="1"/>
  <c r="E33" i="1" s="1"/>
  <c r="Q36" i="1"/>
  <c r="Q37" i="1" s="1"/>
  <c r="M32" i="1"/>
  <c r="M33" i="1" s="1"/>
  <c r="O32" i="1"/>
  <c r="O33" i="1" s="1"/>
  <c r="U36" i="1"/>
  <c r="U37" i="1" s="1"/>
  <c r="F36" i="1"/>
  <c r="F37" i="1" s="1"/>
  <c r="T36" i="1"/>
  <c r="T37" i="1" s="1"/>
  <c r="X32" i="1"/>
  <c r="X35" i="1" s="1"/>
  <c r="R36" i="1"/>
  <c r="R37" i="1" s="1"/>
  <c r="K36" i="1"/>
  <c r="K37" i="1" s="1"/>
  <c r="I32" i="1"/>
  <c r="I35" i="1" s="1"/>
  <c r="W32" i="1"/>
  <c r="J36" i="1"/>
  <c r="J37" i="1" s="1"/>
  <c r="J32" i="1"/>
  <c r="H36" i="1"/>
  <c r="H37" i="1" s="1"/>
  <c r="H32" i="1"/>
  <c r="L36" i="1" l="1"/>
  <c r="L37" i="1" s="1"/>
  <c r="AA36" i="1"/>
  <c r="AA37" i="1" s="1"/>
  <c r="G36" i="1"/>
  <c r="G37" i="1" s="1"/>
  <c r="P33" i="1"/>
  <c r="K33" i="1"/>
  <c r="Q33" i="1"/>
  <c r="Q35" i="1"/>
  <c r="D33" i="1"/>
  <c r="D35" i="1"/>
  <c r="R5" i="4"/>
  <c r="V33" i="1"/>
  <c r="V35" i="1"/>
  <c r="R33" i="1"/>
  <c r="R35" i="1"/>
  <c r="T33" i="1"/>
  <c r="T35" i="1"/>
  <c r="F35" i="1"/>
  <c r="F33" i="1"/>
  <c r="U35" i="1"/>
  <c r="U33" i="1"/>
  <c r="C35" i="1"/>
  <c r="G35" i="1"/>
  <c r="E35" i="1"/>
  <c r="N35" i="1"/>
  <c r="M35" i="1"/>
  <c r="L5" i="4"/>
  <c r="O35" i="1"/>
  <c r="V5" i="4"/>
  <c r="S33" i="1"/>
  <c r="W35" i="1"/>
  <c r="T5" i="4"/>
  <c r="U5" i="4" s="1"/>
  <c r="S5" i="4"/>
  <c r="I33" i="1"/>
  <c r="Q5" i="4"/>
  <c r="H35" i="1"/>
  <c r="H33" i="1"/>
  <c r="J33" i="1"/>
  <c r="J35" i="1"/>
  <c r="L35" i="1"/>
  <c r="L33" i="1"/>
  <c r="V69" i="4" l="1"/>
  <c r="V54" i="4"/>
  <c r="V6" i="4"/>
  <c r="V76" i="3"/>
  <c r="V63" i="3"/>
  <c r="V52" i="3"/>
  <c r="V54" i="3" s="1"/>
  <c r="V37" i="3"/>
  <c r="V24" i="3"/>
  <c r="V33" i="4" l="1"/>
  <c r="V36" i="4" s="1"/>
  <c r="V70" i="4" s="1"/>
  <c r="V79" i="3"/>
  <c r="V80" i="3" s="1"/>
  <c r="V40" i="3"/>
  <c r="U69" i="4" l="1"/>
  <c r="U54" i="4"/>
  <c r="U6" i="4"/>
  <c r="U76" i="3"/>
  <c r="U63" i="3"/>
  <c r="U52" i="3"/>
  <c r="U54" i="3" s="1"/>
  <c r="U37" i="3"/>
  <c r="U24" i="3"/>
  <c r="U79" i="3" l="1"/>
  <c r="U80" i="3" s="1"/>
  <c r="U40" i="3"/>
  <c r="U33" i="4"/>
  <c r="U36" i="4" s="1"/>
  <c r="U70" i="4" s="1"/>
  <c r="T69" i="4" l="1"/>
  <c r="T54" i="4"/>
  <c r="T6" i="4"/>
  <c r="T76" i="3"/>
  <c r="T63" i="3"/>
  <c r="T52" i="3"/>
  <c r="T54" i="3" s="1"/>
  <c r="T37" i="3"/>
  <c r="T24" i="3"/>
  <c r="T79" i="3" l="1"/>
  <c r="T80" i="3" s="1"/>
  <c r="T40" i="3"/>
  <c r="C6" i="3"/>
  <c r="S69" i="4" l="1"/>
  <c r="S54" i="4"/>
  <c r="S6" i="4"/>
  <c r="S76" i="3"/>
  <c r="S63" i="3"/>
  <c r="S52" i="3"/>
  <c r="S54" i="3" s="1"/>
  <c r="S37" i="3"/>
  <c r="S24" i="3"/>
  <c r="S79" i="3" l="1"/>
  <c r="S80" i="3" s="1"/>
  <c r="S40" i="3"/>
  <c r="R69" i="4" l="1"/>
  <c r="R54" i="4"/>
  <c r="R6" i="4"/>
  <c r="R76" i="3"/>
  <c r="R63" i="3"/>
  <c r="R52" i="3"/>
  <c r="R54" i="3" s="1"/>
  <c r="R37" i="3"/>
  <c r="R24" i="3"/>
  <c r="T33" i="4" l="1"/>
  <c r="T36" i="4" s="1"/>
  <c r="T70" i="4" s="1"/>
  <c r="S33" i="4"/>
  <c r="S36" i="4" s="1"/>
  <c r="S70" i="4" s="1"/>
  <c r="R79" i="3"/>
  <c r="R80" i="3" s="1"/>
  <c r="R40" i="3"/>
  <c r="R33" i="4" l="1"/>
  <c r="R36" i="4" s="1"/>
  <c r="R70" i="4" s="1"/>
  <c r="R74" i="4" s="1"/>
  <c r="V71" i="4" l="1"/>
  <c r="V74" i="4" s="1"/>
  <c r="Y71" i="4" s="1"/>
  <c r="Z71" i="4" s="1"/>
  <c r="U71" i="4"/>
  <c r="U74" i="4" s="1"/>
  <c r="T71" i="4"/>
  <c r="T74" i="4" s="1"/>
  <c r="S71" i="4"/>
  <c r="S74" i="4" s="1"/>
  <c r="H32" i="4"/>
  <c r="I32" i="4"/>
  <c r="Z74" i="4" l="1"/>
  <c r="Y74" i="4"/>
  <c r="W71" i="4"/>
  <c r="W74" i="4" s="1"/>
  <c r="X71" i="4"/>
  <c r="X74" i="4" s="1"/>
  <c r="AA71" i="4" l="1"/>
  <c r="AA74" i="4" s="1"/>
  <c r="AC71" i="4"/>
  <c r="AD71" i="4" s="1"/>
  <c r="AB71" i="4"/>
  <c r="AC74" i="4" l="1"/>
  <c r="AB74" i="4"/>
  <c r="C69" i="4"/>
  <c r="J69" i="4"/>
  <c r="K69" i="4"/>
  <c r="L69" i="4"/>
  <c r="M69" i="4"/>
  <c r="N69" i="4"/>
  <c r="O69" i="4"/>
  <c r="P69" i="4"/>
  <c r="Q69" i="4"/>
  <c r="K75" i="3"/>
  <c r="J75" i="3"/>
  <c r="I75" i="3"/>
  <c r="H75" i="3"/>
  <c r="G75" i="3"/>
  <c r="F75" i="3"/>
  <c r="E75" i="3"/>
  <c r="D75" i="3"/>
  <c r="K74" i="3"/>
  <c r="J74" i="3"/>
  <c r="I74" i="3"/>
  <c r="H74" i="3"/>
  <c r="G74" i="3"/>
  <c r="F74" i="3"/>
  <c r="E74" i="3"/>
  <c r="D74" i="3"/>
  <c r="K73" i="3"/>
  <c r="J73" i="3"/>
  <c r="I73" i="3"/>
  <c r="H73" i="3"/>
  <c r="G73" i="3"/>
  <c r="F73" i="3"/>
  <c r="E73" i="3"/>
  <c r="D73" i="3"/>
  <c r="K69" i="3"/>
  <c r="J69" i="3"/>
  <c r="I69" i="3"/>
  <c r="H69" i="3"/>
  <c r="G69" i="3"/>
  <c r="F69" i="3"/>
  <c r="E69" i="3"/>
  <c r="D69" i="3"/>
  <c r="K66" i="3"/>
  <c r="J66" i="3"/>
  <c r="I66" i="3"/>
  <c r="H66" i="3"/>
  <c r="G66" i="3"/>
  <c r="F66" i="3"/>
  <c r="E66" i="3"/>
  <c r="D66" i="3"/>
  <c r="K65" i="3"/>
  <c r="J65" i="3"/>
  <c r="I65" i="3"/>
  <c r="H65" i="3"/>
  <c r="G65" i="3"/>
  <c r="F65" i="3"/>
  <c r="E65" i="3"/>
  <c r="D65" i="3"/>
  <c r="K64" i="3"/>
  <c r="J64" i="3"/>
  <c r="I64" i="3"/>
  <c r="H64" i="3"/>
  <c r="G64" i="3"/>
  <c r="F64" i="3"/>
  <c r="E64" i="3"/>
  <c r="D64" i="3"/>
  <c r="K61" i="3"/>
  <c r="J61" i="3"/>
  <c r="I61" i="3"/>
  <c r="H61" i="3"/>
  <c r="G61" i="3"/>
  <c r="F61" i="3"/>
  <c r="E61" i="3"/>
  <c r="D61" i="3"/>
  <c r="K60" i="3"/>
  <c r="J60" i="3"/>
  <c r="I60" i="3"/>
  <c r="H60" i="3"/>
  <c r="G60" i="3"/>
  <c r="F60" i="3"/>
  <c r="E60" i="3"/>
  <c r="D60" i="3"/>
  <c r="K59" i="3"/>
  <c r="J59" i="3"/>
  <c r="I59" i="3"/>
  <c r="H59" i="3"/>
  <c r="G59" i="3"/>
  <c r="F59" i="3"/>
  <c r="E59" i="3"/>
  <c r="D59" i="3"/>
  <c r="K57" i="3"/>
  <c r="J57" i="3"/>
  <c r="I57" i="3"/>
  <c r="H57" i="3"/>
  <c r="G57" i="3"/>
  <c r="F57" i="3"/>
  <c r="E57" i="3"/>
  <c r="D57" i="3"/>
  <c r="K56" i="3"/>
  <c r="J56" i="3"/>
  <c r="I56" i="3"/>
  <c r="H56" i="3"/>
  <c r="G56" i="3"/>
  <c r="F56" i="3"/>
  <c r="E56" i="3"/>
  <c r="D56" i="3"/>
  <c r="K55" i="3"/>
  <c r="J55" i="3"/>
  <c r="I55" i="3"/>
  <c r="H55" i="3"/>
  <c r="G55" i="3"/>
  <c r="F55" i="3"/>
  <c r="E55" i="3"/>
  <c r="D55" i="3"/>
  <c r="K50" i="3"/>
  <c r="J50" i="3"/>
  <c r="I50" i="3"/>
  <c r="H50" i="3"/>
  <c r="G50" i="3"/>
  <c r="F50" i="3"/>
  <c r="E50" i="3"/>
  <c r="D50" i="3"/>
  <c r="J49" i="3"/>
  <c r="I49" i="3"/>
  <c r="H49" i="3"/>
  <c r="G49" i="3"/>
  <c r="F49" i="3"/>
  <c r="E49" i="3"/>
  <c r="D49" i="3"/>
  <c r="K45" i="3"/>
  <c r="J45" i="3"/>
  <c r="I45" i="3"/>
  <c r="H45" i="3"/>
  <c r="G45" i="3"/>
  <c r="F45" i="3"/>
  <c r="E45" i="3"/>
  <c r="D45" i="3"/>
  <c r="K42" i="3"/>
  <c r="J42" i="3"/>
  <c r="I42" i="3"/>
  <c r="H42" i="3"/>
  <c r="G42" i="3"/>
  <c r="F42" i="3"/>
  <c r="E42" i="3"/>
  <c r="D42" i="3"/>
  <c r="K35" i="3"/>
  <c r="J35" i="3"/>
  <c r="I35" i="3"/>
  <c r="H35" i="3"/>
  <c r="G35" i="3"/>
  <c r="F35" i="3"/>
  <c r="E35" i="3"/>
  <c r="D35" i="3"/>
  <c r="K32" i="3"/>
  <c r="J32" i="3"/>
  <c r="I32" i="3"/>
  <c r="H32" i="3"/>
  <c r="G32" i="3"/>
  <c r="F32" i="3"/>
  <c r="E32" i="3"/>
  <c r="D32" i="3"/>
  <c r="K31" i="3"/>
  <c r="J31" i="3"/>
  <c r="I31" i="3"/>
  <c r="H31" i="3"/>
  <c r="G31" i="3"/>
  <c r="F31" i="3"/>
  <c r="E31" i="3"/>
  <c r="D31" i="3"/>
  <c r="K30" i="3"/>
  <c r="J30" i="3"/>
  <c r="I30" i="3"/>
  <c r="H30" i="3"/>
  <c r="G30" i="3"/>
  <c r="F30" i="3"/>
  <c r="E30" i="3"/>
  <c r="D30" i="3"/>
  <c r="K27" i="3"/>
  <c r="J27" i="3"/>
  <c r="I27" i="3"/>
  <c r="H27" i="3"/>
  <c r="G27" i="3"/>
  <c r="F27" i="3"/>
  <c r="E27" i="3"/>
  <c r="D27" i="3"/>
  <c r="K25" i="3"/>
  <c r="J25" i="3"/>
  <c r="I25" i="3"/>
  <c r="H25" i="3"/>
  <c r="G25" i="3"/>
  <c r="F25" i="3"/>
  <c r="E25" i="3"/>
  <c r="D25" i="3"/>
  <c r="K23" i="3"/>
  <c r="J23" i="3"/>
  <c r="I23" i="3"/>
  <c r="H23" i="3"/>
  <c r="G23" i="3"/>
  <c r="F23" i="3"/>
  <c r="E23" i="3"/>
  <c r="D23" i="3"/>
  <c r="K19" i="3"/>
  <c r="J19" i="3"/>
  <c r="I19" i="3"/>
  <c r="H19" i="3"/>
  <c r="G19" i="3"/>
  <c r="F19" i="3"/>
  <c r="E19" i="3"/>
  <c r="D19"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6" i="3"/>
  <c r="I34" i="3"/>
  <c r="I33" i="3"/>
  <c r="I29" i="3"/>
  <c r="H62" i="3"/>
  <c r="H58" i="3"/>
  <c r="H29" i="3"/>
  <c r="G36" i="3"/>
  <c r="G34" i="3"/>
  <c r="G33" i="3"/>
  <c r="G29" i="3"/>
  <c r="F33" i="3"/>
  <c r="F29" i="3"/>
  <c r="E62" i="3"/>
  <c r="E58" i="3"/>
  <c r="E36" i="3"/>
  <c r="E29" i="3"/>
  <c r="D62" i="3"/>
  <c r="D58" i="3"/>
  <c r="D36" i="3"/>
  <c r="D34" i="3"/>
  <c r="D33" i="3"/>
  <c r="D29" i="3"/>
  <c r="C75" i="3"/>
  <c r="C74" i="3"/>
  <c r="C73" i="3"/>
  <c r="C69" i="3"/>
  <c r="C66" i="3"/>
  <c r="C65" i="3"/>
  <c r="C64" i="3"/>
  <c r="M62" i="3"/>
  <c r="L62" i="3"/>
  <c r="C62" i="3"/>
  <c r="C61" i="3"/>
  <c r="C59" i="3"/>
  <c r="C58" i="3"/>
  <c r="C57" i="3"/>
  <c r="C56" i="3"/>
  <c r="C55" i="3"/>
  <c r="C50" i="3"/>
  <c r="C47" i="3"/>
  <c r="C46" i="3"/>
  <c r="C44" i="3"/>
  <c r="C43" i="3"/>
  <c r="C42" i="3"/>
  <c r="C35" i="3"/>
  <c r="C32" i="3"/>
  <c r="C30" i="3"/>
  <c r="C29" i="3"/>
  <c r="C27" i="3"/>
  <c r="C25" i="3"/>
  <c r="C23" i="3"/>
  <c r="C19" i="3"/>
  <c r="C14" i="3"/>
  <c r="C13" i="3"/>
  <c r="C11" i="3"/>
  <c r="C10" i="3"/>
  <c r="C9" i="3"/>
  <c r="C8" i="3"/>
  <c r="C7" i="3"/>
  <c r="P37" i="3"/>
  <c r="Q37" i="3"/>
  <c r="M33" i="3"/>
  <c r="M37" i="3" s="1"/>
  <c r="L33" i="3"/>
  <c r="L37" i="3" s="1"/>
  <c r="H37" i="3" l="1"/>
  <c r="C37" i="3"/>
  <c r="C63" i="3"/>
  <c r="K37" i="3"/>
  <c r="J37" i="3"/>
  <c r="I37" i="3"/>
  <c r="G37" i="3"/>
  <c r="F37" i="3"/>
  <c r="E37" i="3"/>
  <c r="D37" i="3"/>
  <c r="Q54" i="4" l="1"/>
  <c r="Q6" i="4"/>
  <c r="Q76" i="3"/>
  <c r="Q63" i="3"/>
  <c r="Q52" i="3"/>
  <c r="Q54" i="3" s="1"/>
  <c r="Q24" i="3"/>
  <c r="Q79" i="3" l="1"/>
  <c r="Q80" i="3" s="1"/>
  <c r="Q40" i="3"/>
  <c r="P54" i="4" l="1"/>
  <c r="P6" i="4"/>
  <c r="P33" i="4" s="1"/>
  <c r="P36" i="4" s="1"/>
  <c r="P63" i="3"/>
  <c r="P76" i="3"/>
  <c r="P52" i="3"/>
  <c r="P54" i="3" s="1"/>
  <c r="P24" i="3"/>
  <c r="O76" i="3"/>
  <c r="N76" i="3"/>
  <c r="O63" i="3"/>
  <c r="N63" i="3"/>
  <c r="O24" i="3"/>
  <c r="N24" i="3"/>
  <c r="O54" i="4"/>
  <c r="O6" i="4"/>
  <c r="O33" i="4" s="1"/>
  <c r="O36" i="4" s="1"/>
  <c r="O52" i="3"/>
  <c r="O54" i="3" s="1"/>
  <c r="P79" i="3" l="1"/>
  <c r="P70" i="4"/>
  <c r="P74" i="4" s="1"/>
  <c r="P40" i="3"/>
  <c r="O70" i="4"/>
  <c r="O74" i="4" s="1"/>
  <c r="O79" i="3"/>
  <c r="N54" i="4"/>
  <c r="N6" i="4"/>
  <c r="N52" i="3"/>
  <c r="N54" i="3" s="1"/>
  <c r="P80" i="3" l="1"/>
  <c r="Q33" i="4"/>
  <c r="Q36" i="4" s="1"/>
  <c r="Q70" i="4" s="1"/>
  <c r="Q74" i="4" s="1"/>
  <c r="O80" i="3"/>
  <c r="N79" i="3"/>
  <c r="M54" i="4"/>
  <c r="M6" i="4"/>
  <c r="M76" i="3"/>
  <c r="M63" i="3"/>
  <c r="M52" i="3"/>
  <c r="M54" i="3" s="1"/>
  <c r="M24" i="3"/>
  <c r="N80" i="3" l="1"/>
  <c r="M33" i="4"/>
  <c r="M36" i="4" s="1"/>
  <c r="M70" i="4" s="1"/>
  <c r="M74" i="4" s="1"/>
  <c r="M79" i="3"/>
  <c r="M40" i="3"/>
  <c r="M80" i="3" l="1"/>
  <c r="N33" i="4" l="1"/>
  <c r="E6" i="4"/>
  <c r="D6" i="4"/>
  <c r="C6" i="4"/>
  <c r="I60" i="4"/>
  <c r="I69" i="4" s="1"/>
  <c r="H60" i="4"/>
  <c r="H69" i="4" s="1"/>
  <c r="G60" i="4"/>
  <c r="G69" i="4" s="1"/>
  <c r="F60" i="4"/>
  <c r="F69" i="4" s="1"/>
  <c r="E60" i="4"/>
  <c r="E69" i="4" s="1"/>
  <c r="D60" i="4"/>
  <c r="D69" i="4" s="1"/>
  <c r="N36" i="4" l="1"/>
  <c r="J53" i="3"/>
  <c r="K53" i="3"/>
  <c r="I53" i="3"/>
  <c r="C54" i="4"/>
  <c r="D54" i="4"/>
  <c r="E54" i="4"/>
  <c r="F54" i="4"/>
  <c r="G54" i="4"/>
  <c r="H54" i="4"/>
  <c r="I54" i="4"/>
  <c r="J54" i="4"/>
  <c r="K54" i="4"/>
  <c r="L54" i="4"/>
  <c r="O29" i="3" l="1"/>
  <c r="O37" i="3" s="1"/>
  <c r="N29" i="3"/>
  <c r="N34" i="3"/>
  <c r="N70" i="4"/>
  <c r="L6" i="4"/>
  <c r="L76" i="3"/>
  <c r="L63" i="3"/>
  <c r="L52" i="3"/>
  <c r="L54" i="3" s="1"/>
  <c r="L24" i="3"/>
  <c r="N37" i="3" l="1"/>
  <c r="I52" i="3"/>
  <c r="I54" i="3" s="1"/>
  <c r="E76" i="3"/>
  <c r="D63" i="3"/>
  <c r="J76" i="3"/>
  <c r="H52" i="3"/>
  <c r="H54" i="3" s="1"/>
  <c r="I63" i="3"/>
  <c r="J52" i="3"/>
  <c r="J54" i="3" s="1"/>
  <c r="D76" i="3"/>
  <c r="F76" i="3"/>
  <c r="J63" i="3"/>
  <c r="G52" i="3"/>
  <c r="G54" i="3" s="1"/>
  <c r="E52" i="3"/>
  <c r="E54" i="3" s="1"/>
  <c r="K76" i="3"/>
  <c r="F63" i="3"/>
  <c r="C52" i="3"/>
  <c r="C54" i="3" s="1"/>
  <c r="E63" i="3"/>
  <c r="H76" i="3"/>
  <c r="G76" i="3"/>
  <c r="K63" i="3"/>
  <c r="H63" i="3"/>
  <c r="C76" i="3"/>
  <c r="F52" i="3"/>
  <c r="F54" i="3" s="1"/>
  <c r="K24" i="3"/>
  <c r="I76" i="3"/>
  <c r="G63" i="3"/>
  <c r="D52" i="3"/>
  <c r="D54" i="3" s="1"/>
  <c r="K52" i="3"/>
  <c r="K54" i="3" s="1"/>
  <c r="N74" i="4"/>
  <c r="G24" i="3"/>
  <c r="F24" i="3"/>
  <c r="H24" i="3"/>
  <c r="C24" i="3"/>
  <c r="I24" i="3"/>
  <c r="J24" i="3"/>
  <c r="E24" i="3"/>
  <c r="D24" i="3"/>
  <c r="L40" i="3"/>
  <c r="L79" i="3"/>
  <c r="E79" i="3" l="1"/>
  <c r="E80" i="3" s="1"/>
  <c r="I79" i="3"/>
  <c r="I80" i="3" s="1"/>
  <c r="C79" i="3"/>
  <c r="C80" i="3" s="1"/>
  <c r="K79" i="3"/>
  <c r="K80" i="3" s="1"/>
  <c r="J79" i="3"/>
  <c r="J80" i="3" s="1"/>
  <c r="G40" i="3"/>
  <c r="F79" i="3"/>
  <c r="F80" i="3" s="1"/>
  <c r="D79" i="3"/>
  <c r="D80" i="3" s="1"/>
  <c r="H79" i="3"/>
  <c r="H80" i="3" s="1"/>
  <c r="J40" i="3"/>
  <c r="O40" i="3"/>
  <c r="G79" i="3"/>
  <c r="G80" i="3" s="1"/>
  <c r="H40" i="3"/>
  <c r="N40" i="3"/>
  <c r="E40" i="3"/>
  <c r="D40" i="3"/>
  <c r="L80" i="3"/>
  <c r="C40" i="3"/>
  <c r="F40" i="3"/>
  <c r="K40" i="3"/>
  <c r="I40" i="3"/>
  <c r="L33" i="4" l="1"/>
  <c r="L36" i="4" s="1"/>
  <c r="L70" i="4" s="1"/>
  <c r="L74" i="4" s="1"/>
  <c r="D33" i="4" l="1"/>
  <c r="D36" i="4" s="1"/>
  <c r="D70" i="4" l="1"/>
  <c r="D74" i="4" s="1"/>
  <c r="F6" i="4" l="1"/>
  <c r="F33" i="4" s="1"/>
  <c r="F36" i="4" s="1"/>
  <c r="F70" i="4" s="1"/>
  <c r="F74" i="4" s="1"/>
  <c r="K6" i="4"/>
  <c r="K33" i="4" s="1"/>
  <c r="K36" i="4" s="1"/>
  <c r="K70" i="4" s="1"/>
  <c r="K74" i="4" s="1"/>
  <c r="C33" i="4"/>
  <c r="C36" i="4" s="1"/>
  <c r="C70" i="4" s="1"/>
  <c r="C74" i="4" s="1"/>
  <c r="G6" i="4"/>
  <c r="G33" i="4" s="1"/>
  <c r="G36" i="4" s="1"/>
  <c r="G70" i="4" s="1"/>
  <c r="G74" i="4" s="1"/>
  <c r="H6" i="4"/>
  <c r="H33" i="4" s="1"/>
  <c r="H36" i="4" s="1"/>
  <c r="H70" i="4" s="1"/>
  <c r="H74" i="4" s="1"/>
  <c r="E33" i="4"/>
  <c r="E36" i="4" s="1"/>
  <c r="E70" i="4" s="1"/>
  <c r="E74" i="4" s="1"/>
  <c r="J6" i="4"/>
  <c r="J33" i="4" s="1"/>
  <c r="J36" i="4" s="1"/>
  <c r="J70" i="4" s="1"/>
  <c r="J74" i="4" s="1"/>
  <c r="I6" i="4"/>
  <c r="I33" i="4" s="1"/>
  <c r="I36" i="4" s="1"/>
  <c r="I70" i="4" s="1"/>
  <c r="I74" i="4" s="1"/>
  <c r="AD33" i="4" l="1"/>
  <c r="AD36" i="4" l="1"/>
  <c r="AD70" i="4" l="1"/>
  <c r="AD74" i="4" l="1"/>
  <c r="AL71" i="4" l="1"/>
  <c r="AH71" i="4"/>
  <c r="AK71" i="4"/>
  <c r="AK74" i="4" s="1"/>
  <c r="AJ71" i="4"/>
  <c r="AJ74" i="4" s="1"/>
  <c r="AG71" i="4"/>
  <c r="AG74" i="4" s="1"/>
  <c r="AF71" i="4"/>
  <c r="AF74" i="4" s="1"/>
  <c r="AK31" i="1"/>
  <c r="AK32" i="1" s="1"/>
  <c r="AK35" i="1" s="1"/>
  <c r="AJ32" i="1"/>
  <c r="AJ35" i="1" s="1"/>
  <c r="AH74" i="4" l="1"/>
  <c r="AL74" i="4"/>
  <c r="AM71" i="4" s="1"/>
  <c r="AM74" i="4" s="1"/>
  <c r="AW24" i="5" l="1"/>
  <c r="AW5" i="5" s="1"/>
  <c r="AZ5" i="5" l="1"/>
  <c r="AU33" i="4"/>
  <c r="AU36" i="4" s="1"/>
  <c r="AU70" i="4" l="1"/>
  <c r="AU74" i="4" s="1"/>
  <c r="U16" i="9"/>
  <c r="U6" i="9" l="1"/>
  <c r="BN25" i="1" l="1"/>
  <c r="BP6" i="1"/>
  <c r="BP5" i="1" l="1"/>
  <c r="BN30" i="1"/>
  <c r="BN36" i="1"/>
  <c r="BN32" i="1" l="1"/>
  <c r="BN35" i="1" s="1"/>
  <c r="BO35" i="1" s="1"/>
  <c r="BP25" i="1"/>
  <c r="BN40" i="1"/>
  <c r="BP40" i="1" s="1"/>
  <c r="BQ7" i="7"/>
  <c r="AW5" i="4"/>
  <c r="AW33" i="4" s="1"/>
  <c r="BN37" i="1"/>
  <c r="BQ4" i="7" s="1"/>
  <c r="AV36" i="4"/>
  <c r="BQ5" i="7" l="1"/>
  <c r="BQ6" i="7"/>
  <c r="AW36" i="4"/>
  <c r="AW70" i="4"/>
  <c r="AV70" i="4"/>
  <c r="BP36" i="1"/>
  <c r="BP30" i="1"/>
  <c r="BN41" i="1"/>
  <c r="BP41" i="1"/>
  <c r="AW74" i="4" l="1"/>
  <c r="AV74" i="4"/>
  <c r="BP32" i="1"/>
  <c r="BP37" i="1"/>
  <c r="BS7" i="7" l="1"/>
  <c r="BS6" i="7"/>
  <c r="BS5" i="7"/>
  <c r="AX5" i="4"/>
  <c r="AX33" i="4" l="1"/>
  <c r="AX36" i="4" l="1"/>
  <c r="AX70" i="4" l="1"/>
  <c r="AX74" i="4" l="1"/>
  <c r="BA71" i="4" s="1"/>
  <c r="BA74" i="4" s="1"/>
  <c r="AY71" i="4" l="1"/>
  <c r="AZ71" i="4"/>
  <c r="AZ74" i="4" s="1"/>
  <c r="AY74" i="4"/>
</calcChain>
</file>

<file path=xl/sharedStrings.xml><?xml version="1.0" encoding="utf-8"?>
<sst xmlns="http://schemas.openxmlformats.org/spreadsheetml/2006/main" count="1598" uniqueCount="775">
  <si>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</si>
  <si>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</si>
  <si>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</si>
  <si>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</si>
  <si>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</si>
  <si>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</si>
  <si>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</si>
  <si>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</si>
  <si>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t>2022 (dane wg MSSF 16)</t>
  </si>
  <si>
    <t>2023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</si>
  <si>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</si>
  <si>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</si>
  <si>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</si>
  <si>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</si>
  <si>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</si>
  <si>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</si>
  <si>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2022 (IFRS 16 basis)</t>
  </si>
  <si>
    <t>2023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</si>
  <si>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</si>
  <si>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</si>
  <si>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</si>
  <si>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</si>
  <si>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</si>
  <si>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</si>
  <si>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</si>
  <si>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</si>
  <si>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</si>
  <si>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</si>
  <si>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</si>
  <si>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YTD2022</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</si>
  <si>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</si>
  <si>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</si>
  <si>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</si>
  <si>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</si>
  <si>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</si>
  <si>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</si>
  <si>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</si>
  <si>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</si>
  <si>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</si>
  <si>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</si>
  <si>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</si>
  <si>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</si>
  <si>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</si>
  <si>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</si>
  <si>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</si>
  <si>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</si>
  <si>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</si>
  <si>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</si>
  <si>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</si>
  <si>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</si>
  <si>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</si>
  <si>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</si>
  <si>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</si>
  <si>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</si>
  <si>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</si>
  <si>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</si>
  <si>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</si>
  <si>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</si>
  <si>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Zysk ze sprzedaży jednostki zależnej i stowarzyszonej</t>
  </si>
  <si>
    <t>Gain on disposal of a subsidiary and an associate</t>
  </si>
  <si>
    <t>Pozostałe przychody / (koszty) operacyjne, netto</t>
  </si>
  <si>
    <t>Other operating income / (cost),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</si>
  <si>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</si>
  <si>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</si>
  <si>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</si>
  <si>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</si>
  <si>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</si>
  <si>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</si>
  <si>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</si>
  <si>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</si>
  <si>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</si>
  <si>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</si>
  <si>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</si>
  <si>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</si>
  <si>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</si>
  <si>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</si>
  <si>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</si>
  <si>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</si>
  <si>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</si>
  <si>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</si>
  <si>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</si>
  <si>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</si>
  <si>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</si>
  <si>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</si>
  <si>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</si>
  <si>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</si>
  <si>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</si>
  <si>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t>Koszty związane z COVID (w tym darowizny)</t>
  </si>
  <si>
    <t>Costs related to COVID (including donations)</t>
  </si>
  <si>
    <t>Koszty wsparcia Ukrainy</t>
  </si>
  <si>
    <t>Costs of support for Ukraine</t>
  </si>
  <si>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</si>
  <si>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</si>
  <si>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</si>
  <si>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</si>
  <si>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</si>
  <si>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</si>
  <si>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</si>
  <si>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</si>
  <si>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</si>
  <si>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</si>
  <si>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</si>
  <si>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</si>
  <si>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2018 (dane wg MSR 17,
Grupa Netia konsolidowana od 22 maja 2018 r.)</t>
  </si>
  <si>
    <t>2019 (dane MSSF 16)</t>
  </si>
  <si>
    <t>2018 (IAS 17 basis,
Netia Group consolidated as of May 22, 2018)</t>
  </si>
  <si>
    <t>2019 (IFRS 16 basis)</t>
  </si>
  <si>
    <t>YTD2018</t>
  </si>
  <si>
    <t>YTD2019</t>
  </si>
  <si>
    <t>YTD2020</t>
  </si>
  <si>
    <t>FY2021</t>
  </si>
  <si>
    <t>Przychody ze sprzedaży</t>
  </si>
  <si>
    <t>Revenues</t>
  </si>
  <si>
    <t>Segment usług B2C i B2B</t>
  </si>
  <si>
    <t>B2C &amp; B2B services segment</t>
  </si>
  <si>
    <t>Segment mediowy: TV i online</t>
  </si>
  <si>
    <t>Media segment: TV &amp; online</t>
  </si>
  <si>
    <t xml:space="preserve">Segment nieruchomości </t>
  </si>
  <si>
    <t>Real estate segment</t>
  </si>
  <si>
    <t>wyłączenia i korekty konsolidacyjne</t>
  </si>
  <si>
    <t>consolidation adjustments</t>
  </si>
  <si>
    <t>EBITDA skorygowana (niebadana)</t>
  </si>
  <si>
    <t>EBITDA adjusted (unaudited)</t>
  </si>
  <si>
    <t>Segment nieruchomości</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</si>
  <si>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</si>
  <si>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</si>
  <si>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r>
      <t xml:space="preserve">Zysk ze sprzedaży jednostki zależnej i stowarzyszonej </t>
    </r>
    <r>
      <rPr>
        <vertAlign val="superscript"/>
        <sz val="10"/>
        <color theme="1"/>
        <rFont val="Calibri"/>
        <family val="2"/>
        <charset val="238"/>
        <scheme val="minor"/>
      </rPr>
      <t>2)</t>
    </r>
  </si>
  <si>
    <r>
      <t xml:space="preserve">Gain on disposal of a subsidiary and an associate </t>
    </r>
    <r>
      <rPr>
        <vertAlign val="superscript"/>
        <sz val="10"/>
        <color theme="1"/>
        <rFont val="Calibri"/>
        <family val="2"/>
        <charset val="238"/>
        <scheme val="minor"/>
      </rPr>
      <t>2)</t>
    </r>
  </si>
  <si>
    <t>Costs of supporting Ukraine</t>
  </si>
  <si>
    <t>EBITDA (niebadana)</t>
  </si>
  <si>
    <t>EBITDA (unaudited)</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</si>
  <si>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</si>
  <si>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</si>
  <si>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</si>
  <si>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</si>
  <si>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</si>
  <si>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</si>
  <si>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</si>
  <si>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</si>
  <si>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</si>
  <si>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EBITDA skorygowana nie uwzględnia zysku ze sprzedaży jednostki zależnej i stowarzyszonej</t>
  </si>
  <si>
    <t>2) Adjusted EBITDA excludes the gain on the disposal of a subsidiary and an associate</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</si>
  <si>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</si>
  <si>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</si>
  <si>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</si>
  <si>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</si>
  <si>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</si>
  <si>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</si>
  <si>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</si>
  <si>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</si>
  <si>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</si>
  <si>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</si>
  <si>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</si>
  <si>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</si>
  <si>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</si>
  <si>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</si>
  <si>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</si>
  <si>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</si>
  <si>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</si>
  <si>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</si>
  <si>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</si>
  <si>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</si>
  <si>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</si>
  <si>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</si>
  <si>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</si>
  <si>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</si>
  <si>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</si>
  <si>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</si>
  <si>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</si>
  <si>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</si>
  <si>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</si>
  <si>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</si>
  <si>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</si>
  <si>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</si>
  <si>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</si>
  <si>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</si>
  <si>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</si>
  <si>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</si>
  <si>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</si>
  <si>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</si>
  <si>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</si>
  <si>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 xml:space="preserve">3) </t>
    </r>
  </si>
  <si>
    <r>
      <t xml:space="preserve">Non-current trade receivables </t>
    </r>
    <r>
      <rPr>
        <vertAlign val="superscript"/>
        <sz val="10"/>
        <color theme="1"/>
        <rFont val="Calibri"/>
        <family val="2"/>
        <charset val="238"/>
        <scheme val="minor"/>
      </rPr>
      <t>3)</t>
    </r>
  </si>
  <si>
    <r>
      <t xml:space="preserve">Udzielone pożyczki długoterminowe </t>
    </r>
    <r>
      <rPr>
        <vertAlign val="superscript"/>
        <sz val="10"/>
        <color indexed="8"/>
        <rFont val="Calibri"/>
        <family val="2"/>
        <charset val="238"/>
      </rPr>
      <t>5)</t>
    </r>
  </si>
  <si>
    <r>
      <t xml:space="preserve">Non-current loans granted </t>
    </r>
    <r>
      <rPr>
        <vertAlign val="superscript"/>
        <sz val="10"/>
        <color theme="1"/>
        <rFont val="Calibri"/>
        <family val="2"/>
        <charset val="238"/>
        <scheme val="minor"/>
      </rPr>
      <t>5)</t>
    </r>
  </si>
  <si>
    <r>
      <t xml:space="preserve">Other non-current assets </t>
    </r>
    <r>
      <rPr>
        <vertAlign val="superscript"/>
        <sz val="10"/>
        <color theme="1"/>
        <rFont val="Calibri"/>
        <family val="2"/>
        <charset val="238"/>
        <scheme val="minor"/>
      </rPr>
      <t>3) 5)</t>
    </r>
    <r>
      <rPr>
        <sz val="10"/>
        <color theme="1"/>
        <rFont val="Calibri"/>
        <family val="2"/>
        <charset val="238"/>
        <scheme val="minor"/>
      </rPr>
      <t>, includes:</t>
    </r>
  </si>
  <si>
    <t>shares in associates accounted for using the equity method</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</si>
  <si>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</si>
  <si>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</si>
  <si>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</si>
  <si>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</si>
  <si>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</si>
  <si>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</si>
  <si>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</si>
  <si>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</si>
  <si>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</si>
  <si>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</si>
  <si>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</si>
  <si>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r>
      <t xml:space="preserve">Należności z tytułu dostaw i usług oraz pozostałe należności </t>
    </r>
    <r>
      <rPr>
        <vertAlign val="superscript"/>
        <sz val="10"/>
        <color indexed="8"/>
        <rFont val="Calibri"/>
        <family val="2"/>
        <charset val="238"/>
      </rPr>
      <t>6)</t>
    </r>
  </si>
  <si>
    <t>Trade and other receivables</t>
  </si>
  <si>
    <r>
      <t xml:space="preserve">Pożyczki udzielone </t>
    </r>
    <r>
      <rPr>
        <vertAlign val="superscript"/>
        <sz val="10"/>
        <color indexed="8"/>
        <rFont val="Calibri"/>
        <family val="2"/>
        <charset val="238"/>
      </rPr>
      <t>6)</t>
    </r>
  </si>
  <si>
    <r>
      <t xml:space="preserve">Current loans granted </t>
    </r>
    <r>
      <rPr>
        <vertAlign val="superscript"/>
        <sz val="10"/>
        <color theme="1"/>
        <rFont val="Calibri"/>
        <family val="2"/>
        <charset val="238"/>
        <scheme val="minor"/>
      </rPr>
      <t>6)</t>
    </r>
  </si>
  <si>
    <t>Należności z tytułu podatku dochodowego</t>
  </si>
  <si>
    <t>Income tax receivable</t>
  </si>
  <si>
    <t>Krótkoterminowe prowizje dla dystrybutorów rozliczane w czasie</t>
  </si>
  <si>
    <t>Current deferred distribution fees</t>
  </si>
  <si>
    <t>Other current assets, includes:</t>
  </si>
  <si>
    <t>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</si>
  <si>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</si>
  <si>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</si>
  <si>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</si>
  <si>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</si>
  <si>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</si>
  <si>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</si>
  <si>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</si>
  <si>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</si>
  <si>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Assets held for sale</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</si>
  <si>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</si>
  <si>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</si>
  <si>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</si>
  <si>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</si>
  <si>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</si>
  <si>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</si>
  <si>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</si>
  <si>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</si>
  <si>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</si>
  <si>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</si>
  <si>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</si>
  <si>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</si>
  <si>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</si>
  <si>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</si>
  <si>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</si>
  <si>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</si>
  <si>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adjustment</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</si>
  <si>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</si>
  <si>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</si>
  <si>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</si>
  <si>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</si>
  <si>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</si>
  <si>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</si>
  <si>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</si>
  <si>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</si>
  <si>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</si>
  <si>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</si>
  <si>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</si>
  <si>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</si>
  <si>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</si>
  <si>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</si>
  <si>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</si>
  <si>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</si>
  <si>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</si>
  <si>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</si>
  <si>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</si>
  <si>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</si>
  <si>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</si>
  <si>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</si>
  <si>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</si>
  <si>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</si>
  <si>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</si>
  <si>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 xml:space="preserve">Other non-current liabilities and provisions, includes: </t>
  </si>
  <si>
    <t>derivative instruments liabilities</t>
  </si>
  <si>
    <t>Zobowiązania długoterminowe razem</t>
  </si>
  <si>
    <t xml:space="preserve">Total non-current liabilities </t>
  </si>
  <si>
    <t xml:space="preserve">Zobowiązania z tytułu leasingu </t>
  </si>
  <si>
    <t>-</t>
  </si>
  <si>
    <t>Zobowiązania z tytułu kontraktów</t>
  </si>
  <si>
    <t>Contract liabilities</t>
  </si>
  <si>
    <t>Trade and other payables, includes:</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</si>
  <si>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</si>
  <si>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</si>
  <si>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</si>
  <si>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</si>
  <si>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</si>
  <si>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</si>
  <si>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</si>
  <si>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</si>
  <si>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</si>
  <si>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</si>
  <si>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</si>
  <si>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</si>
  <si>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 includes:</t>
  </si>
  <si>
    <t>w tym zobowiązania z tytułu leasingu</t>
  </si>
  <si>
    <t>lease liabilities</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</si>
  <si>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</si>
  <si>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</si>
  <si>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</si>
  <si>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</si>
  <si>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</si>
  <si>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wydany sprzęt" została ujęta w pozycji "Zobowiązania z tytułu dostaw i usług oraz pozostałe zobowiązania".</t>
  </si>
  <si>
    <t>2) From June 30, 2015 the item "Deposits for equipment" is accounted for in the item "Trade and other payables"</t>
  </si>
  <si>
    <t>3) Na 31 grudnia 2019 roku Spółka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</si>
  <si>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separately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</si>
  <si>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</si>
  <si>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</si>
  <si>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 xml:space="preserve">5) Spółka wydzieliła na dzień 31 grudnia 2022 roku pozycję "Udzielone pożyczki długoterminowe" z pozycji "Inne aktywa długoterminowe". Dane na 31 grudnia 2021 zostały przekształcone w celu uzgodnienia prezentacji. </t>
  </si>
  <si>
    <t>5) As at December 31, 2022, the Company changed the presentation of the item "Other non-current assets" by reclassifying and separately presenting the item "Non-current loans granted". Data as of December 31, 2021 have been restated.</t>
  </si>
  <si>
    <t xml:space="preserve">6) Spółka wydzieliła na dzień 31 grudnia 2022 roku pozycję "Udzielone pożyczki" z pozycji "Należności z tytułu dostaw i usług oraz pozostałe należności". Dane na 31 grudnia 2021 zostały przekształcone w celu uzgodnienia prezentacji. </t>
  </si>
  <si>
    <t>6) As at December 31, 2022, the Company changed the presentation of the item "Trade and other receivables" by reclassifying and separately presenting the item "Loans granted". Data as of December 31, 2021 have been restated.</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</si>
  <si>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</si>
  <si>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</si>
  <si>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</si>
  <si>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</si>
  <si>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</si>
  <si>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</si>
  <si>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</si>
  <si>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</si>
  <si>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</si>
  <si>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</si>
  <si>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</si>
  <si>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</si>
  <si>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</si>
  <si>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</si>
  <si>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</si>
  <si>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</si>
  <si>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</si>
  <si>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</si>
  <si>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</si>
  <si>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</si>
  <si>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</si>
  <si>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</si>
  <si>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</si>
  <si>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</si>
  <si>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</si>
  <si>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</si>
  <si>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</si>
  <si>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</si>
  <si>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</si>
  <si>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</si>
  <si>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</si>
  <si>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</si>
  <si>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</si>
  <si>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</si>
  <si>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</si>
  <si>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</si>
  <si>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</si>
  <si>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</si>
  <si>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</si>
  <si>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</si>
  <si>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</si>
  <si>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</si>
  <si>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</si>
  <si>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</si>
  <si>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</si>
  <si>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</si>
  <si>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</si>
  <si>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</si>
  <si>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</si>
  <si>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</si>
  <si>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</si>
  <si>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</si>
  <si>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</si>
  <si>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Premium for early redemption of bonds</t>
  </si>
  <si>
    <t>Jednorazowy przychód wynikający z modyfikacji przepływów pieniężnych w wyniku konwersji obligacji</t>
  </si>
  <si>
    <t>Cumulative catch-up</t>
  </si>
  <si>
    <t>(Zysk) / strata na instrumentach pochodnych, netto</t>
  </si>
  <si>
    <t>Net (gain)/loss on derivatives</t>
  </si>
  <si>
    <t>Zysk ze sprzedaży udziałów/akcji w jednostce zależnej/stowarzyszonej</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</si>
  <si>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</si>
  <si>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</si>
  <si>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</si>
  <si>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</si>
  <si>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</si>
  <si>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</si>
  <si>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</si>
  <si>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</si>
  <si>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</si>
  <si>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</si>
  <si>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</si>
  <si>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</si>
  <si>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</si>
  <si>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</si>
  <si>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</si>
  <si>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</si>
  <si>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</si>
  <si>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</si>
  <si>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</si>
  <si>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</si>
  <si>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</si>
  <si>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t>
  </si>
  <si>
    <t>Nabycie udziałów w jednostkach zależnych pomniejszone o przejęte środki pieniężne</t>
  </si>
  <si>
    <t>Acquisition of subsidiaries, net of cash acquired</t>
  </si>
  <si>
    <t>Podwyższenie kapitału w jednostce stowarzyszonej</t>
  </si>
  <si>
    <t>Capital increase in an associate</t>
  </si>
  <si>
    <t>Wpływy ze zbycia udziałów/akcji w jednostce zależnej/stowarzyszonej</t>
  </si>
  <si>
    <t>Proceeds from disposal of a subsidiary and an associate</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</si>
  <si>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</si>
  <si>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</si>
  <si>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</si>
  <si>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</si>
  <si>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</si>
  <si>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</si>
  <si>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</si>
  <si>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</si>
  <si>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</si>
  <si>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</si>
  <si>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</si>
  <si>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</si>
  <si>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</si>
  <si>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</si>
  <si>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</si>
  <si>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</si>
  <si>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Inne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</si>
  <si>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</si>
  <si>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</si>
  <si>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</si>
  <si>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</si>
  <si>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</si>
  <si>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 i pożyczek</t>
  </si>
  <si>
    <t>Loans and borrowings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</si>
  <si>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</si>
  <si>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</si>
  <si>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</si>
  <si>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</si>
  <si>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</si>
  <si>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</si>
  <si>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</si>
  <si>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</si>
  <si>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</si>
  <si>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</si>
  <si>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</si>
  <si>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</si>
  <si>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</si>
  <si>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 Jednostki Dominującej</t>
  </si>
  <si>
    <t>Dividend payment of the Parent Company</t>
  </si>
  <si>
    <t>Nabycie akcji własnych</t>
  </si>
  <si>
    <t>Acquisition of treasury shares</t>
  </si>
  <si>
    <t>Wykup obligacji wyemitowanych przez Midas</t>
  </si>
  <si>
    <t>Acquisition of bonds issued by Midas</t>
  </si>
  <si>
    <r>
      <t>Inne wypływy</t>
    </r>
    <r>
      <rPr>
        <vertAlign val="superscript"/>
        <sz val="10"/>
        <color indexed="8"/>
        <rFont val="Calibri"/>
        <family val="2"/>
        <charset val="238"/>
      </rPr>
      <t>3)</t>
    </r>
  </si>
  <si>
    <r>
      <t>Other outflows</t>
    </r>
    <r>
      <rPr>
        <vertAlign val="superscript"/>
        <sz val="10"/>
        <color indexed="8"/>
        <rFont val="Calibri"/>
        <family val="2"/>
        <charset val="238"/>
      </rPr>
      <t>(3)</t>
    </r>
  </si>
  <si>
    <r>
      <t xml:space="preserve">Wpływy/(wypływy) z tytułu realizacji instrumentów pochodnych </t>
    </r>
    <r>
      <rPr>
        <vertAlign val="superscript"/>
        <sz val="10"/>
        <color indexed="8"/>
        <rFont val="Calibri"/>
        <family val="2"/>
        <charset val="238"/>
      </rPr>
      <t>8)</t>
    </r>
  </si>
  <si>
    <r>
      <t xml:space="preserve">Hedging instrument effect </t>
    </r>
    <r>
      <rPr>
        <vertAlign val="superscript"/>
        <sz val="10"/>
        <color indexed="8"/>
        <rFont val="Calibri"/>
        <family val="2"/>
        <charset val="238"/>
      </rPr>
      <t>8)</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</si>
  <si>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</si>
  <si>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</si>
  <si>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</si>
  <si>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</si>
  <si>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</si>
  <si>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</si>
  <si>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</si>
  <si>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</si>
  <si>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</si>
  <si>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</si>
  <si>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</si>
  <si>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</si>
  <si>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</si>
  <si>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</si>
  <si>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premie za wcześniejszą spłatę obligacji oraz zapłatę za koszty związane z pozyskaniem finansowania. Do końca 2019 roku pozycja obejmowała wpływ instrumentów IRS/CIRS/forward.</t>
  </si>
  <si>
    <t>1) Includes premium paid for early bonds’ repayment and amount paid for costs related to new financing. Until the end of 2019 this item included the impact of hedging instruments.</t>
  </si>
  <si>
    <t xml:space="preserve">2) Pozycja została połączona z pozycją "Inne korekty". </t>
  </si>
  <si>
    <t xml:space="preserve">2) Item joined with item "Other adjustments". </t>
  </si>
  <si>
    <t>3) Pozycja obejmowła spłatę zobowiązań z tytułu leasingu finansowego do końca 2018 r. W latach 2020-2021 pozycja obejmowała wpływ instrumentów IRS/CIRS/forward.</t>
  </si>
  <si>
    <t>3) Item included Finance lease – principal repayments until the end of 2018. In the years 2020-2021 this item included the impact of hedging instrument.</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</si>
  <si>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</si>
  <si>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</si>
  <si>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</si>
  <si>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</si>
  <si>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</si>
  <si>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</si>
  <si>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</si>
  <si>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</si>
  <si>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</si>
  <si>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8) Pozycja wydzielona z "Inne wypływy" w Q1'2022.</t>
  </si>
  <si>
    <t>8) Item seperated from "Other outflows" in Q1'2022.</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</si>
  <si>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</si>
  <si>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</si>
  <si>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</si>
  <si>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</si>
  <si>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</si>
  <si>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</si>
  <si>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</si>
  <si>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</si>
  <si>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</si>
  <si>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</si>
  <si>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</si>
  <si>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</si>
  <si>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</si>
  <si>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</si>
  <si>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</si>
  <si>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</si>
  <si>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</si>
  <si>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</si>
  <si>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</si>
  <si>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</si>
  <si>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</si>
  <si>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</si>
  <si>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</si>
  <si>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</si>
  <si>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</si>
  <si>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</si>
  <si>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</si>
  <si>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</si>
  <si>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</si>
  <si>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</si>
  <si>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</si>
  <si>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</si>
  <si>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</si>
  <si>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</si>
  <si>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</si>
  <si>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</si>
  <si>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</si>
  <si>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</si>
  <si>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</si>
  <si>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</si>
  <si>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</si>
  <si>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</si>
  <si>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</si>
  <si>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</si>
  <si>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</si>
  <si>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</si>
  <si>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</si>
  <si>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</si>
  <si>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</si>
  <si>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</si>
  <si>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</si>
  <si>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</si>
  <si>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</si>
  <si>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</si>
  <si>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Q1'22
</t>
    </r>
    <r>
      <rPr>
        <i/>
        <sz val="10"/>
        <color theme="0"/>
        <rFont val="Calibri"/>
        <family val="2"/>
        <charset val="238"/>
      </rPr>
      <t>(dane wg MSSF 16)</t>
    </r>
  </si>
  <si>
    <r>
      <t xml:space="preserve">Q2'22
</t>
    </r>
    <r>
      <rPr>
        <i/>
        <sz val="10"/>
        <color theme="0"/>
        <rFont val="Calibri"/>
        <family val="2"/>
        <charset val="238"/>
      </rPr>
      <t>(dane wg MSSF 16)</t>
    </r>
  </si>
  <si>
    <r>
      <t xml:space="preserve">Q3'22
</t>
    </r>
    <r>
      <rPr>
        <i/>
        <sz val="10"/>
        <color theme="0"/>
        <rFont val="Calibri"/>
        <family val="2"/>
        <charset val="238"/>
      </rPr>
      <t>(dane wg MSSF 16)</t>
    </r>
  </si>
  <si>
    <r>
      <t xml:space="preserve">Q4'22
</t>
    </r>
    <r>
      <rPr>
        <i/>
        <sz val="10"/>
        <color theme="0"/>
        <rFont val="Calibri"/>
        <family val="2"/>
        <charset val="238"/>
      </rPr>
      <t>(dane wg MSSF 16)</t>
    </r>
  </si>
  <si>
    <r>
      <t xml:space="preserve">2022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</si>
  <si>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</si>
  <si>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</si>
  <si>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</si>
  <si>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</si>
  <si>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</si>
  <si>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</si>
  <si>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</si>
  <si>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</si>
  <si>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</si>
  <si>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</si>
  <si>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</si>
  <si>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</si>
  <si>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</si>
  <si>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</si>
  <si>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</si>
  <si>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</si>
  <si>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</si>
  <si>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</si>
  <si>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</si>
  <si>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</si>
  <si>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</si>
  <si>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</si>
  <si>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</si>
  <si>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</si>
  <si>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</si>
  <si>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 xml:space="preserve">Q1'22
</t>
    </r>
    <r>
      <rPr>
        <i/>
        <sz val="10"/>
        <color theme="0"/>
        <rFont val="Calibri"/>
        <family val="2"/>
        <charset val="238"/>
      </rPr>
      <t>(IFRS 16 basis)</t>
    </r>
  </si>
  <si>
    <r>
      <t xml:space="preserve">Q2'22
</t>
    </r>
    <r>
      <rPr>
        <i/>
        <sz val="10"/>
        <color theme="0"/>
        <rFont val="Calibri"/>
        <family val="2"/>
        <charset val="238"/>
      </rPr>
      <t>(IFRS 16 basis)</t>
    </r>
  </si>
  <si>
    <r>
      <t xml:space="preserve">Q3'22
</t>
    </r>
    <r>
      <rPr>
        <i/>
        <sz val="10"/>
        <color theme="0"/>
        <rFont val="Calibri"/>
        <family val="2"/>
        <charset val="238"/>
      </rPr>
      <t>(IFRS 16 basis)</t>
    </r>
  </si>
  <si>
    <r>
      <t xml:space="preserve">Q4'22
</t>
    </r>
    <r>
      <rPr>
        <i/>
        <sz val="10"/>
        <color theme="0"/>
        <rFont val="Calibri"/>
        <family val="2"/>
        <charset val="238"/>
      </rPr>
      <t>(IFRS 16 basis)</t>
    </r>
  </si>
  <si>
    <r>
      <t xml:space="preserve">2022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</si>
  <si>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</si>
  <si>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</si>
  <si>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</si>
  <si>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</si>
  <si>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</si>
  <si>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</si>
  <si>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</si>
  <si>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</si>
  <si>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</si>
  <si>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</si>
  <si>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</si>
  <si>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</si>
  <si>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</si>
  <si>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</si>
  <si>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</si>
  <si>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</si>
  <si>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</si>
  <si>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</si>
  <si>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</si>
  <si>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</si>
  <si>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</si>
  <si>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</si>
  <si>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</si>
  <si>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</si>
  <si>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</si>
  <si>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</si>
  <si>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</si>
  <si>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</si>
  <si>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</si>
  <si>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</si>
  <si>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</si>
  <si>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</si>
  <si>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</si>
  <si>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</si>
  <si>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</si>
  <si>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</si>
  <si>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</si>
  <si>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</si>
  <si>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</si>
  <si>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</si>
  <si>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</si>
  <si>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</si>
  <si>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</si>
  <si>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</si>
  <si>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</si>
  <si>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</si>
  <si>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</si>
  <si>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</si>
  <si>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</si>
  <si>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</si>
  <si>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</si>
  <si>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</si>
  <si>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</si>
  <si>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</si>
  <si>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</si>
  <si>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</si>
  <si>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</si>
  <si>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</si>
  <si>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</si>
  <si>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</si>
  <si>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</si>
  <si>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</si>
  <si>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</si>
  <si>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</si>
  <si>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</si>
  <si>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</si>
  <si>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</si>
  <si>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</si>
  <si>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</si>
  <si>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</si>
  <si>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</si>
  <si>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</si>
  <si>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</si>
  <si>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</si>
  <si>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</si>
  <si>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</si>
  <si>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</si>
  <si>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</si>
  <si>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</si>
  <si>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</si>
  <si>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</si>
  <si>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</si>
  <si>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</si>
  <si>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</si>
  <si>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</si>
  <si>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</si>
  <si>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t>YTD 2022</t>
  </si>
  <si>
    <t>YTD 2023</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</si>
  <si>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</si>
  <si>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</si>
  <si>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</si>
  <si>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</si>
  <si>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</si>
  <si>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</si>
  <si>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</si>
  <si>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</si>
  <si>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r>
      <t>Grupa Warner Bros.Discovery</t>
    </r>
    <r>
      <rPr>
        <vertAlign val="superscript"/>
        <sz val="11"/>
        <color rgb="FF000000"/>
        <rFont val="Calibri"/>
        <family val="2"/>
        <charset val="238"/>
        <scheme val="minor"/>
      </rPr>
      <t>(6)</t>
    </r>
  </si>
  <si>
    <r>
      <t>Warner Bros.Discovery Group</t>
    </r>
    <r>
      <rPr>
        <vertAlign val="superscript"/>
        <sz val="11"/>
        <color rgb="FF000000"/>
        <rFont val="Calibri"/>
        <family val="2"/>
        <charset val="238"/>
        <scheme val="minor"/>
      </rPr>
      <t>(6)</t>
    </r>
  </si>
  <si>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</si>
  <si>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</si>
  <si>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</si>
  <si>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</si>
  <si>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</si>
  <si>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</si>
  <si>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</si>
  <si>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</si>
  <si>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</si>
  <si>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</si>
  <si>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</si>
  <si>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</si>
  <si>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</si>
  <si>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</si>
  <si>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</si>
  <si>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</si>
  <si>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</si>
  <si>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</si>
  <si>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</si>
  <si>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</si>
  <si>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</si>
  <si>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</si>
  <si>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</si>
  <si>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</si>
  <si>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</si>
  <si>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</si>
  <si>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</si>
  <si>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</si>
  <si>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</si>
  <si>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</si>
  <si>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t>YTD 20223</t>
  </si>
  <si>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</si>
  <si>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</si>
  <si>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t xml:space="preserve">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od stycznia 2021 r. udział w oglądalności w grupie wszyscy 16-59 lat
(2) Publicis Groupe, reklama spotowa i sponsoring (uwaga: dane mogą podlegać korektom wstecznym)
(3) Przychody z reklamy i sponsoringu Grupy Telewizji Polsat wg definicji Publicis Groupe
(4) Szacunki własne na podstawie danych Publicis Groupe
(5) dane za 2018, 2019 i H1'20 dla Grupy Cyfrowy Polsat
(6) Grupa powstała 8 kwietnia 2022 r. w wyniku fuzji spółek WarnerMedia i Discovery, dane sprzed tego okresu dotyczą kanałów należących do Grupy Discovery </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</si>
  <si>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starting from January 2021 16‐59 age group.
(2) Publicis Groupe, spot advertising and sponsorship (note: data may be subject to retrospective correction)
(3)  Revenue from advertising and sponsorship of TV Polsat Group according to Publicis Groupe definition 
(4) Own estimates based on Publicis Groupe data 
(5) data for 2018, 2019 and H1'20 for Cyfrowy Polsat
(6) The group was established on April 8, 2022 as a result of the merger of WarnerMedia and Discovery, data before that period refer to channels belonging to Discovery Group</t>
  </si>
  <si>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</si>
  <si>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</si>
  <si>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</si>
  <si>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</si>
  <si>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</si>
  <si>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</si>
  <si>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</si>
  <si>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</si>
  <si>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</si>
  <si>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</si>
  <si>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</si>
  <si>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</si>
  <si>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</si>
  <si>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</si>
  <si>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</si>
  <si>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</si>
  <si>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</si>
  <si>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</si>
  <si>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</si>
  <si>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</si>
  <si>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</si>
  <si>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</si>
  <si>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</si>
  <si>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</si>
  <si>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</si>
  <si>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</si>
  <si>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</si>
  <si>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</si>
  <si>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</si>
  <si>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</si>
  <si>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</si>
  <si>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</si>
  <si>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</si>
  <si>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</si>
  <si>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</si>
  <si>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</si>
  <si>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</si>
  <si>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</si>
  <si>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</si>
  <si>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</si>
  <si>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</si>
  <si>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</si>
  <si>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</si>
  <si>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</si>
  <si>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</si>
  <si>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t>Efekt jednorazowej spłaty kredytów</t>
  </si>
  <si>
    <t>Przychody ze sprzedaży energii</t>
  </si>
  <si>
    <t>Koszt własny sprzedanej energii</t>
  </si>
  <si>
    <t>w tym amortyzacja</t>
  </si>
  <si>
    <t>Segment zielonej energii</t>
  </si>
  <si>
    <t>Green energy segment</t>
  </si>
  <si>
    <t>akcje/udziały w pozostałych jednostkach wyceniane do wartości godziwej</t>
  </si>
  <si>
    <t>Cost of energy sold</t>
  </si>
  <si>
    <t>of which amortisation</t>
  </si>
  <si>
    <t>Biomasa</t>
  </si>
  <si>
    <t>Fotowoltaika</t>
  </si>
  <si>
    <t>Średnia cena sprzedaży wyprodukowanej energii [PLN/MWh]</t>
  </si>
  <si>
    <t>YTD2023</t>
  </si>
  <si>
    <t>Biomass</t>
  </si>
  <si>
    <t>Photovoltaics</t>
  </si>
  <si>
    <t>Wind farms onshore</t>
  </si>
  <si>
    <t>Farmy wiatrowe na lądzie</t>
  </si>
  <si>
    <t>Average selling price of energy produced [PLN/MWh]</t>
  </si>
  <si>
    <t>Produkcja całkowita energii elektrycznej [GWh]</t>
  </si>
  <si>
    <t>Total electricity generation [GWh]</t>
  </si>
  <si>
    <r>
      <t xml:space="preserve">Q1'23
</t>
    </r>
    <r>
      <rPr>
        <i/>
        <sz val="10"/>
        <color theme="0"/>
        <rFont val="Calibri"/>
        <family val="2"/>
        <charset val="238"/>
      </rPr>
      <t>(dane wg MSSF 16)</t>
    </r>
  </si>
  <si>
    <r>
      <t xml:space="preserve">Q2'23
</t>
    </r>
    <r>
      <rPr>
        <i/>
        <sz val="10"/>
        <color theme="0"/>
        <rFont val="Calibri"/>
        <family val="2"/>
        <charset val="238"/>
      </rPr>
      <t>(dane wg MSSF 16)</t>
    </r>
  </si>
  <si>
    <r>
      <t xml:space="preserve">Q3'23
</t>
    </r>
    <r>
      <rPr>
        <i/>
        <sz val="10"/>
        <color theme="0"/>
        <rFont val="Calibri"/>
        <family val="2"/>
        <charset val="238"/>
      </rPr>
      <t>(dane wg MSSF 16)</t>
    </r>
  </si>
  <si>
    <r>
      <t xml:space="preserve">Q1'23
</t>
    </r>
    <r>
      <rPr>
        <i/>
        <sz val="10"/>
        <color theme="0"/>
        <rFont val="Calibri"/>
        <family val="2"/>
        <charset val="238"/>
      </rPr>
      <t>(IFRS 16 basis)</t>
    </r>
  </si>
  <si>
    <r>
      <t xml:space="preserve">Q2'23
</t>
    </r>
    <r>
      <rPr>
        <i/>
        <sz val="10"/>
        <color theme="0"/>
        <rFont val="Calibri"/>
        <family val="2"/>
        <charset val="238"/>
      </rPr>
      <t>(IFRS 16 basis)</t>
    </r>
  </si>
  <si>
    <r>
      <t xml:space="preserve">Q3'23
</t>
    </r>
    <r>
      <rPr>
        <i/>
        <sz val="10"/>
        <color theme="0"/>
        <rFont val="Calibri"/>
        <family val="2"/>
        <charset val="238"/>
      </rPr>
      <t>(IFRS 16 basis)</t>
    </r>
  </si>
  <si>
    <t>Energy revenue</t>
  </si>
  <si>
    <t>shares in associates valued in fair value</t>
  </si>
  <si>
    <r>
      <t xml:space="preserve">Q4'23
</t>
    </r>
    <r>
      <rPr>
        <i/>
        <sz val="10"/>
        <color theme="0"/>
        <rFont val="Calibri"/>
        <family val="2"/>
        <charset val="238"/>
      </rPr>
      <t>(dane wg MSSF 16)</t>
    </r>
  </si>
  <si>
    <r>
      <t xml:space="preserve">Q4'23
</t>
    </r>
    <r>
      <rPr>
        <i/>
        <sz val="10"/>
        <color theme="0"/>
        <rFont val="Calibri"/>
        <family val="2"/>
        <charset val="238"/>
      </rPr>
      <t>(IFRS 16 basis)</t>
    </r>
  </si>
  <si>
    <t>7) Od 31 grudnia 2023 roku pozycja "Zestawy odbiorcze" została ujęta w pozycji "Inne rzeczowe aktywa trwałe".</t>
  </si>
  <si>
    <t>7) As at December 31, 2023 the item "Reception equipment" is accounted for in the item "Other property, plant and equipment"</t>
  </si>
  <si>
    <r>
      <t>Reception equipment</t>
    </r>
    <r>
      <rPr>
        <vertAlign val="superscript"/>
        <sz val="10"/>
        <color theme="1"/>
        <rFont val="Calibri"/>
        <family val="2"/>
        <charset val="238"/>
        <scheme val="minor"/>
      </rPr>
      <t>7)</t>
    </r>
  </si>
  <si>
    <r>
      <t>Zestawy odbiorcze</t>
    </r>
    <r>
      <rPr>
        <vertAlign val="superscript"/>
        <sz val="10"/>
        <color indexed="8"/>
        <rFont val="Calibri"/>
        <family val="2"/>
        <charset val="238"/>
      </rPr>
      <t>7)</t>
    </r>
  </si>
  <si>
    <r>
      <t xml:space="preserve">Inne aktywa długoterminowe, w tym: </t>
    </r>
    <r>
      <rPr>
        <vertAlign val="superscript"/>
        <sz val="10"/>
        <color indexed="8"/>
        <rFont val="Calibri"/>
        <family val="2"/>
        <charset val="238"/>
      </rPr>
      <t>3) 5)</t>
    </r>
  </si>
  <si>
    <t>udziały w jednostkach stowarzyszonych i wspólnych przedsięwzięciach wycenianych metodą praw własności</t>
  </si>
  <si>
    <t>aktywa z tytułu instrumentów pochodnych</t>
  </si>
  <si>
    <t>Pozostałe aktywa obrotowe, w tym</t>
  </si>
  <si>
    <t>Aktywa przeznaczone do sprzedaży, w tym:</t>
  </si>
  <si>
    <t>środki pieniężne i ich ekwiwalenty</t>
  </si>
  <si>
    <t>Inne długoterminowe zobowiązania i rezerwy, w tym:</t>
  </si>
  <si>
    <t>zobowiązania z tytułu instrumentów pochodnych</t>
  </si>
  <si>
    <t>Zobowiązania z tytułu dostaw i usług oraz pozostałe zobowiązania, w tym:</t>
  </si>
  <si>
    <r>
      <t xml:space="preserve">2023
</t>
    </r>
    <r>
      <rPr>
        <i/>
        <sz val="10"/>
        <color theme="0"/>
        <rFont val="Calibri"/>
        <family val="2"/>
        <charset val="238"/>
      </rPr>
      <t>(dane wg MSSF 16)</t>
    </r>
  </si>
  <si>
    <t>Zmiana stanu zobowiązań z tytułu kontraktów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</si>
</sst>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3">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 numFmtId="218" formatCode="#,##0.0\ ;\(#,##0\);\-"/>
    <numFmt numFmtId="219" formatCode="#,##0.0_ ;\-#,##0.0\ "/>
    <numFmt numFmtId="220" formatCode="0.0000"/>
    <numFmt numFmtId="221" formatCode="#,##0.0;\(#,##0.0\);0.0"/>
    <numFmt numFmtId="222" formatCode="#,##0.00_ ;\-#,##0.00\ "/>
    <numFmt numFmtId="223" formatCode="#,##0;\(#,##0\);\-"/>
  </numFmts>
  <fonts count="24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1"/>
      <color rgb="FF172B4D"/>
      <name val="Segoe UI"/>
      <family val="2"/>
      <charset val="238"/>
    </font>
    <font>
      <i/>
      <sz val="10"/>
      <name val="Calibri"/>
      <family val="2"/>
      <charset val="238"/>
    </font>
    <font>
      <sz val="10"/>
      <color rgb="FF000000"/>
      <name val="Calibri"/>
      <family val="2"/>
      <charset val="238"/>
    </font>
    <font>
      <i/>
      <sz val="10"/>
      <color rgb="FF000000"/>
      <name val="Calibri"/>
      <family val="2"/>
      <charset val="238"/>
    </font>
    <font>
      <sz val="9"/>
      <name val="Arial"/>
      <family val="2"/>
      <charset val="238"/>
    </font>
    <font>
      <sz val="10"/>
      <color rgb="FFFF0000"/>
      <name val="Czcionka tekstu podstawowego"/>
      <family val="2"/>
      <charset val="238"/>
    </font>
    <font>
      <b/>
      <sz val="22"/>
      <color indexed="8"/>
      <name val="Calibri"/>
      <family val="2"/>
      <charset val="238"/>
    </font>
    <font>
      <i/>
      <sz val="10"/>
      <name val="Calibri"/>
      <family val="2"/>
      <charset val="238"/>
      <scheme val="minor"/>
    </font>
    <font>
      <b/>
      <sz val="9"/>
      <color rgb="FFFF0000"/>
      <name val="Calibri"/>
      <family val="2"/>
      <charset val="238"/>
    </font>
    <font>
      <i/>
      <sz val="9"/>
      <name val="Calibri"/>
      <family val="2"/>
      <charset val="238"/>
    </font>
    <font>
      <i/>
      <sz val="10"/>
      <color indexed="8"/>
      <name val="Calibri"/>
      <family val="2"/>
      <charset val="238"/>
      <scheme val="minor"/>
    </font>
    <font>
      <b/>
      <i/>
      <sz val="10"/>
      <name val="Calibri"/>
      <family val="2"/>
      <charset val="238"/>
    </font>
    <font>
      <b/>
      <i/>
      <sz val="10"/>
      <color theme="1"/>
      <name val="Calibri"/>
      <family val="2"/>
      <charset val="238"/>
    </font>
    <font>
      <b/>
      <sz val="14"/>
      <color theme="0"/>
      <name val="Calibri"/>
      <family val="2"/>
      <charset val="238"/>
    </font>
    <font>
      <b/>
      <sz val="9"/>
      <color rgb="FF000000"/>
      <name val="Arial"/>
      <family val="2"/>
      <charset val="238"/>
    </font>
    <font>
      <sz val="9"/>
      <color rgb="FFFF0000"/>
      <name val="Arial"/>
      <family val="2"/>
      <charset val="238"/>
    </font>
    <font>
      <b/>
      <sz val="11"/>
      <color rgb="FFFF0000"/>
      <name val="Calibri"/>
      <family val="2"/>
      <charset val="238"/>
      <scheme val="minor"/>
    </font>
    <font>
      <sz val="8"/>
      <color theme="1"/>
      <name val="Times New Roman"/>
      <family val="1"/>
      <charset val="238"/>
    </font>
    <font>
      <sz val="10"/>
      <color rgb="FFFF0000"/>
      <name val="Calibri"/>
      <family val="2"/>
      <charset val="238"/>
      <scheme val="minor"/>
    </font>
  </fonts>
  <fills count="89">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gray125">
        <fgColor theme="0" tint="-0.14996795556505021"/>
        <bgColor rgb="FF03ACE5"/>
      </patternFill>
    </fill>
    <fill>
      <patternFill patternType="gray125">
        <fgColor rgb="FF03ACE5"/>
        <bgColor rgb="FF2E83BF"/>
      </patternFill>
    </fill>
  </fills>
  <borders count="148">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thin">
        <color rgb="FF03ACE5"/>
      </top>
      <bottom style="thin">
        <color rgb="FF03ACE5"/>
      </bottom>
      <diagonal/>
    </border>
    <border>
      <left style="medium">
        <color indexed="64"/>
      </left>
      <right/>
      <top style="thin">
        <color rgb="FF03ACE5"/>
      </top>
      <bottom style="thin">
        <color rgb="FF03ACE5"/>
      </bottom>
      <diagonal/>
    </border>
    <border>
      <left/>
      <right/>
      <top style="thin">
        <color rgb="FF03ACE5"/>
      </top>
      <bottom style="thin">
        <color rgb="FF03ACE5"/>
      </bottom>
      <diagonal/>
    </border>
    <border>
      <left/>
      <right style="medium">
        <color indexed="64"/>
      </right>
      <top style="thin">
        <color rgb="FF03ACE5"/>
      </top>
      <bottom style="thin">
        <color rgb="FF03ACE5"/>
      </bottom>
      <diagonal/>
    </border>
    <border>
      <left/>
      <right style="medium">
        <color rgb="FF03ACE5"/>
      </right>
      <top style="medium">
        <color rgb="FF03ACE5"/>
      </top>
      <bottom/>
      <diagonal/>
    </border>
    <border>
      <left/>
      <right/>
      <top style="medium">
        <color rgb="FF03ACE5"/>
      </top>
      <bottom/>
      <diagonal/>
    </border>
    <border>
      <left style="medium">
        <color indexed="64"/>
      </left>
      <right style="medium">
        <color indexed="64"/>
      </right>
      <top style="medium">
        <color theme="0"/>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thin">
        <color rgb="FF03ACE5"/>
      </left>
      <right/>
      <top style="thin">
        <color theme="0"/>
      </top>
      <bottom style="thin">
        <color theme="0"/>
      </bottom>
      <diagonal/>
    </border>
    <border>
      <left style="thin">
        <color rgb="FF03ACE5"/>
      </left>
      <right/>
      <top style="thin">
        <color theme="0"/>
      </top>
      <bottom/>
      <diagonal/>
    </border>
    <border>
      <left/>
      <right style="thin">
        <color rgb="FF03ACE5"/>
      </right>
      <top style="thin">
        <color theme="0"/>
      </top>
      <bottom/>
      <diagonal/>
    </border>
    <border>
      <left style="thin">
        <color rgb="FF03ACE5"/>
      </left>
      <right/>
      <top style="thin">
        <color rgb="FF03ACE5"/>
      </top>
      <bottom style="thin">
        <color rgb="FF03ACE5"/>
      </bottom>
      <diagonal/>
    </border>
    <border>
      <left/>
      <right style="thin">
        <color rgb="FF03ACE5"/>
      </right>
      <top style="thin">
        <color rgb="FF03ACE5"/>
      </top>
      <bottom style="thin">
        <color rgb="FF03ACE5"/>
      </bottom>
      <diagonal/>
    </border>
    <border>
      <left style="thin">
        <color rgb="FF03ACE5"/>
      </left>
      <right/>
      <top/>
      <bottom/>
      <diagonal/>
    </border>
    <border>
      <left/>
      <right style="thin">
        <color rgb="FF03ACE5"/>
      </right>
      <top/>
      <bottom/>
      <diagonal/>
    </border>
    <border>
      <left style="thin">
        <color rgb="FF03ACE5"/>
      </left>
      <right/>
      <top style="thin">
        <color rgb="FF03ACE5"/>
      </top>
      <bottom/>
      <diagonal/>
    </border>
    <border>
      <left/>
      <right/>
      <top style="thin">
        <color rgb="FF03ACE5"/>
      </top>
      <bottom/>
      <diagonal/>
    </border>
    <border>
      <left style="thin">
        <color rgb="FF03ACE5"/>
      </left>
      <right/>
      <top/>
      <bottom style="thin">
        <color rgb="FF03ACE5"/>
      </bottom>
      <diagonal/>
    </border>
    <border>
      <left/>
      <right style="thin">
        <color rgb="FF03ACE5"/>
      </right>
      <top style="thin">
        <color theme="0"/>
      </top>
      <bottom style="thin">
        <color theme="0"/>
      </bottom>
      <diagonal/>
    </border>
  </borders>
  <cellStyleXfs count="42856">
    <xf numFmtId="0" fontId="0" fillId="0" borderId="0"/>
    <xf numFmtId="166" fontId="9" fillId="0" borderId="0" applyFont="0" applyFill="0" applyBorder="0" applyAlignment="0" applyProtection="0"/>
    <xf numFmtId="9" fontId="7" fillId="0" borderId="0" applyFont="0" applyFill="0" applyBorder="0" applyAlignment="0" applyProtection="0"/>
    <xf numFmtId="178" fontId="13" fillId="0" borderId="0"/>
    <xf numFmtId="178" fontId="13" fillId="0" borderId="0"/>
    <xf numFmtId="178" fontId="13" fillId="0" borderId="0"/>
    <xf numFmtId="9" fontId="13" fillId="0" borderId="0" applyFont="0" applyFill="0" applyBorder="0" applyAlignment="0" applyProtection="0"/>
    <xf numFmtId="9" fontId="13" fillId="0" borderId="0" applyFont="0" applyFill="0" applyBorder="0" applyAlignment="0" applyProtection="0"/>
    <xf numFmtId="166" fontId="7" fillId="0" borderId="0" applyFont="0" applyFill="0" applyBorder="0" applyAlignment="0" applyProtection="0"/>
    <xf numFmtId="0" fontId="65" fillId="0" borderId="0"/>
    <xf numFmtId="164" fontId="65" fillId="0" borderId="0" applyFont="0" applyFill="0" applyBorder="0" applyAlignment="0" applyProtection="0"/>
    <xf numFmtId="187" fontId="13" fillId="0" borderId="0"/>
    <xf numFmtId="0" fontId="66" fillId="0" borderId="0"/>
    <xf numFmtId="0" fontId="66" fillId="0" borderId="0"/>
    <xf numFmtId="0" fontId="66" fillId="0" borderId="0"/>
    <xf numFmtId="187" fontId="13" fillId="0" borderId="0"/>
    <xf numFmtId="0" fontId="6" fillId="0" borderId="0"/>
    <xf numFmtId="164" fontId="6" fillId="0" borderId="0" applyFont="0" applyFill="0" applyBorder="0" applyAlignment="0" applyProtection="0"/>
    <xf numFmtId="0" fontId="68" fillId="0" borderId="0"/>
    <xf numFmtId="0" fontId="6" fillId="0" borderId="0"/>
    <xf numFmtId="0" fontId="13" fillId="0" borderId="0"/>
    <xf numFmtId="0" fontId="69" fillId="0" borderId="0"/>
    <xf numFmtId="0" fontId="70" fillId="0" borderId="0"/>
    <xf numFmtId="168" fontId="71" fillId="0" borderId="0"/>
    <xf numFmtId="189" fontId="72" fillId="0" borderId="0" applyFont="0" applyFill="0" applyBorder="0" applyAlignment="0" applyProtection="0"/>
    <xf numFmtId="0" fontId="73" fillId="0" borderId="0">
      <alignment vertical="center"/>
    </xf>
    <xf numFmtId="1" fontId="71" fillId="0" borderId="0"/>
    <xf numFmtId="167" fontId="74" fillId="0" borderId="0"/>
    <xf numFmtId="2" fontId="71" fillId="0" borderId="0"/>
    <xf numFmtId="1" fontId="74" fillId="0" borderId="0"/>
    <xf numFmtId="1" fontId="75" fillId="0" borderId="0"/>
    <xf numFmtId="1" fontId="75" fillId="0" borderId="0"/>
    <xf numFmtId="1" fontId="75" fillId="0" borderId="0"/>
    <xf numFmtId="1" fontId="75" fillId="0" borderId="0"/>
    <xf numFmtId="190" fontId="76" fillId="0" borderId="0" applyFont="0" applyFill="0" applyBorder="0" applyAlignment="0" applyProtection="0"/>
    <xf numFmtId="38" fontId="77" fillId="0" borderId="0" applyFont="0" applyFill="0" applyBorder="0" applyAlignment="0" applyProtection="0"/>
    <xf numFmtId="0" fontId="78" fillId="35" borderId="0" applyNumberFormat="0" applyBorder="0" applyAlignment="0" applyProtection="0"/>
    <xf numFmtId="0" fontId="78" fillId="36" borderId="0" applyNumberFormat="0" applyBorder="0" applyAlignment="0" applyProtection="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87" fontId="79" fillId="40" borderId="0" applyNumberFormat="0" applyBorder="0" applyAlignment="0" applyProtection="0"/>
    <xf numFmtId="0" fontId="13" fillId="12"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9" fillId="40" borderId="0" applyNumberFormat="0" applyBorder="0" applyAlignment="0" applyProtection="0"/>
    <xf numFmtId="0" fontId="7" fillId="35" borderId="0" applyNumberFormat="0" applyBorder="0" applyAlignment="0" applyProtection="0"/>
    <xf numFmtId="0" fontId="13" fillId="12"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9" fillId="40" borderId="0" applyNumberFormat="0" applyBorder="0" applyAlignment="0" applyProtection="0"/>
    <xf numFmtId="0" fontId="7" fillId="35" borderId="0" applyNumberFormat="0" applyBorder="0" applyAlignment="0" applyProtection="0"/>
    <xf numFmtId="0" fontId="79" fillId="40" borderId="0" applyNumberFormat="0" applyBorder="0" applyAlignment="0" applyProtection="0"/>
    <xf numFmtId="0" fontId="7" fillId="35" borderId="0" applyNumberFormat="0" applyBorder="0" applyAlignment="0" applyProtection="0"/>
    <xf numFmtId="0" fontId="79" fillId="40" borderId="0" applyNumberFormat="0" applyBorder="0" applyAlignment="0" applyProtection="0"/>
    <xf numFmtId="0" fontId="7" fillId="35"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13" fillId="12"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9" fillId="40"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87"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187"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13" fillId="12" borderId="0" applyNumberFormat="0" applyBorder="0" applyAlignment="0" applyProtection="0"/>
    <xf numFmtId="0" fontId="79" fillId="4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87" fontId="79"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3" fillId="1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9" fillId="41" borderId="0" applyNumberFormat="0" applyBorder="0" applyAlignment="0" applyProtection="0"/>
    <xf numFmtId="0" fontId="7" fillId="36" borderId="0" applyNumberFormat="0" applyBorder="0" applyAlignment="0" applyProtection="0"/>
    <xf numFmtId="0" fontId="13" fillId="1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9" fillId="41" borderId="0" applyNumberFormat="0" applyBorder="0" applyAlignment="0" applyProtection="0"/>
    <xf numFmtId="0" fontId="7" fillId="36" borderId="0" applyNumberFormat="0" applyBorder="0" applyAlignment="0" applyProtection="0"/>
    <xf numFmtId="0" fontId="79" fillId="41" borderId="0" applyNumberFormat="0" applyBorder="0" applyAlignment="0" applyProtection="0"/>
    <xf numFmtId="0" fontId="7" fillId="36" borderId="0" applyNumberFormat="0" applyBorder="0" applyAlignment="0" applyProtection="0"/>
    <xf numFmtId="0" fontId="79" fillId="41" borderId="0" applyNumberFormat="0" applyBorder="0" applyAlignment="0" applyProtection="0"/>
    <xf numFmtId="0" fontId="7" fillId="36"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1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87"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187"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16" borderId="0" applyNumberFormat="0" applyBorder="0" applyAlignment="0" applyProtection="0"/>
    <xf numFmtId="0" fontId="79"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87" fontId="79" fillId="42"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13" fillId="20"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9" fillId="42" borderId="0" applyNumberFormat="0" applyBorder="0" applyAlignment="0" applyProtection="0"/>
    <xf numFmtId="0" fontId="7" fillId="37" borderId="0" applyNumberFormat="0" applyBorder="0" applyAlignment="0" applyProtection="0"/>
    <xf numFmtId="0" fontId="13" fillId="20"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9" fillId="42" borderId="0" applyNumberFormat="0" applyBorder="0" applyAlignment="0" applyProtection="0"/>
    <xf numFmtId="0" fontId="7" fillId="37" borderId="0" applyNumberFormat="0" applyBorder="0" applyAlignment="0" applyProtection="0"/>
    <xf numFmtId="0" fontId="79" fillId="42" borderId="0" applyNumberFormat="0" applyBorder="0" applyAlignment="0" applyProtection="0"/>
    <xf numFmtId="0" fontId="7" fillId="37" borderId="0" applyNumberFormat="0" applyBorder="0" applyAlignment="0" applyProtection="0"/>
    <xf numFmtId="0" fontId="79" fillId="42" borderId="0" applyNumberFormat="0" applyBorder="0" applyAlignment="0" applyProtection="0"/>
    <xf numFmtId="0" fontId="7" fillId="37"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13" fillId="20"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87"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187"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79" fillId="42" borderId="0" applyNumberFormat="0" applyBorder="0" applyAlignment="0" applyProtection="0"/>
    <xf numFmtId="0" fontId="13" fillId="20" borderId="0" applyNumberFormat="0" applyBorder="0" applyAlignment="0" applyProtection="0"/>
    <xf numFmtId="0" fontId="79" fillId="42"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87" fontId="79" fillId="40"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13" fillId="24"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9" fillId="40" borderId="0" applyNumberFormat="0" applyBorder="0" applyAlignment="0" applyProtection="0"/>
    <xf numFmtId="0" fontId="7" fillId="38" borderId="0" applyNumberFormat="0" applyBorder="0" applyAlignment="0" applyProtection="0"/>
    <xf numFmtId="0" fontId="13" fillId="24"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9" fillId="40" borderId="0" applyNumberFormat="0" applyBorder="0" applyAlignment="0" applyProtection="0"/>
    <xf numFmtId="0" fontId="7" fillId="38" borderId="0" applyNumberFormat="0" applyBorder="0" applyAlignment="0" applyProtection="0"/>
    <xf numFmtId="0" fontId="79" fillId="40" borderId="0" applyNumberFormat="0" applyBorder="0" applyAlignment="0" applyProtection="0"/>
    <xf numFmtId="0" fontId="7" fillId="38" borderId="0" applyNumberFormat="0" applyBorder="0" applyAlignment="0" applyProtection="0"/>
    <xf numFmtId="0" fontId="79" fillId="40" borderId="0" applyNumberFormat="0" applyBorder="0" applyAlignment="0" applyProtection="0"/>
    <xf numFmtId="0" fontId="7" fillId="38"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13" fillId="24"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87"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187"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13" fillId="24" borderId="0" applyNumberFormat="0" applyBorder="0" applyAlignment="0" applyProtection="0"/>
    <xf numFmtId="0" fontId="79" fillId="4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87" fontId="79"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3" fillId="2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9" fillId="39" borderId="0" applyNumberFormat="0" applyBorder="0" applyAlignment="0" applyProtection="0"/>
    <xf numFmtId="0" fontId="7" fillId="39" borderId="0" applyNumberFormat="0" applyBorder="0" applyAlignment="0" applyProtection="0"/>
    <xf numFmtId="0" fontId="13" fillId="2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9" fillId="39" borderId="0" applyNumberFormat="0" applyBorder="0" applyAlignment="0" applyProtection="0"/>
    <xf numFmtId="0" fontId="7" fillId="39" borderId="0" applyNumberFormat="0" applyBorder="0" applyAlignment="0" applyProtection="0"/>
    <xf numFmtId="0" fontId="79" fillId="39" borderId="0" applyNumberFormat="0" applyBorder="0" applyAlignment="0" applyProtection="0"/>
    <xf numFmtId="0" fontId="7" fillId="39" borderId="0" applyNumberFormat="0" applyBorder="0" applyAlignment="0" applyProtection="0"/>
    <xf numFmtId="0" fontId="79" fillId="39" borderId="0" applyNumberFormat="0" applyBorder="0" applyAlignment="0" applyProtection="0"/>
    <xf numFmtId="0" fontId="7"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13" fillId="2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87"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187"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13" fillId="28" borderId="0" applyNumberFormat="0" applyBorder="0" applyAlignment="0" applyProtection="0"/>
    <xf numFmtId="0" fontId="79" fillId="39"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87" fontId="7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3" fillId="3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9" fillId="41" borderId="0" applyNumberFormat="0" applyBorder="0" applyAlignment="0" applyProtection="0"/>
    <xf numFmtId="0" fontId="7" fillId="41" borderId="0" applyNumberFormat="0" applyBorder="0" applyAlignment="0" applyProtection="0"/>
    <xf numFmtId="0" fontId="13" fillId="3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9" fillId="41" borderId="0" applyNumberFormat="0" applyBorder="0" applyAlignment="0" applyProtection="0"/>
    <xf numFmtId="0" fontId="7" fillId="41" borderId="0" applyNumberFormat="0" applyBorder="0" applyAlignment="0" applyProtection="0"/>
    <xf numFmtId="0" fontId="79" fillId="41" borderId="0" applyNumberFormat="0" applyBorder="0" applyAlignment="0" applyProtection="0"/>
    <xf numFmtId="0" fontId="7" fillId="41" borderId="0" applyNumberFormat="0" applyBorder="0" applyAlignment="0" applyProtection="0"/>
    <xf numFmtId="0" fontId="79" fillId="41" borderId="0" applyNumberFormat="0" applyBorder="0" applyAlignment="0" applyProtection="0"/>
    <xf numFmtId="0" fontId="7"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3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87"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187"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32" borderId="0" applyNumberFormat="0" applyBorder="0" applyAlignment="0" applyProtection="0"/>
    <xf numFmtId="0" fontId="79" fillId="4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87" fontId="79"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3" fillId="1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9" fillId="43" borderId="0" applyNumberFormat="0" applyBorder="0" applyAlignment="0" applyProtection="0"/>
    <xf numFmtId="0" fontId="7" fillId="44" borderId="0" applyNumberFormat="0" applyBorder="0" applyAlignment="0" applyProtection="0"/>
    <xf numFmtId="0" fontId="13" fillId="1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9" fillId="43" borderId="0" applyNumberFormat="0" applyBorder="0" applyAlignment="0" applyProtection="0"/>
    <xf numFmtId="0" fontId="7" fillId="44" borderId="0" applyNumberFormat="0" applyBorder="0" applyAlignment="0" applyProtection="0"/>
    <xf numFmtId="0" fontId="79" fillId="43" borderId="0" applyNumberFormat="0" applyBorder="0" applyAlignment="0" applyProtection="0"/>
    <xf numFmtId="0" fontId="7" fillId="44" borderId="0" applyNumberFormat="0" applyBorder="0" applyAlignment="0" applyProtection="0"/>
    <xf numFmtId="0" fontId="79" fillId="43" borderId="0" applyNumberFormat="0" applyBorder="0" applyAlignment="0" applyProtection="0"/>
    <xf numFmtId="0" fontId="7" fillId="44"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13" fillId="1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187"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187"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13" fillId="13" borderId="0" applyNumberFormat="0" applyBorder="0" applyAlignment="0" applyProtection="0"/>
    <xf numFmtId="0" fontId="79" fillId="4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187" fontId="79"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13" fillId="17"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13" fillId="17"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13" fillId="17"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187"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187"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13" fillId="17" borderId="0" applyNumberFormat="0" applyBorder="0" applyAlignment="0" applyProtection="0"/>
    <xf numFmtId="0" fontId="79" fillId="4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87" fontId="79"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3" fillId="21"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9" fillId="46" borderId="0" applyNumberFormat="0" applyBorder="0" applyAlignment="0" applyProtection="0"/>
    <xf numFmtId="0" fontId="7" fillId="47" borderId="0" applyNumberFormat="0" applyBorder="0" applyAlignment="0" applyProtection="0"/>
    <xf numFmtId="0" fontId="13" fillId="21"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9" fillId="46" borderId="0" applyNumberFormat="0" applyBorder="0" applyAlignment="0" applyProtection="0"/>
    <xf numFmtId="0" fontId="7" fillId="47" borderId="0" applyNumberFormat="0" applyBorder="0" applyAlignment="0" applyProtection="0"/>
    <xf numFmtId="0" fontId="79" fillId="46" borderId="0" applyNumberFormat="0" applyBorder="0" applyAlignment="0" applyProtection="0"/>
    <xf numFmtId="0" fontId="7" fillId="47" borderId="0" applyNumberFormat="0" applyBorder="0" applyAlignment="0" applyProtection="0"/>
    <xf numFmtId="0" fontId="79" fillId="46" borderId="0" applyNumberFormat="0" applyBorder="0" applyAlignment="0" applyProtection="0"/>
    <xf numFmtId="0" fontId="7" fillId="4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13" fillId="21"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87"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187"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79" fillId="46" borderId="0" applyNumberFormat="0" applyBorder="0" applyAlignment="0" applyProtection="0"/>
    <xf numFmtId="0" fontId="13" fillId="21" borderId="0" applyNumberFormat="0" applyBorder="0" applyAlignment="0" applyProtection="0"/>
    <xf numFmtId="0" fontId="79" fillId="46"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187" fontId="79" fillId="43"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13" fillId="2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9" fillId="43" borderId="0" applyNumberFormat="0" applyBorder="0" applyAlignment="0" applyProtection="0"/>
    <xf numFmtId="0" fontId="7" fillId="38" borderId="0" applyNumberFormat="0" applyBorder="0" applyAlignment="0" applyProtection="0"/>
    <xf numFmtId="0" fontId="13" fillId="2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9" fillId="43" borderId="0" applyNumberFormat="0" applyBorder="0" applyAlignment="0" applyProtection="0"/>
    <xf numFmtId="0" fontId="7" fillId="38" borderId="0" applyNumberFormat="0" applyBorder="0" applyAlignment="0" applyProtection="0"/>
    <xf numFmtId="0" fontId="79" fillId="43" borderId="0" applyNumberFormat="0" applyBorder="0" applyAlignment="0" applyProtection="0"/>
    <xf numFmtId="0" fontId="7" fillId="38" borderId="0" applyNumberFormat="0" applyBorder="0" applyAlignment="0" applyProtection="0"/>
    <xf numFmtId="0" fontId="79" fillId="43" borderId="0" applyNumberFormat="0" applyBorder="0" applyAlignment="0" applyProtection="0"/>
    <xf numFmtId="0" fontId="7" fillId="38"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13" fillId="2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187"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187"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13" fillId="25" borderId="0" applyNumberFormat="0" applyBorder="0" applyAlignment="0" applyProtection="0"/>
    <xf numFmtId="0" fontId="79" fillId="4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87" fontId="79"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3" fillId="29"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9" fillId="44" borderId="0" applyNumberFormat="0" applyBorder="0" applyAlignment="0" applyProtection="0"/>
    <xf numFmtId="0" fontId="7" fillId="44" borderId="0" applyNumberFormat="0" applyBorder="0" applyAlignment="0" applyProtection="0"/>
    <xf numFmtId="0" fontId="13" fillId="29"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9" fillId="44" borderId="0" applyNumberFormat="0" applyBorder="0" applyAlignment="0" applyProtection="0"/>
    <xf numFmtId="0" fontId="7" fillId="44" borderId="0" applyNumberFormat="0" applyBorder="0" applyAlignment="0" applyProtection="0"/>
    <xf numFmtId="0" fontId="79" fillId="44" borderId="0" applyNumberFormat="0" applyBorder="0" applyAlignment="0" applyProtection="0"/>
    <xf numFmtId="0" fontId="7" fillId="44" borderId="0" applyNumberFormat="0" applyBorder="0" applyAlignment="0" applyProtection="0"/>
    <xf numFmtId="0" fontId="79" fillId="44" borderId="0" applyNumberFormat="0" applyBorder="0" applyAlignment="0" applyProtection="0"/>
    <xf numFmtId="0" fontId="7"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13" fillId="29"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87"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187"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13" fillId="29" borderId="0" applyNumberFormat="0" applyBorder="0" applyAlignment="0" applyProtection="0"/>
    <xf numFmtId="0" fontId="79" fillId="44"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187" fontId="79" fillId="4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3" fillId="33"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9" fillId="41" borderId="0" applyNumberFormat="0" applyBorder="0" applyAlignment="0" applyProtection="0"/>
    <xf numFmtId="0" fontId="7" fillId="48" borderId="0" applyNumberFormat="0" applyBorder="0" applyAlignment="0" applyProtection="0"/>
    <xf numFmtId="0" fontId="13" fillId="33"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9" fillId="41" borderId="0" applyNumberFormat="0" applyBorder="0" applyAlignment="0" applyProtection="0"/>
    <xf numFmtId="0" fontId="7" fillId="48" borderId="0" applyNumberFormat="0" applyBorder="0" applyAlignment="0" applyProtection="0"/>
    <xf numFmtId="0" fontId="79" fillId="41" borderId="0" applyNumberFormat="0" applyBorder="0" applyAlignment="0" applyProtection="0"/>
    <xf numFmtId="0" fontId="7" fillId="48" borderId="0" applyNumberFormat="0" applyBorder="0" applyAlignment="0" applyProtection="0"/>
    <xf numFmtId="0" fontId="79" fillId="41" borderId="0" applyNumberFormat="0" applyBorder="0" applyAlignment="0" applyProtection="0"/>
    <xf numFmtId="0" fontId="7" fillId="48"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33"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187"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7"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79" fillId="41" borderId="0" applyNumberFormat="0" applyBorder="0" applyAlignment="0" applyProtection="0"/>
    <xf numFmtId="0" fontId="13" fillId="33" borderId="0" applyNumberFormat="0" applyBorder="0" applyAlignment="0" applyProtection="0"/>
    <xf numFmtId="0" fontId="79" fillId="41"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7" fontId="7"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64" fillId="14"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 fillId="49" borderId="0" applyNumberFormat="0" applyBorder="0" applyAlignment="0" applyProtection="0"/>
    <xf numFmtId="0" fontId="79" fillId="50" borderId="0" applyNumberFormat="0" applyBorder="0" applyAlignment="0" applyProtection="0"/>
    <xf numFmtId="0" fontId="7" fillId="49" borderId="0" applyNumberFormat="0" applyBorder="0" applyAlignment="0" applyProtection="0"/>
    <xf numFmtId="0" fontId="79" fillId="50" borderId="0" applyNumberFormat="0" applyBorder="0" applyAlignment="0" applyProtection="0"/>
    <xf numFmtId="0" fontId="7" fillId="49" borderId="0" applyNumberFormat="0" applyBorder="0" applyAlignment="0" applyProtection="0"/>
    <xf numFmtId="0" fontId="79" fillId="5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80" fillId="14"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0" fontId="79" fillId="50" borderId="0" applyNumberFormat="0" applyBorder="0" applyAlignment="0" applyProtection="0"/>
    <xf numFmtId="187" fontId="7" fillId="49" borderId="0" applyNumberFormat="0" applyBorder="0" applyAlignment="0" applyProtection="0"/>
    <xf numFmtId="0" fontId="79" fillId="50"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14" borderId="0" applyNumberFormat="0" applyBorder="0" applyAlignment="0" applyProtection="0"/>
    <xf numFmtId="0" fontId="7" fillId="49" borderId="0" applyNumberFormat="0" applyBorder="0" applyAlignment="0" applyProtection="0"/>
    <xf numFmtId="187"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14" borderId="0" applyNumberFormat="0" applyBorder="0" applyAlignment="0" applyProtection="0"/>
    <xf numFmtId="0" fontId="7" fillId="49" borderId="0" applyNumberFormat="0" applyBorder="0" applyAlignment="0" applyProtection="0"/>
    <xf numFmtId="0" fontId="64"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0" fontId="80" fillId="14" borderId="0" applyNumberFormat="0" applyBorder="0" applyAlignment="0" applyProtection="0"/>
    <xf numFmtId="187" fontId="7"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64"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80" fillId="18"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0" fontId="79" fillId="45" borderId="0" applyNumberFormat="0" applyBorder="0" applyAlignment="0" applyProtection="0"/>
    <xf numFmtId="187" fontId="7" fillId="45" borderId="0" applyNumberFormat="0" applyBorder="0" applyAlignment="0" applyProtection="0"/>
    <xf numFmtId="0" fontId="79"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0" fillId="18" borderId="0" applyNumberFormat="0" applyBorder="0" applyAlignment="0" applyProtection="0"/>
    <xf numFmtId="0" fontId="7" fillId="45" borderId="0" applyNumberFormat="0" applyBorder="0" applyAlignment="0" applyProtection="0"/>
    <xf numFmtId="187"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0" fillId="18" borderId="0" applyNumberFormat="0" applyBorder="0" applyAlignment="0" applyProtection="0"/>
    <xf numFmtId="0" fontId="7" fillId="45" borderId="0" applyNumberFormat="0" applyBorder="0" applyAlignment="0" applyProtection="0"/>
    <xf numFmtId="0" fontId="64"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0" fontId="80" fillId="18" borderId="0" applyNumberFormat="0" applyBorder="0" applyAlignment="0" applyProtection="0"/>
    <xf numFmtId="187" fontId="7" fillId="4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64" fillId="22"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 fillId="4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 fillId="46" borderId="0" applyNumberFormat="0" applyBorder="0" applyAlignment="0" applyProtection="0"/>
    <xf numFmtId="0" fontId="79" fillId="47" borderId="0" applyNumberFormat="0" applyBorder="0" applyAlignment="0" applyProtection="0"/>
    <xf numFmtId="0" fontId="7" fillId="46" borderId="0" applyNumberFormat="0" applyBorder="0" applyAlignment="0" applyProtection="0"/>
    <xf numFmtId="0" fontId="79" fillId="47" borderId="0" applyNumberFormat="0" applyBorder="0" applyAlignment="0" applyProtection="0"/>
    <xf numFmtId="0" fontId="7" fillId="46" borderId="0" applyNumberFormat="0" applyBorder="0" applyAlignment="0" applyProtection="0"/>
    <xf numFmtId="0" fontId="79" fillId="47"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80" fillId="22"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0" fontId="79" fillId="47" borderId="0" applyNumberFormat="0" applyBorder="0" applyAlignment="0" applyProtection="0"/>
    <xf numFmtId="187" fontId="7" fillId="46" borderId="0" applyNumberFormat="0" applyBorder="0" applyAlignment="0" applyProtection="0"/>
    <xf numFmtId="0" fontId="79" fillId="47"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80" fillId="22" borderId="0" applyNumberFormat="0" applyBorder="0" applyAlignment="0" applyProtection="0"/>
    <xf numFmtId="0" fontId="7" fillId="46" borderId="0" applyNumberFormat="0" applyBorder="0" applyAlignment="0" applyProtection="0"/>
    <xf numFmtId="187"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80" fillId="22" borderId="0" applyNumberFormat="0" applyBorder="0" applyAlignment="0" applyProtection="0"/>
    <xf numFmtId="0" fontId="7" fillId="46" borderId="0" applyNumberFormat="0" applyBorder="0" applyAlignment="0" applyProtection="0"/>
    <xf numFmtId="0" fontId="64"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0" fontId="80" fillId="22" borderId="0" applyNumberFormat="0" applyBorder="0" applyAlignment="0" applyProtection="0"/>
    <xf numFmtId="187" fontId="7" fillId="43"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64" fillId="26"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 fillId="43"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 fillId="43" borderId="0" applyNumberFormat="0" applyBorder="0" applyAlignment="0" applyProtection="0"/>
    <xf numFmtId="0" fontId="79" fillId="51" borderId="0" applyNumberFormat="0" applyBorder="0" applyAlignment="0" applyProtection="0"/>
    <xf numFmtId="0" fontId="7" fillId="43" borderId="0" applyNumberFormat="0" applyBorder="0" applyAlignment="0" applyProtection="0"/>
    <xf numFmtId="0" fontId="79" fillId="51" borderId="0" applyNumberFormat="0" applyBorder="0" applyAlignment="0" applyProtection="0"/>
    <xf numFmtId="0" fontId="7" fillId="43" borderId="0" applyNumberFormat="0" applyBorder="0" applyAlignment="0" applyProtection="0"/>
    <xf numFmtId="0" fontId="79" fillId="5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80" fillId="26"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187" fontId="7" fillId="43" borderId="0" applyNumberFormat="0" applyBorder="0" applyAlignment="0" applyProtection="0"/>
    <xf numFmtId="0" fontId="79" fillId="5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0" fillId="26" borderId="0" applyNumberFormat="0" applyBorder="0" applyAlignment="0" applyProtection="0"/>
    <xf numFmtId="0" fontId="7" fillId="43" borderId="0" applyNumberFormat="0" applyBorder="0" applyAlignment="0" applyProtection="0"/>
    <xf numFmtId="187"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0" fillId="26" borderId="0" applyNumberFormat="0" applyBorder="0" applyAlignment="0" applyProtection="0"/>
    <xf numFmtId="0" fontId="7" fillId="43" borderId="0" applyNumberFormat="0" applyBorder="0" applyAlignment="0" applyProtection="0"/>
    <xf numFmtId="0" fontId="64"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0" fontId="80" fillId="26" borderId="0" applyNumberFormat="0" applyBorder="0" applyAlignment="0" applyProtection="0"/>
    <xf numFmtId="187"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64" fillId="30"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80" fillId="30"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187"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30" borderId="0" applyNumberFormat="0" applyBorder="0" applyAlignment="0" applyProtection="0"/>
    <xf numFmtId="0" fontId="7" fillId="49" borderId="0" applyNumberFormat="0" applyBorder="0" applyAlignment="0" applyProtection="0"/>
    <xf numFmtId="187"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30" borderId="0" applyNumberFormat="0" applyBorder="0" applyAlignment="0" applyProtection="0"/>
    <xf numFmtId="0" fontId="7" fillId="49" borderId="0" applyNumberFormat="0" applyBorder="0" applyAlignment="0" applyProtection="0"/>
    <xf numFmtId="0" fontId="64"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0" fontId="80" fillId="30" borderId="0" applyNumberFormat="0" applyBorder="0" applyAlignment="0" applyProtection="0"/>
    <xf numFmtId="187" fontId="7" fillId="41"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64" fillId="34"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 fillId="41"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 fillId="41" borderId="0" applyNumberFormat="0" applyBorder="0" applyAlignment="0" applyProtection="0"/>
    <xf numFmtId="0" fontId="79" fillId="52" borderId="0" applyNumberFormat="0" applyBorder="0" applyAlignment="0" applyProtection="0"/>
    <xf numFmtId="0" fontId="7" fillId="41" borderId="0" applyNumberFormat="0" applyBorder="0" applyAlignment="0" applyProtection="0"/>
    <xf numFmtId="0" fontId="79" fillId="52" borderId="0" applyNumberFormat="0" applyBorder="0" applyAlignment="0" applyProtection="0"/>
    <xf numFmtId="0" fontId="7" fillId="41" borderId="0" applyNumberFormat="0" applyBorder="0" applyAlignment="0" applyProtection="0"/>
    <xf numFmtId="0" fontId="79"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80" fillId="34"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0" fontId="79" fillId="52" borderId="0" applyNumberFormat="0" applyBorder="0" applyAlignment="0" applyProtection="0"/>
    <xf numFmtId="187" fontId="7" fillId="41" borderId="0" applyNumberFormat="0" applyBorder="0" applyAlignment="0" applyProtection="0"/>
    <xf numFmtId="0" fontId="79"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0" fillId="34" borderId="0" applyNumberFormat="0" applyBorder="0" applyAlignment="0" applyProtection="0"/>
    <xf numFmtId="0" fontId="7" fillId="41" borderId="0" applyNumberFormat="0" applyBorder="0" applyAlignment="0" applyProtection="0"/>
    <xf numFmtId="187"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0" fillId="34" borderId="0" applyNumberFormat="0" applyBorder="0" applyAlignment="0" applyProtection="0"/>
    <xf numFmtId="0" fontId="7" fillId="41" borderId="0" applyNumberFormat="0" applyBorder="0" applyAlignment="0" applyProtection="0"/>
    <xf numFmtId="0" fontId="64"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0" fillId="34" borderId="0" applyNumberFormat="0" applyBorder="0" applyAlignment="0" applyProtection="0"/>
    <xf numFmtId="0" fontId="81" fillId="53" borderId="0">
      <alignment horizontal="left" vertical="top"/>
    </xf>
    <xf numFmtId="191" fontId="77" fillId="0" borderId="0" applyFont="0" applyFill="0" applyBorder="0" applyAlignment="0" applyProtection="0"/>
    <xf numFmtId="187" fontId="7" fillId="49"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64" fillId="11"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 fillId="49"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 fillId="49" borderId="0" applyNumberFormat="0" applyBorder="0" applyAlignment="0" applyProtection="0"/>
    <xf numFmtId="0" fontId="79" fillId="54" borderId="0" applyNumberFormat="0" applyBorder="0" applyAlignment="0" applyProtection="0"/>
    <xf numFmtId="0" fontId="7" fillId="49" borderId="0" applyNumberFormat="0" applyBorder="0" applyAlignment="0" applyProtection="0"/>
    <xf numFmtId="0" fontId="79" fillId="54" borderId="0" applyNumberFormat="0" applyBorder="0" applyAlignment="0" applyProtection="0"/>
    <xf numFmtId="0" fontId="7" fillId="49" borderId="0" applyNumberFormat="0" applyBorder="0" applyAlignment="0" applyProtection="0"/>
    <xf numFmtId="0" fontId="79" fillId="54"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80" fillId="11"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0" fontId="79" fillId="54" borderId="0" applyNumberFormat="0" applyBorder="0" applyAlignment="0" applyProtection="0"/>
    <xf numFmtId="187" fontId="7" fillId="49" borderId="0" applyNumberFormat="0" applyBorder="0" applyAlignment="0" applyProtection="0"/>
    <xf numFmtId="0" fontId="79" fillId="54"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11" borderId="0" applyNumberFormat="0" applyBorder="0" applyAlignment="0" applyProtection="0"/>
    <xf numFmtId="0" fontId="7" fillId="49" borderId="0" applyNumberFormat="0" applyBorder="0" applyAlignment="0" applyProtection="0"/>
    <xf numFmtId="187"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11" borderId="0" applyNumberFormat="0" applyBorder="0" applyAlignment="0" applyProtection="0"/>
    <xf numFmtId="0" fontId="7" fillId="49" borderId="0" applyNumberFormat="0" applyBorder="0" applyAlignment="0" applyProtection="0"/>
    <xf numFmtId="0" fontId="64"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187" fontId="7" fillId="47"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64" fillId="15"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 fillId="47"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 fillId="47" borderId="0" applyNumberFormat="0" applyBorder="0" applyAlignment="0" applyProtection="0"/>
    <xf numFmtId="0" fontId="79" fillId="43" borderId="0" applyNumberFormat="0" applyBorder="0" applyAlignment="0" applyProtection="0"/>
    <xf numFmtId="0" fontId="7" fillId="47" borderId="0" applyNumberFormat="0" applyBorder="0" applyAlignment="0" applyProtection="0"/>
    <xf numFmtId="0" fontId="79" fillId="43" borderId="0" applyNumberFormat="0" applyBorder="0" applyAlignment="0" applyProtection="0"/>
    <xf numFmtId="0" fontId="7" fillId="47" borderId="0" applyNumberFormat="0" applyBorder="0" applyAlignment="0" applyProtection="0"/>
    <xf numFmtId="0" fontId="79"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80" fillId="15"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0" fontId="79" fillId="43" borderId="0" applyNumberFormat="0" applyBorder="0" applyAlignment="0" applyProtection="0"/>
    <xf numFmtId="187" fontId="7" fillId="47" borderId="0" applyNumberFormat="0" applyBorder="0" applyAlignment="0" applyProtection="0"/>
    <xf numFmtId="0" fontId="79"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80" fillId="15" borderId="0" applyNumberFormat="0" applyBorder="0" applyAlignment="0" applyProtection="0"/>
    <xf numFmtId="0" fontId="7" fillId="47" borderId="0" applyNumberFormat="0" applyBorder="0" applyAlignment="0" applyProtection="0"/>
    <xf numFmtId="187"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80" fillId="15" borderId="0" applyNumberFormat="0" applyBorder="0" applyAlignment="0" applyProtection="0"/>
    <xf numFmtId="0" fontId="7" fillId="47" borderId="0" applyNumberFormat="0" applyBorder="0" applyAlignment="0" applyProtection="0"/>
    <xf numFmtId="0" fontId="64"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0" fontId="80" fillId="15" borderId="0" applyNumberFormat="0" applyBorder="0" applyAlignment="0" applyProtection="0"/>
    <xf numFmtId="187" fontId="7"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64" fillId="19"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 fillId="55" borderId="0" applyNumberFormat="0" applyBorder="0" applyAlignment="0" applyProtection="0"/>
    <xf numFmtId="0" fontId="79" fillId="55" borderId="0" applyNumberFormat="0" applyBorder="0" applyAlignment="0" applyProtection="0"/>
    <xf numFmtId="0" fontId="7" fillId="55" borderId="0" applyNumberFormat="0" applyBorder="0" applyAlignment="0" applyProtection="0"/>
    <xf numFmtId="0" fontId="79" fillId="55" borderId="0" applyNumberFormat="0" applyBorder="0" applyAlignment="0" applyProtection="0"/>
    <xf numFmtId="0" fontId="7" fillId="55" borderId="0" applyNumberFormat="0" applyBorder="0" applyAlignment="0" applyProtection="0"/>
    <xf numFmtId="0" fontId="79"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80" fillId="19"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0" fontId="79" fillId="55" borderId="0" applyNumberFormat="0" applyBorder="0" applyAlignment="0" applyProtection="0"/>
    <xf numFmtId="187" fontId="7" fillId="55" borderId="0" applyNumberFormat="0" applyBorder="0" applyAlignment="0" applyProtection="0"/>
    <xf numFmtId="0" fontId="79"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80" fillId="19" borderId="0" applyNumberFormat="0" applyBorder="0" applyAlignment="0" applyProtection="0"/>
    <xf numFmtId="0" fontId="7" fillId="55" borderId="0" applyNumberFormat="0" applyBorder="0" applyAlignment="0" applyProtection="0"/>
    <xf numFmtId="187"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80" fillId="19" borderId="0" applyNumberFormat="0" applyBorder="0" applyAlignment="0" applyProtection="0"/>
    <xf numFmtId="0" fontId="7" fillId="55" borderId="0" applyNumberFormat="0" applyBorder="0" applyAlignment="0" applyProtection="0"/>
    <xf numFmtId="0" fontId="64"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0" fontId="80" fillId="19" borderId="0" applyNumberFormat="0" applyBorder="0" applyAlignment="0" applyProtection="0"/>
    <xf numFmtId="187" fontId="7" fillId="56"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64" fillId="23"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 fillId="56"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 fillId="56" borderId="0" applyNumberFormat="0" applyBorder="0" applyAlignment="0" applyProtection="0"/>
    <xf numFmtId="0" fontId="79" fillId="51" borderId="0" applyNumberFormat="0" applyBorder="0" applyAlignment="0" applyProtection="0"/>
    <xf numFmtId="0" fontId="7" fillId="56" borderId="0" applyNumberFormat="0" applyBorder="0" applyAlignment="0" applyProtection="0"/>
    <xf numFmtId="0" fontId="79" fillId="51" borderId="0" applyNumberFormat="0" applyBorder="0" applyAlignment="0" applyProtection="0"/>
    <xf numFmtId="0" fontId="7" fillId="56" borderId="0" applyNumberFormat="0" applyBorder="0" applyAlignment="0" applyProtection="0"/>
    <xf numFmtId="0" fontId="79" fillId="51"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80" fillId="23"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0" fontId="79" fillId="51" borderId="0" applyNumberFormat="0" applyBorder="0" applyAlignment="0" applyProtection="0"/>
    <xf numFmtId="187" fontId="7" fillId="56" borderId="0" applyNumberFormat="0" applyBorder="0" applyAlignment="0" applyProtection="0"/>
    <xf numFmtId="0" fontId="79" fillId="51"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80" fillId="23" borderId="0" applyNumberFormat="0" applyBorder="0" applyAlignment="0" applyProtection="0"/>
    <xf numFmtId="0" fontId="7" fillId="56" borderId="0" applyNumberFormat="0" applyBorder="0" applyAlignment="0" applyProtection="0"/>
    <xf numFmtId="187"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80" fillId="23" borderId="0" applyNumberFormat="0" applyBorder="0" applyAlignment="0" applyProtection="0"/>
    <xf numFmtId="0" fontId="7" fillId="56" borderId="0" applyNumberFormat="0" applyBorder="0" applyAlignment="0" applyProtection="0"/>
    <xf numFmtId="0" fontId="64"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0" fontId="80" fillId="23" borderId="0" applyNumberFormat="0" applyBorder="0" applyAlignment="0" applyProtection="0"/>
    <xf numFmtId="187"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64" fillId="27"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80" fillId="27"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0" fontId="79" fillId="49" borderId="0" applyNumberFormat="0" applyBorder="0" applyAlignment="0" applyProtection="0"/>
    <xf numFmtId="187" fontId="7" fillId="49" borderId="0" applyNumberFormat="0" applyBorder="0" applyAlignment="0" applyProtection="0"/>
    <xf numFmtId="0" fontId="79"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27" borderId="0" applyNumberFormat="0" applyBorder="0" applyAlignment="0" applyProtection="0"/>
    <xf numFmtId="0" fontId="7" fillId="49" borderId="0" applyNumberFormat="0" applyBorder="0" applyAlignment="0" applyProtection="0"/>
    <xf numFmtId="187"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0" fillId="27" borderId="0" applyNumberFormat="0" applyBorder="0" applyAlignment="0" applyProtection="0"/>
    <xf numFmtId="0" fontId="7" fillId="49" borderId="0" applyNumberFormat="0" applyBorder="0" applyAlignment="0" applyProtection="0"/>
    <xf numFmtId="0" fontId="64"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0" fontId="80" fillId="27" borderId="0" applyNumberFormat="0" applyBorder="0" applyAlignment="0" applyProtection="0"/>
    <xf numFmtId="187" fontId="7"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64" fillId="31"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 fillId="57" borderId="0" applyNumberFormat="0" applyBorder="0" applyAlignment="0" applyProtection="0"/>
    <xf numFmtId="0" fontId="79" fillId="57" borderId="0" applyNumberFormat="0" applyBorder="0" applyAlignment="0" applyProtection="0"/>
    <xf numFmtId="0" fontId="7" fillId="57" borderId="0" applyNumberFormat="0" applyBorder="0" applyAlignment="0" applyProtection="0"/>
    <xf numFmtId="0" fontId="79" fillId="57" borderId="0" applyNumberFormat="0" applyBorder="0" applyAlignment="0" applyProtection="0"/>
    <xf numFmtId="0" fontId="7" fillId="57" borderId="0" applyNumberFormat="0" applyBorder="0" applyAlignment="0" applyProtection="0"/>
    <xf numFmtId="0" fontId="79"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80" fillId="31"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0" fontId="79" fillId="57" borderId="0" applyNumberFormat="0" applyBorder="0" applyAlignment="0" applyProtection="0"/>
    <xf numFmtId="187" fontId="7" fillId="57" borderId="0" applyNumberFormat="0" applyBorder="0" applyAlignment="0" applyProtection="0"/>
    <xf numFmtId="0" fontId="79"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80" fillId="31" borderId="0" applyNumberFormat="0" applyBorder="0" applyAlignment="0" applyProtection="0"/>
    <xf numFmtId="0" fontId="7" fillId="57" borderId="0" applyNumberFormat="0" applyBorder="0" applyAlignment="0" applyProtection="0"/>
    <xf numFmtId="187"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0" fontId="80" fillId="31" borderId="0" applyNumberFormat="0" applyBorder="0" applyAlignment="0" applyProtection="0"/>
    <xf numFmtId="0" fontId="7" fillId="57" borderId="0" applyNumberFormat="0" applyBorder="0" applyAlignment="0" applyProtection="0"/>
    <xf numFmtId="0" fontId="64"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0" fontId="80" fillId="31" borderId="0" applyNumberFormat="0" applyBorder="0" applyAlignment="0" applyProtection="0"/>
    <xf numFmtId="192" fontId="68" fillId="0" borderId="0" applyFill="0" applyBorder="0" applyAlignment="0"/>
    <xf numFmtId="164" fontId="68" fillId="0" borderId="0" applyFont="0" applyFill="0" applyBorder="0" applyAlignment="0" applyProtection="0"/>
    <xf numFmtId="187"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57" fillId="7" borderId="23"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3" fillId="7" borderId="23"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2" fillId="41" borderId="29" applyNumberFormat="0" applyAlignment="0" applyProtection="0"/>
    <xf numFmtId="187" fontId="82" fillId="41" borderId="29" applyNumberFormat="0" applyAlignment="0" applyProtection="0"/>
    <xf numFmtId="0"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3" fillId="7" borderId="23" applyNumberFormat="0" applyAlignment="0" applyProtection="0"/>
    <xf numFmtId="0" fontId="7" fillId="0" borderId="0" applyNumberFormat="0" applyFont="0" applyFill="0" applyBorder="0" applyAlignment="0" applyProtection="0"/>
    <xf numFmtId="187" fontId="82" fillId="41" borderId="29"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2" fillId="41" borderId="29" applyNumberFormat="0" applyAlignment="0" applyProtection="0"/>
    <xf numFmtId="0" fontId="82" fillId="41" borderId="29" applyNumberFormat="0" applyAlignment="0" applyProtection="0"/>
    <xf numFmtId="0" fontId="83" fillId="7" borderId="23" applyNumberFormat="0" applyAlignment="0" applyProtection="0"/>
    <xf numFmtId="0" fontId="7" fillId="0" borderId="0" applyNumberFormat="0" applyFont="0" applyFill="0" applyBorder="0" applyAlignment="0" applyProtection="0"/>
    <xf numFmtId="0" fontId="57" fillId="7" borderId="23" applyNumberFormat="0" applyAlignment="0" applyProtection="0"/>
    <xf numFmtId="0" fontId="83" fillId="7" borderId="23" applyNumberFormat="0" applyAlignment="0" applyProtection="0"/>
    <xf numFmtId="0" fontId="83" fillId="7" borderId="23" applyNumberFormat="0" applyAlignment="0" applyProtection="0"/>
    <xf numFmtId="0" fontId="83" fillId="7" borderId="23" applyNumberFormat="0" applyAlignment="0" applyProtection="0"/>
    <xf numFmtId="187" fontId="84" fillId="40"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58" fillId="8" borderId="24"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40"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40"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5" fillId="8" borderId="24" applyNumberFormat="0" applyAlignment="0" applyProtection="0"/>
    <xf numFmtId="0" fontId="86" fillId="0" borderId="24"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84" fillId="58" borderId="30" applyNumberFormat="0" applyAlignment="0" applyProtection="0"/>
    <xf numFmtId="0" fontId="84" fillId="58" borderId="30" applyNumberFormat="0" applyAlignment="0" applyProtection="0"/>
    <xf numFmtId="0" fontId="84" fillId="58" borderId="30" applyNumberFormat="0" applyAlignment="0" applyProtection="0"/>
    <xf numFmtId="187" fontId="84" fillId="40" borderId="30" applyNumberFormat="0" applyAlignment="0" applyProtection="0"/>
    <xf numFmtId="0" fontId="84" fillId="58"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40" borderId="30" applyNumberFormat="0" applyAlignment="0" applyProtection="0"/>
    <xf numFmtId="0" fontId="84" fillId="40" borderId="30" applyNumberFormat="0" applyAlignment="0" applyProtection="0"/>
    <xf numFmtId="0" fontId="85" fillId="8" borderId="24" applyNumberFormat="0" applyAlignment="0" applyProtection="0"/>
    <xf numFmtId="0" fontId="7" fillId="0" borderId="0" applyNumberFormat="0" applyFont="0" applyFill="0" applyBorder="0" applyAlignment="0" applyProtection="0"/>
    <xf numFmtId="187" fontId="84" fillId="40" borderId="30"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4" fillId="40" borderId="30" applyNumberFormat="0" applyAlignment="0" applyProtection="0"/>
    <xf numFmtId="0" fontId="84" fillId="40" borderId="30" applyNumberFormat="0" applyAlignment="0" applyProtection="0"/>
    <xf numFmtId="0" fontId="85" fillId="8" borderId="24" applyNumberFormat="0" applyAlignment="0" applyProtection="0"/>
    <xf numFmtId="0" fontId="7" fillId="0" borderId="0" applyNumberFormat="0" applyFont="0" applyFill="0" applyBorder="0" applyAlignment="0" applyProtection="0"/>
    <xf numFmtId="0" fontId="58" fillId="8" borderId="24" applyNumberFormat="0" applyAlignment="0" applyProtection="0"/>
    <xf numFmtId="0" fontId="85" fillId="8" borderId="24" applyNumberFormat="0" applyAlignment="0" applyProtection="0"/>
    <xf numFmtId="0" fontId="86" fillId="0" borderId="24" applyNumberFormat="0" applyFill="0" applyAlignment="0" applyProtection="0"/>
    <xf numFmtId="0" fontId="86" fillId="0" borderId="24" applyNumberFormat="0" applyFill="0" applyAlignment="0" applyProtection="0"/>
    <xf numFmtId="0" fontId="85" fillId="8" borderId="24" applyNumberFormat="0" applyAlignment="0" applyProtection="0"/>
    <xf numFmtId="0" fontId="86" fillId="0" borderId="24" applyNumberFormat="0" applyFill="0" applyAlignment="0" applyProtection="0"/>
    <xf numFmtId="187"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54" fillId="4"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8" fillId="4" borderId="0" applyNumberFormat="0" applyBorder="0" applyAlignment="0" applyProtection="0"/>
    <xf numFmtId="0" fontId="88"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187" fontId="87" fillId="37" borderId="0" applyNumberFormat="0" applyBorder="0" applyAlignment="0" applyProtection="0"/>
    <xf numFmtId="0"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4" borderId="0" applyNumberFormat="0" applyBorder="0" applyAlignment="0" applyProtection="0"/>
    <xf numFmtId="0" fontId="7" fillId="0" borderId="0" applyNumberFormat="0" applyFont="0" applyFill="0" applyBorder="0" applyAlignment="0" applyProtection="0"/>
    <xf numFmtId="187" fontId="87" fillId="3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4" borderId="0" applyNumberFormat="0" applyBorder="0" applyAlignment="0" applyProtection="0"/>
    <xf numFmtId="0" fontId="7" fillId="0" borderId="0" applyNumberFormat="0" applyFont="0" applyFill="0" applyBorder="0" applyAlignment="0" applyProtection="0"/>
    <xf numFmtId="0" fontId="54" fillId="4" borderId="0" applyNumberFormat="0" applyBorder="0" applyAlignment="0" applyProtection="0"/>
    <xf numFmtId="0" fontId="88" fillId="4" borderId="0" applyNumberFormat="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4" borderId="0" applyNumberFormat="0" applyBorder="0" applyAlignment="0" applyProtection="0"/>
    <xf numFmtId="0" fontId="88" fillId="0" borderId="0" applyNumberFormat="0" applyFill="0" applyBorder="0" applyAlignment="0" applyProtection="0"/>
    <xf numFmtId="193" fontId="89" fillId="0" borderId="0">
      <alignment horizontal="center"/>
    </xf>
    <xf numFmtId="194" fontId="72" fillId="0" borderId="0" applyFont="0" applyFill="0" applyBorder="0" applyAlignment="0" applyProtection="0"/>
    <xf numFmtId="195" fontId="7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164" fontId="90" fillId="0" borderId="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0" fontId="7" fillId="0" borderId="0" applyNumberFormat="0" applyFont="0" applyFill="0" applyBorder="0" applyAlignment="0" applyProtection="0"/>
    <xf numFmtId="164" fontId="6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164" fontId="90"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72" fillId="0" borderId="0" applyFont="0" applyFill="0" applyBorder="0" applyAlignment="0" applyProtection="0"/>
    <xf numFmtId="164" fontId="72" fillId="0" borderId="0" applyFont="0" applyFill="0" applyBorder="0" applyAlignment="0" applyProtection="0"/>
    <xf numFmtId="166" fontId="72" fillId="0" borderId="0" applyFont="0" applyFill="0" applyBorder="0" applyAlignment="0" applyProtection="0"/>
    <xf numFmtId="164" fontId="68"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69" fillId="0" borderId="0" applyFont="0" applyFill="0" applyBorder="0" applyAlignment="0" applyProtection="0"/>
    <xf numFmtId="164" fontId="7" fillId="0" borderId="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0" fontId="7" fillId="0" borderId="0" applyNumberFormat="0" applyFont="0" applyFill="0" applyBorder="0" applyAlignment="0" applyProtection="0"/>
    <xf numFmtId="164" fontId="69"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164" fontId="44"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44" fillId="0" borderId="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44" fillId="0" borderId="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72" fillId="0" borderId="0" applyFont="0" applyFill="0" applyBorder="0" applyAlignment="0" applyProtection="0"/>
    <xf numFmtId="0" fontId="7" fillId="0" borderId="0" applyNumberFormat="0" applyFont="0" applyFill="0" applyBorder="0" applyAlignment="0" applyProtection="0"/>
    <xf numFmtId="164" fontId="6"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72" fillId="0" borderId="0" applyFont="0" applyFill="0" applyBorder="0" applyAlignment="0" applyProtection="0"/>
    <xf numFmtId="164" fontId="44" fillId="0" borderId="0" applyFont="0" applyFill="0" applyBorder="0" applyAlignment="0" applyProtection="0"/>
    <xf numFmtId="164" fontId="72" fillId="0" borderId="0" applyFont="0" applyFill="0" applyBorder="0" applyAlignment="0" applyProtection="0"/>
    <xf numFmtId="164" fontId="6" fillId="0" borderId="0" applyFont="0" applyFill="0" applyBorder="0" applyAlignment="0" applyProtection="0"/>
    <xf numFmtId="164" fontId="7" fillId="0" borderId="0" applyFont="0" applyFill="0" applyBorder="0" applyAlignment="0" applyProtection="0"/>
    <xf numFmtId="164" fontId="6" fillId="0" borderId="0" applyFont="0" applyFill="0" applyBorder="0" applyAlignment="0" applyProtection="0"/>
    <xf numFmtId="0" fontId="7" fillId="0" borderId="0" applyNumberFormat="0" applyFont="0" applyFill="0" applyBorder="0" applyAlignment="0" applyProtection="0"/>
    <xf numFmtId="166" fontId="72" fillId="0" borderId="0" applyFont="0" applyFill="0" applyBorder="0" applyAlignment="0" applyProtection="0"/>
    <xf numFmtId="164" fontId="72"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92" fillId="0" borderId="0" applyFont="0" applyFill="0" applyBorder="0" applyAlignment="0" applyProtection="0"/>
    <xf numFmtId="0" fontId="93" fillId="0" borderId="0" applyNumberFormat="0" applyFill="0" applyBorder="0" applyAlignment="0" applyProtection="0"/>
    <xf numFmtId="187" fontId="72" fillId="0" borderId="0" applyFont="0" applyFill="0" applyBorder="0" applyAlignment="0" applyProtection="0"/>
    <xf numFmtId="178" fontId="68" fillId="0" borderId="0" applyFont="0" applyFill="0" applyBorder="0" applyAlignment="0" applyProtection="0"/>
    <xf numFmtId="178" fontId="72" fillId="0" borderId="0" applyFont="0" applyFill="0" applyBorder="0" applyAlignment="0" applyProtection="0"/>
    <xf numFmtId="0" fontId="72" fillId="0" borderId="0" applyFont="0" applyFill="0" applyBorder="0" applyAlignment="0" applyProtection="0"/>
    <xf numFmtId="178" fontId="72"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94" fillId="0" borderId="0" applyNumberFormat="0" applyFill="0" applyBorder="0" applyProtection="0">
      <alignment vertical="top"/>
    </xf>
    <xf numFmtId="3" fontId="95" fillId="59" borderId="0" applyNumberFormat="0" applyFont="0" applyBorder="0" applyAlignment="0">
      <protection hidden="1"/>
    </xf>
    <xf numFmtId="0" fontId="91" fillId="0" borderId="1">
      <alignment horizontal="center"/>
    </xf>
    <xf numFmtId="38" fontId="96" fillId="60" borderId="0" applyNumberFormat="0" applyBorder="0" applyAlignment="0" applyProtection="0"/>
    <xf numFmtId="3" fontId="97" fillId="0" borderId="0"/>
    <xf numFmtId="0" fontId="98" fillId="0" borderId="7" applyNumberFormat="0" applyAlignment="0" applyProtection="0">
      <alignment horizontal="left" vertical="center"/>
    </xf>
    <xf numFmtId="0" fontId="98" fillId="0" borderId="31">
      <alignment horizontal="left" vertical="center"/>
    </xf>
    <xf numFmtId="0" fontId="99" fillId="0" borderId="0"/>
    <xf numFmtId="0" fontId="100" fillId="0" borderId="0"/>
    <xf numFmtId="0" fontId="101" fillId="0" borderId="0"/>
    <xf numFmtId="0" fontId="102" fillId="0" borderId="0"/>
    <xf numFmtId="0" fontId="103" fillId="0" borderId="0"/>
    <xf numFmtId="187" fontId="104" fillId="0" borderId="0" applyNumberFormat="0" applyFill="0" applyBorder="0" applyAlignment="0" applyProtection="0">
      <alignment vertical="top"/>
      <protection locked="0"/>
    </xf>
    <xf numFmtId="196" fontId="105" fillId="0" borderId="0"/>
    <xf numFmtId="0" fontId="106" fillId="0" borderId="0" applyNumberFormat="0" applyFill="0" applyBorder="0" applyAlignment="0" applyProtection="0"/>
    <xf numFmtId="10" fontId="96" fillId="61" borderId="32" applyNumberFormat="0" applyBorder="0" applyAlignment="0" applyProtection="0"/>
    <xf numFmtId="42" fontId="107" fillId="0" borderId="0">
      <alignment horizontal="center"/>
    </xf>
    <xf numFmtId="197" fontId="108" fillId="0" borderId="0" applyFont="0" applyFill="0" applyBorder="0" applyAlignment="0" applyProtection="0"/>
    <xf numFmtId="198" fontId="74" fillId="0" borderId="0"/>
    <xf numFmtId="199" fontId="109" fillId="0" borderId="0"/>
    <xf numFmtId="200" fontId="105" fillId="0" borderId="0"/>
    <xf numFmtId="201" fontId="105" fillId="0" borderId="0"/>
    <xf numFmtId="187"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60" fillId="0" borderId="25"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1" fillId="0" borderId="25"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187" fontId="110" fillId="0" borderId="33" applyNumberFormat="0" applyFill="0" applyAlignment="0" applyProtection="0"/>
    <xf numFmtId="0"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111" fillId="0" borderId="25" applyNumberFormat="0" applyFill="0" applyAlignment="0" applyProtection="0"/>
    <xf numFmtId="0" fontId="7" fillId="0" borderId="0" applyNumberFormat="0" applyFont="0" applyFill="0" applyBorder="0" applyAlignment="0" applyProtection="0"/>
    <xf numFmtId="187" fontId="110" fillId="0" borderId="3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0" fillId="0" borderId="33" applyNumberFormat="0" applyFill="0" applyAlignment="0" applyProtection="0"/>
    <xf numFmtId="0" fontId="110" fillId="0" borderId="33" applyNumberFormat="0" applyFill="0" applyAlignment="0" applyProtection="0"/>
    <xf numFmtId="0" fontId="111" fillId="0" borderId="25" applyNumberFormat="0" applyFill="0" applyAlignment="0" applyProtection="0"/>
    <xf numFmtId="0" fontId="7" fillId="0" borderId="0" applyNumberFormat="0" applyFont="0" applyFill="0" applyBorder="0" applyAlignment="0" applyProtection="0"/>
    <xf numFmtId="0" fontId="60" fillId="0" borderId="25" applyNumberFormat="0" applyFill="0" applyAlignment="0" applyProtection="0"/>
    <xf numFmtId="0" fontId="111" fillId="0" borderId="25" applyNumberFormat="0" applyFill="0" applyAlignment="0" applyProtection="0"/>
    <xf numFmtId="0" fontId="111" fillId="0" borderId="25" applyNumberFormat="0" applyFill="0" applyAlignment="0" applyProtection="0"/>
    <xf numFmtId="0" fontId="111" fillId="0" borderId="25" applyNumberFormat="0" applyFill="0" applyAlignment="0" applyProtection="0"/>
    <xf numFmtId="187" fontId="112"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61" fillId="9" borderId="2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113" fillId="62" borderId="34" applyNumberFormat="0" applyAlignment="0" applyProtection="0"/>
    <xf numFmtId="0" fontId="7" fillId="0" borderId="0" applyNumberFormat="0" applyFont="0" applyFill="0" applyBorder="0" applyAlignment="0" applyProtection="0"/>
    <xf numFmtId="0" fontId="113" fillId="62" borderId="34" applyNumberFormat="0" applyAlignment="0" applyProtection="0"/>
    <xf numFmtId="0" fontId="7" fillId="0" borderId="0" applyNumberFormat="0" applyFont="0" applyFill="0" applyBorder="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4" fillId="9" borderId="26" applyNumberFormat="0" applyAlignment="0" applyProtection="0"/>
    <xf numFmtId="0" fontId="80" fillId="0" borderId="26" applyNumberFormat="0" applyFill="0" applyAlignment="0" applyProtection="0"/>
    <xf numFmtId="187" fontId="112"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3" fillId="62" borderId="34" applyNumberFormat="0" applyAlignment="0" applyProtection="0"/>
    <xf numFmtId="0" fontId="113" fillId="62" borderId="34" applyNumberFormat="0" applyAlignment="0" applyProtection="0"/>
    <xf numFmtId="187" fontId="112" fillId="62" borderId="34" applyNumberFormat="0" applyAlignment="0" applyProtection="0"/>
    <xf numFmtId="187" fontId="112" fillId="62" borderId="34" applyNumberFormat="0" applyAlignment="0" applyProtection="0"/>
    <xf numFmtId="0" fontId="113" fillId="62" borderId="34" applyNumberFormat="0" applyAlignment="0" applyProtection="0"/>
    <xf numFmtId="0" fontId="7" fillId="0" borderId="0" applyNumberFormat="0" applyFont="0" applyFill="0" applyBorder="0" applyAlignment="0" applyProtection="0"/>
    <xf numFmtId="0" fontId="113"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114" fillId="9" borderId="26" applyNumberFormat="0" applyAlignment="0" applyProtection="0"/>
    <xf numFmtId="0" fontId="7" fillId="0" borderId="0" applyNumberFormat="0" applyFont="0" applyFill="0" applyBorder="0" applyAlignment="0" applyProtection="0"/>
    <xf numFmtId="187" fontId="112" fillId="62" borderId="34" applyNumberFormat="0" applyAlignment="0" applyProtection="0"/>
    <xf numFmtId="187" fontId="112" fillId="62" borderId="34"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2" fillId="62" borderId="34" applyNumberFormat="0" applyAlignment="0" applyProtection="0"/>
    <xf numFmtId="0" fontId="112" fillId="62" borderId="34" applyNumberFormat="0" applyAlignment="0" applyProtection="0"/>
    <xf numFmtId="0" fontId="114" fillId="9" borderId="26" applyNumberFormat="0" applyAlignment="0" applyProtection="0"/>
    <xf numFmtId="0" fontId="7" fillId="0" borderId="0" applyNumberFormat="0" applyFont="0" applyFill="0" applyBorder="0" applyAlignment="0" applyProtection="0"/>
    <xf numFmtId="0" fontId="61" fillId="9" borderId="26" applyNumberFormat="0" applyAlignment="0" applyProtection="0"/>
    <xf numFmtId="0" fontId="114" fillId="9" borderId="26" applyNumberFormat="0" applyAlignment="0" applyProtection="0"/>
    <xf numFmtId="0" fontId="80" fillId="0" borderId="26" applyNumberFormat="0" applyFill="0" applyAlignment="0" applyProtection="0"/>
    <xf numFmtId="0" fontId="80" fillId="0" borderId="26" applyNumberFormat="0" applyFill="0" applyAlignment="0" applyProtection="0"/>
    <xf numFmtId="0" fontId="114" fillId="9" borderId="26" applyNumberFormat="0" applyAlignment="0" applyProtection="0"/>
    <xf numFmtId="0" fontId="80" fillId="0" borderId="26" applyNumberFormat="0" applyFill="0" applyAlignment="0" applyProtection="0"/>
    <xf numFmtId="1" fontId="115" fillId="63" borderId="0"/>
    <xf numFmtId="202" fontId="68" fillId="0" borderId="0" applyFont="0" applyFill="0" applyBorder="0" applyAlignment="0" applyProtection="0"/>
    <xf numFmtId="193" fontId="116" fillId="0" borderId="0"/>
    <xf numFmtId="38" fontId="77" fillId="0" borderId="0" applyFont="0" applyFill="0" applyBorder="0" applyAlignment="0" applyProtection="0"/>
    <xf numFmtId="203" fontId="117" fillId="0" borderId="0" applyFont="0" applyFill="0" applyBorder="0" applyAlignment="0" applyProtection="0"/>
    <xf numFmtId="204" fontId="117" fillId="0" borderId="0" applyFont="0" applyFill="0" applyBorder="0" applyAlignment="0" applyProtection="0"/>
    <xf numFmtId="205" fontId="117" fillId="0" borderId="0" applyFont="0" applyFill="0" applyBorder="0" applyAlignment="0" applyProtection="0"/>
    <xf numFmtId="206" fontId="117" fillId="0" borderId="0" applyFont="0" applyFill="0" applyBorder="0" applyAlignment="0" applyProtection="0"/>
    <xf numFmtId="187" fontId="118" fillId="0" borderId="35"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51" fillId="0" borderId="2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8" fillId="0" borderId="35" applyNumberFormat="0" applyFill="0" applyAlignment="0" applyProtection="0"/>
    <xf numFmtId="0" fontId="118" fillId="0" borderId="35"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0" fillId="0" borderId="20" applyNumberFormat="0" applyFill="0" applyAlignment="0" applyProtection="0"/>
    <xf numFmtId="0" fontId="121" fillId="0" borderId="2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19" fillId="0" borderId="36" applyNumberFormat="0" applyFill="0" applyAlignment="0" applyProtection="0"/>
    <xf numFmtId="0" fontId="119" fillId="0" borderId="36" applyNumberFormat="0" applyFill="0" applyAlignment="0" applyProtection="0"/>
    <xf numFmtId="187" fontId="118" fillId="0" borderId="35" applyNumberFormat="0" applyFill="0" applyAlignment="0" applyProtection="0"/>
    <xf numFmtId="0" fontId="119" fillId="0" borderId="36" applyNumberFormat="0" applyFill="0" applyAlignment="0" applyProtection="0"/>
    <xf numFmtId="0" fontId="118" fillId="0" borderId="35" applyNumberFormat="0" applyFill="0" applyAlignment="0" applyProtection="0"/>
    <xf numFmtId="0" fontId="118" fillId="0" borderId="35" applyNumberFormat="0" applyFill="0" applyAlignment="0" applyProtection="0"/>
    <xf numFmtId="0" fontId="120" fillId="0" borderId="20" applyNumberFormat="0" applyFill="0" applyAlignment="0" applyProtection="0"/>
    <xf numFmtId="0" fontId="7" fillId="0" borderId="0" applyNumberFormat="0" applyFont="0" applyFill="0" applyBorder="0" applyAlignment="0" applyProtection="0"/>
    <xf numFmtId="187" fontId="118" fillId="0" borderId="35" applyNumberFormat="0" applyFill="0" applyAlignment="0" applyProtection="0"/>
    <xf numFmtId="0" fontId="118" fillId="0" borderId="35" applyNumberFormat="0" applyFill="0" applyAlignment="0" applyProtection="0"/>
    <xf numFmtId="0" fontId="118" fillId="0" borderId="35" applyNumberFormat="0" applyFill="0" applyAlignment="0" applyProtection="0"/>
    <xf numFmtId="0" fontId="120" fillId="0" borderId="20" applyNumberFormat="0" applyFill="0" applyAlignment="0" applyProtection="0"/>
    <xf numFmtId="0" fontId="7" fillId="0" borderId="0" applyNumberFormat="0" applyFont="0" applyFill="0" applyBorder="0" applyAlignment="0" applyProtection="0"/>
    <xf numFmtId="0" fontId="51" fillId="0" borderId="20" applyNumberFormat="0" applyFill="0" applyAlignment="0" applyProtection="0"/>
    <xf numFmtId="0" fontId="120" fillId="0" borderId="20" applyNumberFormat="0" applyFill="0" applyAlignment="0" applyProtection="0"/>
    <xf numFmtId="0" fontId="121" fillId="0" borderId="20" applyNumberFormat="0" applyFill="0" applyAlignment="0" applyProtection="0"/>
    <xf numFmtId="0" fontId="121" fillId="0" borderId="20" applyNumberFormat="0" applyFill="0" applyAlignment="0" applyProtection="0"/>
    <xf numFmtId="0" fontId="120" fillId="0" borderId="20" applyNumberFormat="0" applyFill="0" applyAlignment="0" applyProtection="0"/>
    <xf numFmtId="0" fontId="121" fillId="0" borderId="20" applyNumberFormat="0" applyFill="0" applyAlignment="0" applyProtection="0"/>
    <xf numFmtId="187" fontId="122" fillId="0" borderId="37"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52" fillId="0" borderId="2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2" fillId="0" borderId="37" applyNumberFormat="0" applyFill="0" applyAlignment="0" applyProtection="0"/>
    <xf numFmtId="0" fontId="122" fillId="0" borderId="37"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4" fillId="0" borderId="21" applyNumberFormat="0" applyFill="0" applyAlignment="0" applyProtection="0"/>
    <xf numFmtId="0" fontId="121" fillId="0" borderId="21"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3" fillId="0" borderId="38" applyNumberFormat="0" applyFill="0" applyAlignment="0" applyProtection="0"/>
    <xf numFmtId="0" fontId="123" fillId="0" borderId="38" applyNumberFormat="0" applyFill="0" applyAlignment="0" applyProtection="0"/>
    <xf numFmtId="187" fontId="122" fillId="0" borderId="37" applyNumberFormat="0" applyFill="0" applyAlignment="0" applyProtection="0"/>
    <xf numFmtId="0" fontId="123" fillId="0" borderId="38"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4" fillId="0" borderId="21" applyNumberFormat="0" applyFill="0" applyAlignment="0" applyProtection="0"/>
    <xf numFmtId="0" fontId="7" fillId="0" borderId="0" applyNumberFormat="0" applyFont="0" applyFill="0" applyBorder="0" applyAlignment="0" applyProtection="0"/>
    <xf numFmtId="187" fontId="122" fillId="0" borderId="37" applyNumberFormat="0" applyFill="0" applyAlignment="0" applyProtection="0"/>
    <xf numFmtId="0" fontId="122" fillId="0" borderId="37" applyNumberFormat="0" applyFill="0" applyAlignment="0" applyProtection="0"/>
    <xf numFmtId="0" fontId="122" fillId="0" borderId="37" applyNumberFormat="0" applyFill="0" applyAlignment="0" applyProtection="0"/>
    <xf numFmtId="0" fontId="124" fillId="0" borderId="21" applyNumberFormat="0" applyFill="0" applyAlignment="0" applyProtection="0"/>
    <xf numFmtId="0" fontId="7" fillId="0" borderId="0" applyNumberFormat="0" applyFont="0" applyFill="0" applyBorder="0" applyAlignment="0" applyProtection="0"/>
    <xf numFmtId="0" fontId="52" fillId="0" borderId="21" applyNumberFormat="0" applyFill="0" applyAlignment="0" applyProtection="0"/>
    <xf numFmtId="0" fontId="124" fillId="0" borderId="21" applyNumberFormat="0" applyFill="0" applyAlignment="0" applyProtection="0"/>
    <xf numFmtId="0" fontId="121" fillId="0" borderId="21" applyNumberFormat="0" applyFill="0" applyAlignment="0" applyProtection="0"/>
    <xf numFmtId="0" fontId="121" fillId="0" borderId="21" applyNumberFormat="0" applyFill="0" applyAlignment="0" applyProtection="0"/>
    <xf numFmtId="0" fontId="124" fillId="0" borderId="21" applyNumberFormat="0" applyFill="0" applyAlignment="0" applyProtection="0"/>
    <xf numFmtId="0" fontId="121" fillId="0" borderId="21" applyNumberFormat="0" applyFill="0" applyAlignment="0" applyProtection="0"/>
    <xf numFmtId="187" fontId="125" fillId="0" borderId="3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53" fillId="0" borderId="22"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5" fillId="0" borderId="39" applyNumberFormat="0" applyFill="0" applyAlignment="0" applyProtection="0"/>
    <xf numFmtId="0" fontId="125" fillId="0" borderId="3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7" fillId="0" borderId="22" applyNumberFormat="0" applyFill="0" applyAlignment="0" applyProtection="0"/>
    <xf numFmtId="0" fontId="121" fillId="0" borderId="22"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40" applyNumberFormat="0" applyFill="0" applyAlignment="0" applyProtection="0"/>
    <xf numFmtId="0" fontId="126" fillId="0" borderId="40" applyNumberFormat="0" applyFill="0" applyAlignment="0" applyProtection="0"/>
    <xf numFmtId="187" fontId="125" fillId="0" borderId="39" applyNumberFormat="0" applyFill="0" applyAlignment="0" applyProtection="0"/>
    <xf numFmtId="0" fontId="126" fillId="0" borderId="40"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7" fillId="0" borderId="22" applyNumberFormat="0" applyFill="0" applyAlignment="0" applyProtection="0"/>
    <xf numFmtId="0" fontId="7" fillId="0" borderId="0" applyNumberFormat="0" applyFont="0" applyFill="0" applyBorder="0" applyAlignment="0" applyProtection="0"/>
    <xf numFmtId="187" fontId="125" fillId="0" borderId="39" applyNumberFormat="0" applyFill="0" applyAlignment="0" applyProtection="0"/>
    <xf numFmtId="0" fontId="125" fillId="0" borderId="39" applyNumberFormat="0" applyFill="0" applyAlignment="0" applyProtection="0"/>
    <xf numFmtId="0" fontId="125" fillId="0" borderId="39" applyNumberFormat="0" applyFill="0" applyAlignment="0" applyProtection="0"/>
    <xf numFmtId="0" fontId="127" fillId="0" borderId="22" applyNumberFormat="0" applyFill="0" applyAlignment="0" applyProtection="0"/>
    <xf numFmtId="0" fontId="7" fillId="0" borderId="0" applyNumberFormat="0" applyFont="0" applyFill="0" applyBorder="0" applyAlignment="0" applyProtection="0"/>
    <xf numFmtId="0" fontId="53" fillId="0" borderId="22" applyNumberFormat="0" applyFill="0" applyAlignment="0" applyProtection="0"/>
    <xf numFmtId="0" fontId="127" fillId="0" borderId="22"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0" fontId="127" fillId="0" borderId="22" applyNumberFormat="0" applyFill="0" applyAlignment="0" applyProtection="0"/>
    <xf numFmtId="0" fontId="121" fillId="0" borderId="22" applyNumberFormat="0" applyFill="0" applyAlignment="0" applyProtection="0"/>
    <xf numFmtId="187" fontId="125"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53"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7" fillId="0" borderId="0" applyNumberFormat="0" applyFill="0" applyBorder="0" applyAlignment="0" applyProtection="0"/>
    <xf numFmtId="0" fontId="121"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87" fontId="125"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7" fillId="0" borderId="0" applyNumberFormat="0" applyFont="0" applyFill="0" applyBorder="0" applyAlignment="0" applyProtection="0"/>
    <xf numFmtId="187"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7" fillId="0" borderId="0" applyNumberFormat="0" applyFont="0" applyFill="0" applyBorder="0" applyAlignment="0" applyProtection="0"/>
    <xf numFmtId="0" fontId="53" fillId="0" borderId="0" applyNumberFormat="0" applyFill="0" applyBorder="0" applyAlignment="0" applyProtection="0"/>
    <xf numFmtId="0" fontId="12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7" fillId="0" borderId="0" applyNumberFormat="0" applyFill="0" applyBorder="0" applyAlignment="0" applyProtection="0"/>
    <xf numFmtId="0" fontId="121" fillId="0" borderId="0" applyNumberFormat="0" applyFill="0" applyBorder="0" applyAlignment="0" applyProtection="0"/>
    <xf numFmtId="187"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56" fillId="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9" fillId="6" borderId="0" applyNumberFormat="0" applyBorder="0" applyAlignment="0" applyProtection="0"/>
    <xf numFmtId="0" fontId="129"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187" fontId="128" fillId="46" borderId="0" applyNumberFormat="0" applyBorder="0" applyAlignment="0" applyProtection="0"/>
    <xf numFmtId="0"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29" fillId="6" borderId="0" applyNumberFormat="0" applyBorder="0" applyAlignment="0" applyProtection="0"/>
    <xf numFmtId="0" fontId="7" fillId="0" borderId="0" applyNumberFormat="0" applyFont="0" applyFill="0" applyBorder="0" applyAlignment="0" applyProtection="0"/>
    <xf numFmtId="187" fontId="128" fillId="4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28" fillId="46" borderId="0" applyNumberFormat="0" applyBorder="0" applyAlignment="0" applyProtection="0"/>
    <xf numFmtId="0" fontId="128" fillId="46" borderId="0" applyNumberFormat="0" applyBorder="0" applyAlignment="0" applyProtection="0"/>
    <xf numFmtId="0" fontId="129" fillId="6" borderId="0" applyNumberFormat="0" applyBorder="0" applyAlignment="0" applyProtection="0"/>
    <xf numFmtId="0" fontId="7" fillId="0" borderId="0" applyNumberFormat="0" applyFont="0" applyFill="0" applyBorder="0" applyAlignment="0" applyProtection="0"/>
    <xf numFmtId="0" fontId="56" fillId="6" borderId="0" applyNumberFormat="0" applyBorder="0" applyAlignment="0" applyProtection="0"/>
    <xf numFmtId="0" fontId="129" fillId="6" borderId="0" applyNumberFormat="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6" borderId="0" applyNumberFormat="0" applyBorder="0" applyAlignment="0" applyProtection="0"/>
    <xf numFmtId="0" fontId="129" fillId="0" borderId="0" applyNumberFormat="0" applyFill="0" applyBorder="0" applyAlignment="0" applyProtection="0"/>
    <xf numFmtId="0" fontId="68" fillId="0" borderId="0"/>
    <xf numFmtId="0" fontId="72" fillId="0" borderId="0"/>
    <xf numFmtId="0" fontId="13" fillId="0" borderId="0"/>
    <xf numFmtId="0" fontId="13"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68" fillId="0" borderId="0"/>
    <xf numFmtId="0" fontId="130" fillId="0" borderId="0"/>
    <xf numFmtId="0" fontId="131" fillId="0" borderId="0" applyNumberFormat="0" applyFont="0" applyFill="0" applyBorder="0" applyAlignment="0" applyProtection="0">
      <protection locked="0"/>
    </xf>
    <xf numFmtId="187" fontId="44"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187" fontId="44" fillId="0" borderId="0"/>
    <xf numFmtId="0" fontId="72" fillId="0" borderId="0"/>
    <xf numFmtId="0"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13"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44" fillId="0" borderId="0"/>
    <xf numFmtId="187" fontId="44" fillId="0" borderId="0"/>
    <xf numFmtId="0" fontId="13" fillId="0" borderId="0"/>
    <xf numFmtId="0" fontId="72" fillId="0" borderId="0"/>
    <xf numFmtId="0" fontId="72" fillId="0" borderId="0"/>
    <xf numFmtId="0" fontId="13" fillId="0" borderId="0"/>
    <xf numFmtId="0" fontId="13" fillId="0" borderId="0"/>
    <xf numFmtId="0" fontId="13"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xf numFmtId="0" fontId="72" fillId="0" borderId="0"/>
    <xf numFmtId="0"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72" fillId="0" borderId="0"/>
    <xf numFmtId="0" fontId="6" fillId="0" borderId="0"/>
    <xf numFmtId="0" fontId="6" fillId="0" borderId="0"/>
    <xf numFmtId="0" fontId="132"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xf numFmtId="187" fontId="44" fillId="0" borderId="0"/>
    <xf numFmtId="187" fontId="44" fillId="0" borderId="0"/>
    <xf numFmtId="0" fontId="13" fillId="0" borderId="0"/>
    <xf numFmtId="0" fontId="72" fillId="0" borderId="0"/>
    <xf numFmtId="0" fontId="13" fillId="0" borderId="0"/>
    <xf numFmtId="0" fontId="72" fillId="0" borderId="0"/>
    <xf numFmtId="0" fontId="13" fillId="0" borderId="0" applyNumberFormat="0" applyFont="0" applyFill="0" applyBorder="0" applyAlignment="0" applyProtection="0"/>
    <xf numFmtId="0" fontId="6" fillId="0" borderId="0"/>
    <xf numFmtId="0" fontId="6" fillId="0" borderId="0"/>
    <xf numFmtId="0" fontId="6" fillId="0" borderId="0"/>
    <xf numFmtId="0" fontId="6" fillId="0" borderId="0"/>
    <xf numFmtId="187" fontId="44" fillId="0" borderId="0"/>
    <xf numFmtId="187" fontId="44" fillId="0" borderId="0"/>
    <xf numFmtId="0" fontId="13" fillId="0" borderId="0"/>
    <xf numFmtId="0" fontId="13" fillId="0" borderId="0"/>
    <xf numFmtId="0" fontId="68" fillId="0" borderId="0"/>
    <xf numFmtId="0" fontId="13" fillId="0" borderId="0" applyNumberFormat="0" applyFill="0" applyBorder="0" applyAlignment="0" applyProtection="0"/>
    <xf numFmtId="187" fontId="72" fillId="0" borderId="0"/>
    <xf numFmtId="0" fontId="13" fillId="0" borderId="0"/>
    <xf numFmtId="0" fontId="13" fillId="0" borderId="0"/>
    <xf numFmtId="0" fontId="72" fillId="0" borderId="0"/>
    <xf numFmtId="0" fontId="72" fillId="0" borderId="0"/>
    <xf numFmtId="0" fontId="13" fillId="0" borderId="0" applyNumberFormat="0" applyFont="0" applyFill="0" applyBorder="0" applyAlignment="0" applyProtection="0"/>
    <xf numFmtId="0" fontId="68" fillId="0" borderId="0"/>
    <xf numFmtId="0" fontId="72" fillId="0" borderId="0"/>
    <xf numFmtId="187" fontId="44" fillId="0" borderId="0"/>
    <xf numFmtId="187" fontId="44" fillId="0" borderId="0"/>
    <xf numFmtId="0" fontId="13" fillId="0" borderId="0"/>
    <xf numFmtId="0" fontId="13" fillId="0" borderId="0"/>
    <xf numFmtId="0" fontId="68" fillId="0" borderId="0"/>
    <xf numFmtId="0" fontId="13" fillId="0" borderId="0" applyNumberFormat="0" applyFill="0" applyBorder="0" applyAlignment="0" applyProtection="0"/>
    <xf numFmtId="0" fontId="13" fillId="0" borderId="0"/>
    <xf numFmtId="0" fontId="13" fillId="0" borderId="0"/>
    <xf numFmtId="0" fontId="68" fillId="0" borderId="0"/>
    <xf numFmtId="0" fontId="13" fillId="0" borderId="0" applyNumberFormat="0" applyFill="0" applyBorder="0" applyAlignment="0" applyProtection="0"/>
    <xf numFmtId="187" fontId="44" fillId="0" borderId="0"/>
    <xf numFmtId="0" fontId="13" fillId="0" borderId="0"/>
    <xf numFmtId="0" fontId="68" fillId="0" borderId="0"/>
    <xf numFmtId="0" fontId="72" fillId="0" borderId="0"/>
    <xf numFmtId="187" fontId="44"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8" fillId="0" borderId="0"/>
    <xf numFmtId="187" fontId="72" fillId="0" borderId="0"/>
    <xf numFmtId="187" fontId="78" fillId="0" borderId="0" applyFill="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72" fillId="0" borderId="0"/>
    <xf numFmtId="0" fontId="69" fillId="0" borderId="0"/>
    <xf numFmtId="0" fontId="69" fillId="0" borderId="0"/>
    <xf numFmtId="0" fontId="13" fillId="0" borderId="0" applyNumberFormat="0" applyFont="0" applyFill="0" applyBorder="0" applyAlignment="0" applyProtection="0"/>
    <xf numFmtId="188" fontId="72" fillId="0" borderId="0"/>
    <xf numFmtId="0" fontId="69" fillId="0" borderId="0"/>
    <xf numFmtId="0" fontId="6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187" fontId="6" fillId="0" borderId="0"/>
    <xf numFmtId="0" fontId="72" fillId="0" borderId="0"/>
    <xf numFmtId="0" fontId="6" fillId="0" borderId="0" applyNumberFormat="0" applyFill="0" applyBorder="0" applyAlignment="0" applyProtection="0"/>
    <xf numFmtId="188" fontId="6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2" fillId="0" borderId="0"/>
    <xf numFmtId="0" fontId="6" fillId="0" borderId="0"/>
    <xf numFmtId="0" fontId="13" fillId="0" borderId="0" applyNumberFormat="0" applyFont="0" applyFill="0" applyBorder="0" applyAlignment="0" applyProtection="0"/>
    <xf numFmtId="187" fontId="6" fillId="0" borderId="0"/>
    <xf numFmtId="187" fontId="13" fillId="0" borderId="0"/>
    <xf numFmtId="187" fontId="13" fillId="0" borderId="0"/>
    <xf numFmtId="0" fontId="6" fillId="0" borderId="0"/>
    <xf numFmtId="0" fontId="6" fillId="0" borderId="0"/>
    <xf numFmtId="0" fontId="68" fillId="0" borderId="0"/>
    <xf numFmtId="0" fontId="6" fillId="0" borderId="0"/>
    <xf numFmtId="0" fontId="6" fillId="0" borderId="0" applyNumberFormat="0" applyFill="0" applyBorder="0" applyAlignment="0" applyProtection="0"/>
    <xf numFmtId="187" fontId="7" fillId="0" borderId="0"/>
    <xf numFmtId="0" fontId="6" fillId="0" borderId="0"/>
    <xf numFmtId="0" fontId="6" fillId="0" borderId="0"/>
    <xf numFmtId="0" fontId="6" fillId="0" borderId="0" applyNumberFormat="0" applyFill="0" applyBorder="0" applyAlignment="0" applyProtection="0"/>
    <xf numFmtId="187" fontId="7" fillId="0" borderId="0"/>
    <xf numFmtId="0" fontId="6" fillId="0" borderId="0" applyNumberFormat="0" applyFill="0" applyBorder="0" applyAlignment="0" applyProtection="0"/>
    <xf numFmtId="187" fontId="7" fillId="0" borderId="0"/>
    <xf numFmtId="0" fontId="6" fillId="0" borderId="0" applyNumberFormat="0" applyFill="0" applyBorder="0" applyAlignment="0" applyProtection="0"/>
    <xf numFmtId="187" fontId="7" fillId="0" borderId="0"/>
    <xf numFmtId="0" fontId="6" fillId="0" borderId="0" applyNumberFormat="0" applyFill="0" applyBorder="0" applyAlignment="0" applyProtection="0"/>
    <xf numFmtId="187" fontId="7" fillId="0" borderId="0"/>
    <xf numFmtId="0" fontId="6" fillId="0" borderId="0" applyNumberFormat="0" applyFill="0" applyBorder="0" applyAlignment="0" applyProtection="0"/>
    <xf numFmtId="187" fontId="7" fillId="0" borderId="0"/>
    <xf numFmtId="0" fontId="6" fillId="0" borderId="0" applyNumberFormat="0" applyFill="0" applyBorder="0" applyAlignment="0" applyProtection="0"/>
    <xf numFmtId="187" fontId="7" fillId="0" borderId="0"/>
    <xf numFmtId="0" fontId="6" fillId="0" borderId="0" applyNumberFormat="0" applyFill="0" applyBorder="0" applyAlignment="0" applyProtection="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69" fillId="0" borderId="0"/>
    <xf numFmtId="0" fontId="69" fillId="0" borderId="0"/>
    <xf numFmtId="0" fontId="13" fillId="0" borderId="0" applyNumberFormat="0" applyFont="0" applyFill="0" applyBorder="0" applyAlignment="0" applyProtection="0"/>
    <xf numFmtId="0" fontId="72" fillId="0" borderId="0"/>
    <xf numFmtId="0" fontId="72" fillId="0" borderId="0"/>
    <xf numFmtId="0" fontId="13" fillId="0" borderId="0" applyNumberFormat="0" applyFont="0" applyFill="0" applyBorder="0" applyAlignment="0" applyProtection="0"/>
    <xf numFmtId="0" fontId="72" fillId="0" borderId="0"/>
    <xf numFmtId="0" fontId="72" fillId="0" borderId="0"/>
    <xf numFmtId="0" fontId="13" fillId="0" borderId="0" applyNumberFormat="0" applyFill="0" applyBorder="0" applyAlignment="0" applyProtection="0"/>
    <xf numFmtId="0" fontId="90" fillId="0" borderId="0"/>
    <xf numFmtId="0" fontId="90" fillId="0" borderId="0"/>
    <xf numFmtId="0" fontId="13" fillId="0" borderId="0" applyNumberFormat="0" applyFill="0" applyBorder="0" applyAlignment="0" applyProtection="0"/>
    <xf numFmtId="0" fontId="90" fillId="0" borderId="0"/>
    <xf numFmtId="0" fontId="90" fillId="0" borderId="0"/>
    <xf numFmtId="0" fontId="13" fillId="0" borderId="0" applyNumberFormat="0" applyFont="0" applyFill="0" applyBorder="0" applyAlignment="0" applyProtection="0"/>
    <xf numFmtId="0" fontId="72" fillId="0" borderId="0"/>
    <xf numFmtId="0" fontId="72" fillId="0" borderId="0"/>
    <xf numFmtId="0" fontId="72" fillId="0" borderId="0"/>
    <xf numFmtId="187" fontId="72" fillId="0" borderId="0"/>
    <xf numFmtId="0" fontId="72" fillId="0" borderId="0"/>
    <xf numFmtId="0"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ont="0" applyFill="0" applyBorder="0" applyAlignment="0" applyProtection="0"/>
    <xf numFmtId="0"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3" fillId="0" borderId="0"/>
    <xf numFmtId="187" fontId="72"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68" fillId="0" borderId="0"/>
    <xf numFmtId="0" fontId="13" fillId="0" borderId="0" applyNumberFormat="0" applyFont="0" applyFill="0" applyBorder="0" applyAlignment="0" applyProtection="0"/>
    <xf numFmtId="0" fontId="68" fillId="0" borderId="0"/>
    <xf numFmtId="0" fontId="68" fillId="0" borderId="0"/>
    <xf numFmtId="0" fontId="69"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87" fontId="68" fillId="0" borderId="0"/>
    <xf numFmtId="187" fontId="68" fillId="0" borderId="0"/>
    <xf numFmtId="0" fontId="69" fillId="0" borderId="0"/>
    <xf numFmtId="187" fontId="13" fillId="0" borderId="0"/>
    <xf numFmtId="0" fontId="69" fillId="0" borderId="0"/>
    <xf numFmtId="0" fontId="13" fillId="0" borderId="0" applyNumberFormat="0" applyFont="0" applyFill="0" applyBorder="0" applyAlignment="0" applyProtection="0"/>
    <xf numFmtId="187" fontId="68" fillId="0" borderId="0"/>
    <xf numFmtId="0" fontId="69" fillId="0" borderId="0"/>
    <xf numFmtId="0" fontId="69" fillId="0" borderId="0"/>
    <xf numFmtId="0" fontId="13" fillId="0" borderId="0" applyNumberFormat="0" applyFont="0" applyFill="0" applyBorder="0" applyAlignment="0" applyProtection="0"/>
    <xf numFmtId="187" fontId="68" fillId="0" borderId="0"/>
    <xf numFmtId="0" fontId="69" fillId="0" borderId="0"/>
    <xf numFmtId="0" fontId="69" fillId="0" borderId="0"/>
    <xf numFmtId="0" fontId="13" fillId="0" borderId="0" applyNumberFormat="0" applyFont="0" applyFill="0" applyBorder="0" applyAlignment="0" applyProtection="0"/>
    <xf numFmtId="187" fontId="68" fillId="0" borderId="0"/>
    <xf numFmtId="0" fontId="69" fillId="0" borderId="0"/>
    <xf numFmtId="0" fontId="69" fillId="0" borderId="0"/>
    <xf numFmtId="0" fontId="13" fillId="0" borderId="0" applyNumberFormat="0" applyFont="0" applyFill="0" applyBorder="0" applyAlignment="0" applyProtection="0"/>
    <xf numFmtId="187" fontId="68" fillId="0" borderId="0"/>
    <xf numFmtId="0" fontId="69" fillId="0" borderId="0"/>
    <xf numFmtId="0" fontId="69" fillId="0" borderId="0"/>
    <xf numFmtId="0" fontId="13" fillId="0" borderId="0" applyNumberFormat="0" applyFont="0" applyFill="0" applyBorder="0" applyAlignment="0" applyProtection="0"/>
    <xf numFmtId="187" fontId="72" fillId="0" borderId="0"/>
    <xf numFmtId="187" fontId="44"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8" fillId="0" borderId="0"/>
    <xf numFmtId="0" fontId="44" fillId="0" borderId="0"/>
    <xf numFmtId="0" fontId="6" fillId="0" borderId="0"/>
    <xf numFmtId="0" fontId="72"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8" fillId="0" borderId="0"/>
    <xf numFmtId="0" fontId="6" fillId="0" borderId="0"/>
    <xf numFmtId="0" fontId="6"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8" fillId="0" borderId="0"/>
    <xf numFmtId="0" fontId="6" fillId="0" borderId="0"/>
    <xf numFmtId="0" fontId="6"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8" fillId="0" borderId="0"/>
    <xf numFmtId="0" fontId="6" fillId="0" borderId="0"/>
    <xf numFmtId="0" fontId="6"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8" fillId="0" borderId="0"/>
    <xf numFmtId="0" fontId="6" fillId="0" borderId="0"/>
    <xf numFmtId="0" fontId="6" fillId="0" borderId="0"/>
    <xf numFmtId="0" fontId="13" fillId="0" borderId="0"/>
    <xf numFmtId="0" fontId="68" fillId="0" borderId="0"/>
    <xf numFmtId="0" fontId="6" fillId="0" borderId="0"/>
    <xf numFmtId="0" fontId="6" fillId="0" borderId="0"/>
    <xf numFmtId="0" fontId="13" fillId="0" borderId="0"/>
    <xf numFmtId="0" fontId="107" fillId="0" borderId="0"/>
    <xf numFmtId="0" fontId="6" fillId="0" borderId="0"/>
    <xf numFmtId="0" fontId="6" fillId="0" borderId="0"/>
    <xf numFmtId="0" fontId="13" fillId="0" borderId="0"/>
    <xf numFmtId="0" fontId="107" fillId="0" borderId="0"/>
    <xf numFmtId="0" fontId="6" fillId="0" borderId="0"/>
    <xf numFmtId="0" fontId="6" fillId="0" borderId="0"/>
    <xf numFmtId="0" fontId="13" fillId="0" borderId="0"/>
    <xf numFmtId="0" fontId="107" fillId="0" borderId="0"/>
    <xf numFmtId="0" fontId="6" fillId="0" borderId="0"/>
    <xf numFmtId="0" fontId="6" fillId="0" borderId="0"/>
    <xf numFmtId="0" fontId="6" fillId="0" borderId="0"/>
    <xf numFmtId="0" fontId="13" fillId="0" borderId="0"/>
    <xf numFmtId="0" fontId="6" fillId="0" borderId="0"/>
    <xf numFmtId="0" fontId="90" fillId="0" borderId="0"/>
    <xf numFmtId="0" fontId="6" fillId="0" borderId="0"/>
    <xf numFmtId="187" fontId="72" fillId="0" borderId="0"/>
    <xf numFmtId="0" fontId="72" fillId="0" borderId="0"/>
    <xf numFmtId="0" fontId="13" fillId="0" borderId="0"/>
    <xf numFmtId="0" fontId="13" fillId="0" borderId="0" applyNumberFormat="0" applyFill="0" applyBorder="0" applyAlignment="0" applyProtection="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6" fillId="0" borderId="0" applyNumberFormat="0" applyFill="0" applyBorder="0" applyAlignment="0" applyProtection="0"/>
    <xf numFmtId="0" fontId="6" fillId="0" borderId="0"/>
    <xf numFmtId="0" fontId="6" fillId="0" borderId="0"/>
    <xf numFmtId="0" fontId="72" fillId="0" borderId="0"/>
    <xf numFmtId="0" fontId="13" fillId="0" borderId="0" applyNumberFormat="0" applyFont="0" applyFill="0" applyBorder="0" applyAlignment="0" applyProtection="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7" fontId="7"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xf numFmtId="0" fontId="13" fillId="0" borderId="0"/>
    <xf numFmtId="0" fontId="13" fillId="0" borderId="0"/>
    <xf numFmtId="0" fontId="13" fillId="0" borderId="0" applyNumberFormat="0" applyFill="0" applyBorder="0" applyAlignment="0" applyProtection="0"/>
    <xf numFmtId="0" fontId="72" fillId="0" borderId="0"/>
    <xf numFmtId="0" fontId="13" fillId="0" borderId="0" applyNumberFormat="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7" fillId="0" borderId="0"/>
    <xf numFmtId="0" fontId="7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91" fillId="0" borderId="0"/>
    <xf numFmtId="0" fontId="13" fillId="0" borderId="0" applyNumberFormat="0" applyFont="0" applyFill="0" applyBorder="0" applyAlignment="0" applyProtection="0"/>
    <xf numFmtId="187" fontId="7" fillId="0" borderId="0"/>
    <xf numFmtId="0" fontId="91" fillId="0" borderId="0"/>
    <xf numFmtId="0" fontId="13" fillId="0" borderId="0" applyNumberFormat="0" applyFont="0" applyFill="0" applyBorder="0" applyAlignment="0" applyProtection="0"/>
    <xf numFmtId="187" fontId="7" fillId="0" borderId="0"/>
    <xf numFmtId="0" fontId="91" fillId="0" borderId="0"/>
    <xf numFmtId="0" fontId="13" fillId="0" borderId="0" applyNumberFormat="0" applyFont="0" applyFill="0" applyBorder="0" applyAlignment="0" applyProtection="0"/>
    <xf numFmtId="187" fontId="7" fillId="0" borderId="0"/>
    <xf numFmtId="0" fontId="91" fillId="0" borderId="0"/>
    <xf numFmtId="0" fontId="13" fillId="0" borderId="0"/>
    <xf numFmtId="187" fontId="7" fillId="0" borderId="0"/>
    <xf numFmtId="0" fontId="91" fillId="0" borderId="0"/>
    <xf numFmtId="0" fontId="13" fillId="0" borderId="0"/>
    <xf numFmtId="187" fontId="7" fillId="0" borderId="0"/>
    <xf numFmtId="187" fontId="72" fillId="0" borderId="0"/>
    <xf numFmtId="0" fontId="6" fillId="0" borderId="0"/>
    <xf numFmtId="0" fontId="13" fillId="0" borderId="0"/>
    <xf numFmtId="0" fontId="107" fillId="0" borderId="0"/>
    <xf numFmtId="0" fontId="6" fillId="0" borderId="0"/>
    <xf numFmtId="187" fontId="13" fillId="0" borderId="0"/>
    <xf numFmtId="0" fontId="6" fillId="0" borderId="0"/>
    <xf numFmtId="0" fontId="13" fillId="0" borderId="0"/>
    <xf numFmtId="0" fontId="6" fillId="0" borderId="0"/>
    <xf numFmtId="0" fontId="107" fillId="0" borderId="0"/>
    <xf numFmtId="0" fontId="6" fillId="0" borderId="0"/>
    <xf numFmtId="0" fontId="13" fillId="0" borderId="0"/>
    <xf numFmtId="0" fontId="68" fillId="0" borderId="0"/>
    <xf numFmtId="0" fontId="6" fillId="0" borderId="0"/>
    <xf numFmtId="0" fontId="6" fillId="0" borderId="0"/>
    <xf numFmtId="0" fontId="13" fillId="0" borderId="0"/>
    <xf numFmtId="0" fontId="68" fillId="0" borderId="0"/>
    <xf numFmtId="0" fontId="6" fillId="0" borderId="0"/>
    <xf numFmtId="0" fontId="6" fillId="0" borderId="0"/>
    <xf numFmtId="0" fontId="13" fillId="0" borderId="0"/>
    <xf numFmtId="0" fontId="68" fillId="0" borderId="0"/>
    <xf numFmtId="0" fontId="6" fillId="0" borderId="0"/>
    <xf numFmtId="0" fontId="6" fillId="0" borderId="0"/>
    <xf numFmtId="0" fontId="13" fillId="0" borderId="0"/>
    <xf numFmtId="0" fontId="72"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72" fillId="0" borderId="0"/>
    <xf numFmtId="0" fontId="6" fillId="0" borderId="0"/>
    <xf numFmtId="0" fontId="13" fillId="0" borderId="0"/>
    <xf numFmtId="0" fontId="6" fillId="0" borderId="0"/>
    <xf numFmtId="0" fontId="13" fillId="0" borderId="0"/>
    <xf numFmtId="187" fontId="44" fillId="0" borderId="0"/>
    <xf numFmtId="0" fontId="13" fillId="0" borderId="0"/>
    <xf numFmtId="0" fontId="13" fillId="0" borderId="0" applyNumberFormat="0" applyFill="0" applyBorder="0" applyAlignment="0" applyProtection="0"/>
    <xf numFmtId="187" fontId="6" fillId="0" borderId="0"/>
    <xf numFmtId="187" fontId="6" fillId="0" borderId="0"/>
    <xf numFmtId="0" fontId="1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0" borderId="0"/>
    <xf numFmtId="0" fontId="6" fillId="0" borderId="0"/>
    <xf numFmtId="0" fontId="72" fillId="0" borderId="0"/>
    <xf numFmtId="0" fontId="6" fillId="0" borderId="0" applyNumberFormat="0" applyFill="0" applyBorder="0" applyAlignment="0" applyProtection="0"/>
    <xf numFmtId="187" fontId="72" fillId="0" borderId="0"/>
    <xf numFmtId="0" fontId="13" fillId="0" borderId="0"/>
    <xf numFmtId="0" fontId="72" fillId="0" borderId="0"/>
    <xf numFmtId="0" fontId="72" fillId="0" borderId="0"/>
    <xf numFmtId="0" fontId="13" fillId="0" borderId="0" applyNumberFormat="0" applyFont="0" applyFill="0" applyBorder="0" applyAlignment="0" applyProtection="0"/>
    <xf numFmtId="187" fontId="72" fillId="0" borderId="0"/>
    <xf numFmtId="0" fontId="72" fillId="0" borderId="0"/>
    <xf numFmtId="0" fontId="72" fillId="0" borderId="0"/>
    <xf numFmtId="0" fontId="13" fillId="0" borderId="0" applyNumberFormat="0" applyFont="0" applyFill="0" applyBorder="0" applyAlignment="0" applyProtection="0"/>
    <xf numFmtId="187" fontId="44" fillId="0" borderId="0"/>
    <xf numFmtId="0" fontId="13" fillId="0" borderId="0"/>
    <xf numFmtId="0" fontId="13" fillId="0" borderId="0"/>
    <xf numFmtId="0" fontId="13" fillId="0" borderId="0" applyNumberFormat="0" applyFill="0" applyBorder="0" applyAlignment="0" applyProtection="0"/>
    <xf numFmtId="187" fontId="44"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187" fontId="72" fillId="0" borderId="0"/>
    <xf numFmtId="0" fontId="72" fillId="0" borderId="0"/>
    <xf numFmtId="0" fontId="6" fillId="0" borderId="0"/>
    <xf numFmtId="0" fontId="13" fillId="0" borderId="0"/>
    <xf numFmtId="0" fontId="6" fillId="0" borderId="0"/>
    <xf numFmtId="187" fontId="13" fillId="0" borderId="0"/>
    <xf numFmtId="0" fontId="13"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188" fontId="13" fillId="0" borderId="0"/>
    <xf numFmtId="0" fontId="6" fillId="0" borderId="0"/>
    <xf numFmtId="0" fontId="13" fillId="0" borderId="0"/>
    <xf numFmtId="0" fontId="13" fillId="0" borderId="0"/>
    <xf numFmtId="0" fontId="6" fillId="0" borderId="0"/>
    <xf numFmtId="188" fontId="13" fillId="0" borderId="0"/>
    <xf numFmtId="0" fontId="6" fillId="0" borderId="0"/>
    <xf numFmtId="0" fontId="13" fillId="0" borderId="0"/>
    <xf numFmtId="0" fontId="13" fillId="0" borderId="0"/>
    <xf numFmtId="0" fontId="6" fillId="0" borderId="0"/>
    <xf numFmtId="187"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187" fontId="134" fillId="0" borderId="0"/>
    <xf numFmtId="0" fontId="72" fillId="0" borderId="0"/>
    <xf numFmtId="0" fontId="13" fillId="0" borderId="0"/>
    <xf numFmtId="0" fontId="13" fillId="0" borderId="0" applyNumberFormat="0" applyFont="0" applyFill="0" applyBorder="0" applyAlignment="0" applyProtection="0"/>
    <xf numFmtId="0" fontId="44" fillId="0" borderId="0"/>
    <xf numFmtId="0" fontId="134" fillId="0" borderId="0" applyNumberFormat="0" applyFill="0" applyBorder="0" applyAlignment="0" applyProtection="0"/>
    <xf numFmtId="0" fontId="134"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2" fillId="0" borderId="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3" fillId="0" borderId="0" applyNumberFormat="0" applyFont="0" applyFill="0" applyBorder="0" applyAlignment="0" applyProtection="0"/>
    <xf numFmtId="0" fontId="13" fillId="0" borderId="0"/>
    <xf numFmtId="0" fontId="6" fillId="0" borderId="0"/>
    <xf numFmtId="0" fontId="6" fillId="0" borderId="0" applyNumberFormat="0" applyFill="0" applyBorder="0" applyAlignment="0" applyProtection="0"/>
    <xf numFmtId="0" fontId="72" fillId="0" borderId="0"/>
    <xf numFmtId="0" fontId="6" fillId="0" borderId="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2" fillId="0" borderId="0"/>
    <xf numFmtId="0" fontId="13" fillId="0" borderId="0" applyNumberFormat="0" applyFont="0" applyFill="0" applyBorder="0" applyAlignment="0" applyProtection="0"/>
    <xf numFmtId="0" fontId="68" fillId="0" borderId="0"/>
    <xf numFmtId="0" fontId="134" fillId="0" borderId="0"/>
    <xf numFmtId="187" fontId="7" fillId="0" borderId="0"/>
    <xf numFmtId="0" fontId="13" fillId="0" borderId="0"/>
    <xf numFmtId="0" fontId="72" fillId="0" borderId="0"/>
    <xf numFmtId="0" fontId="13" fillId="0" borderId="0" applyNumberFormat="0" applyFont="0" applyFill="0" applyBorder="0" applyAlignment="0" applyProtection="0"/>
    <xf numFmtId="187" fontId="7" fillId="0" borderId="0"/>
    <xf numFmtId="0" fontId="134" fillId="0" borderId="0"/>
    <xf numFmtId="0" fontId="13" fillId="0" borderId="0" applyNumberFormat="0" applyFont="0" applyFill="0" applyBorder="0" applyAlignment="0" applyProtection="0"/>
    <xf numFmtId="187" fontId="7" fillId="0" borderId="0"/>
    <xf numFmtId="0" fontId="13" fillId="0" borderId="0" applyNumberFormat="0" applyFont="0" applyFill="0" applyBorder="0" applyAlignment="0" applyProtection="0"/>
    <xf numFmtId="187" fontId="7" fillId="0" borderId="0"/>
    <xf numFmtId="0" fontId="13" fillId="0" borderId="0" applyNumberFormat="0" applyFont="0" applyFill="0" applyBorder="0" applyAlignment="0" applyProtection="0"/>
    <xf numFmtId="187" fontId="7" fillId="0" borderId="0"/>
    <xf numFmtId="0" fontId="13" fillId="0" borderId="0" applyNumberFormat="0" applyFont="0" applyFill="0" applyBorder="0" applyAlignment="0" applyProtection="0"/>
    <xf numFmtId="187" fontId="7" fillId="0" borderId="0"/>
    <xf numFmtId="0" fontId="13" fillId="0" borderId="0" applyNumberFormat="0" applyFont="0" applyFill="0" applyBorder="0" applyAlignment="0" applyProtection="0"/>
    <xf numFmtId="187" fontId="7" fillId="0" borderId="0"/>
    <xf numFmtId="0" fontId="13" fillId="0" borderId="0" applyNumberFormat="0" applyFont="0" applyFill="0" applyBorder="0" applyAlignment="0" applyProtection="0"/>
    <xf numFmtId="187" fontId="72"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187" fontId="44" fillId="0" borderId="0"/>
    <xf numFmtId="187" fontId="44" fillId="0" borderId="0"/>
    <xf numFmtId="0" fontId="72" fillId="0" borderId="0"/>
    <xf numFmtId="0" fontId="13" fillId="0" borderId="0" applyNumberFormat="0" applyFill="0" applyBorder="0" applyAlignment="0" applyProtection="0"/>
    <xf numFmtId="187" fontId="44" fillId="0" borderId="0"/>
    <xf numFmtId="0" fontId="13" fillId="0" borderId="0" applyNumberFormat="0" applyFill="0" applyBorder="0" applyAlignment="0" applyProtection="0"/>
    <xf numFmtId="0" fontId="72" fillId="0" borderId="0"/>
    <xf numFmtId="0" fontId="13" fillId="0" borderId="0"/>
    <xf numFmtId="0" fontId="13" fillId="0" borderId="0" applyNumberFormat="0" applyFill="0" applyBorder="0" applyAlignment="0" applyProtection="0"/>
    <xf numFmtId="188" fontId="44"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7" fontId="6" fillId="0" borderId="0"/>
    <xf numFmtId="0" fontId="6" fillId="0" borderId="0" applyNumberFormat="0" applyFill="0" applyBorder="0" applyAlignment="0" applyProtection="0"/>
    <xf numFmtId="0" fontId="13" fillId="0" borderId="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87" fontId="44" fillId="0" borderId="0"/>
    <xf numFmtId="187" fontId="44" fillId="0" borderId="0"/>
    <xf numFmtId="0" fontId="13" fillId="0" borderId="0"/>
    <xf numFmtId="0" fontId="13" fillId="0" borderId="0" applyNumberFormat="0" applyFont="0" applyFill="0" applyBorder="0" applyAlignment="0" applyProtection="0"/>
    <xf numFmtId="0" fontId="72" fillId="0" borderId="0"/>
    <xf numFmtId="0" fontId="72" fillId="0" borderId="0"/>
    <xf numFmtId="0" fontId="13" fillId="0" borderId="0"/>
    <xf numFmtId="0" fontId="13" fillId="0" borderId="0" applyNumberFormat="0" applyFill="0" applyBorder="0" applyAlignment="0" applyProtection="0"/>
    <xf numFmtId="187" fontId="6" fillId="0" borderId="0"/>
    <xf numFmtId="0" fontId="13" fillId="0" borderId="0"/>
    <xf numFmtId="0" fontId="13" fillId="0" borderId="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xf numFmtId="0" fontId="13" fillId="0" borderId="0" applyNumberFormat="0" applyFont="0" applyFill="0" applyBorder="0" applyAlignment="0" applyProtection="0"/>
    <xf numFmtId="0" fontId="13" fillId="0" borderId="0"/>
    <xf numFmtId="0" fontId="6" fillId="0" borderId="0" applyNumberFormat="0" applyFill="0" applyBorder="0" applyAlignment="0" applyProtection="0"/>
    <xf numFmtId="0" fontId="13" fillId="0" borderId="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applyNumberFormat="0" applyFill="0" applyBorder="0" applyAlignment="0" applyProtection="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7" fontId="7" fillId="0" borderId="0"/>
    <xf numFmtId="187" fontId="7" fillId="0" borderId="0"/>
    <xf numFmtId="0" fontId="72" fillId="0" borderId="0"/>
    <xf numFmtId="187" fontId="44" fillId="0" borderId="0"/>
    <xf numFmtId="187" fontId="44" fillId="0" borderId="0"/>
    <xf numFmtId="0" fontId="13" fillId="0" borderId="0" applyNumberFormat="0" applyFill="0" applyBorder="0" applyAlignment="0" applyProtection="0"/>
    <xf numFmtId="187" fontId="7" fillId="0" borderId="0"/>
    <xf numFmtId="187" fontId="7" fillId="0" borderId="0"/>
    <xf numFmtId="0" fontId="72" fillId="0" borderId="0"/>
    <xf numFmtId="187" fontId="44" fillId="0" borderId="0"/>
    <xf numFmtId="187" fontId="44" fillId="0" borderId="0"/>
    <xf numFmtId="0" fontId="13" fillId="0" borderId="0" applyNumberFormat="0" applyFill="0" applyBorder="0" applyAlignment="0" applyProtection="0"/>
    <xf numFmtId="187" fontId="7" fillId="0" borderId="0"/>
    <xf numFmtId="187" fontId="7" fillId="0" borderId="0"/>
    <xf numFmtId="0" fontId="72" fillId="0" borderId="0"/>
    <xf numFmtId="187" fontId="44" fillId="0" borderId="0"/>
    <xf numFmtId="187" fontId="44" fillId="0" borderId="0"/>
    <xf numFmtId="0" fontId="13" fillId="0" borderId="0" applyNumberFormat="0" applyFill="0" applyBorder="0" applyAlignment="0" applyProtection="0"/>
    <xf numFmtId="187" fontId="7" fillId="0" borderId="0"/>
    <xf numFmtId="0" fontId="72" fillId="0" borderId="0"/>
    <xf numFmtId="0" fontId="13" fillId="0" borderId="0" applyNumberFormat="0" applyFill="0" applyBorder="0" applyAlignment="0" applyProtection="0"/>
    <xf numFmtId="187" fontId="7" fillId="0" borderId="0"/>
    <xf numFmtId="0" fontId="72" fillId="0" borderId="0"/>
    <xf numFmtId="0" fontId="13" fillId="0" borderId="0" applyNumberFormat="0" applyFill="0" applyBorder="0" applyAlignment="0" applyProtection="0"/>
    <xf numFmtId="187" fontId="7" fillId="0" borderId="0"/>
    <xf numFmtId="0" fontId="72" fillId="0" borderId="0"/>
    <xf numFmtId="0" fontId="13" fillId="0" borderId="0" applyNumberFormat="0" applyFill="0" applyBorder="0" applyAlignment="0" applyProtection="0"/>
    <xf numFmtId="187" fontId="72"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72" fillId="0" borderId="0"/>
    <xf numFmtId="0" fontId="6" fillId="0" borderId="0"/>
    <xf numFmtId="0" fontId="6" fillId="0" borderId="0"/>
    <xf numFmtId="0" fontId="13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7" fillId="0" borderId="0"/>
    <xf numFmtId="187" fontId="7" fillId="0" borderId="0"/>
    <xf numFmtId="187" fontId="44" fillId="0" borderId="0"/>
    <xf numFmtId="187" fontId="44" fillId="0" borderId="0"/>
    <xf numFmtId="0" fontId="13" fillId="0" borderId="0"/>
    <xf numFmtId="0" fontId="13" fillId="0" borderId="0" applyNumberFormat="0" applyFill="0" applyBorder="0" applyAlignment="0" applyProtection="0"/>
    <xf numFmtId="187" fontId="6" fillId="0" borderId="0"/>
    <xf numFmtId="0" fontId="13" fillId="0" borderId="0"/>
    <xf numFmtId="0" fontId="6" fillId="0" borderId="0"/>
    <xf numFmtId="0" fontId="6" fillId="0" borderId="0"/>
    <xf numFmtId="0" fontId="13" fillId="0" borderId="0"/>
    <xf numFmtId="0" fontId="6" fillId="0" borderId="0" applyNumberFormat="0" applyFill="0" applyBorder="0" applyAlignment="0" applyProtection="0"/>
    <xf numFmtId="187" fontId="6" fillId="0" borderId="0"/>
    <xf numFmtId="187" fontId="6" fillId="0" borderId="0"/>
    <xf numFmtId="0" fontId="13" fillId="0" borderId="0"/>
    <xf numFmtId="0" fontId="6" fillId="0" borderId="0"/>
    <xf numFmtId="0" fontId="6" fillId="0" borderId="0"/>
    <xf numFmtId="0" fontId="6" fillId="0" borderId="0" applyNumberFormat="0" applyFill="0" applyBorder="0" applyAlignment="0" applyProtection="0"/>
    <xf numFmtId="187" fontId="6" fillId="0" borderId="0"/>
    <xf numFmtId="187" fontId="7" fillId="0" borderId="0"/>
    <xf numFmtId="0" fontId="13" fillId="0" borderId="0"/>
    <xf numFmtId="187" fontId="7" fillId="0" borderId="0"/>
    <xf numFmtId="0" fontId="13" fillId="0" borderId="0"/>
    <xf numFmtId="187" fontId="7" fillId="0" borderId="0"/>
    <xf numFmtId="187" fontId="7" fillId="0" borderId="0"/>
    <xf numFmtId="187" fontId="7" fillId="0" borderId="0"/>
    <xf numFmtId="187" fontId="7" fillId="0" borderId="0"/>
    <xf numFmtId="187"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7" fillId="0" borderId="0"/>
    <xf numFmtId="187" fontId="7" fillId="0" borderId="0"/>
    <xf numFmtId="187" fontId="44" fillId="0" borderId="0"/>
    <xf numFmtId="187" fontId="44" fillId="0" borderId="0"/>
    <xf numFmtId="0" fontId="72" fillId="0" borderId="0"/>
    <xf numFmtId="0" fontId="13" fillId="0" borderId="0"/>
    <xf numFmtId="0" fontId="13" fillId="0" borderId="0" applyNumberFormat="0" applyFont="0" applyFill="0" applyBorder="0" applyAlignment="0" applyProtection="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applyNumberFormat="0" applyFill="0" applyBorder="0" applyAlignment="0" applyProtection="0"/>
    <xf numFmtId="187"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87" fontId="6" fillId="0" borderId="0"/>
    <xf numFmtId="0" fontId="13" fillId="0" borderId="0"/>
    <xf numFmtId="0" fontId="6" fillId="0" borderId="0"/>
    <xf numFmtId="0" fontId="6" fillId="0" borderId="0"/>
    <xf numFmtId="0" fontId="6" fillId="0" borderId="0" applyNumberFormat="0" applyFill="0" applyBorder="0" applyAlignment="0" applyProtection="0"/>
    <xf numFmtId="187" fontId="6" fillId="0" borderId="0"/>
    <xf numFmtId="187" fontId="7" fillId="0" borderId="0"/>
    <xf numFmtId="0" fontId="68" fillId="0" borderId="0"/>
    <xf numFmtId="187" fontId="7" fillId="0" borderId="0"/>
    <xf numFmtId="0" fontId="68" fillId="0" borderId="0"/>
    <xf numFmtId="187" fontId="7" fillId="0" borderId="0"/>
    <xf numFmtId="187" fontId="7" fillId="0" borderId="0"/>
    <xf numFmtId="187" fontId="7" fillId="0" borderId="0"/>
    <xf numFmtId="187" fontId="7" fillId="0" borderId="0"/>
    <xf numFmtId="187" fontId="7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3" fillId="0" borderId="0"/>
    <xf numFmtId="187" fontId="13" fillId="0" borderId="0"/>
    <xf numFmtId="0" fontId="68" fillId="0" borderId="0"/>
    <xf numFmtId="187" fontId="44" fillId="0" borderId="0"/>
    <xf numFmtId="0" fontId="68" fillId="0" borderId="0"/>
    <xf numFmtId="187" fontId="44" fillId="0" borderId="0"/>
    <xf numFmtId="0" fontId="72" fillId="0" borderId="0"/>
    <xf numFmtId="0" fontId="13" fillId="0" borderId="0"/>
    <xf numFmtId="0" fontId="13"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5" fillId="0" borderId="0" applyNumberFormat="0" applyFill="0" applyBorder="0" applyProtection="0">
      <alignment vertical="top" wrapText="1"/>
    </xf>
    <xf numFmtId="0" fontId="135" fillId="0" borderId="0" applyNumberFormat="0" applyFill="0" applyBorder="0" applyProtection="0">
      <alignment vertical="top" wrapText="1"/>
    </xf>
    <xf numFmtId="207" fontId="136" fillId="0" borderId="0" applyFill="0" applyBorder="0" applyProtection="0">
      <alignment horizontal="right" vertical="top"/>
    </xf>
    <xf numFmtId="187" fontId="137" fillId="40"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59" fillId="8" borderId="23"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40"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40"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8" fillId="8" borderId="23" applyNumberFormat="0" applyAlignment="0" applyProtection="0"/>
    <xf numFmtId="0" fontId="111" fillId="0" borderId="23"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7" fillId="58" borderId="29" applyNumberFormat="0" applyAlignment="0" applyProtection="0"/>
    <xf numFmtId="0" fontId="137" fillId="58" borderId="29" applyNumberFormat="0" applyAlignment="0" applyProtection="0"/>
    <xf numFmtId="0" fontId="137" fillId="58" borderId="29" applyNumberFormat="0" applyAlignment="0" applyProtection="0"/>
    <xf numFmtId="187" fontId="137" fillId="40" borderId="29" applyNumberFormat="0" applyAlignment="0" applyProtection="0"/>
    <xf numFmtId="0" fontId="137" fillId="58"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40" borderId="29" applyNumberFormat="0" applyAlignment="0" applyProtection="0"/>
    <xf numFmtId="0" fontId="137" fillId="40" borderId="29" applyNumberFormat="0" applyAlignment="0" applyProtection="0"/>
    <xf numFmtId="0" fontId="138" fillId="8" borderId="23" applyNumberFormat="0" applyAlignment="0" applyProtection="0"/>
    <xf numFmtId="0" fontId="13" fillId="0" borderId="0" applyNumberFormat="0" applyFont="0" applyFill="0" applyBorder="0" applyAlignment="0" applyProtection="0"/>
    <xf numFmtId="187" fontId="137" fillId="40" borderId="29" applyNumberForma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7" fillId="40" borderId="29" applyNumberFormat="0" applyAlignment="0" applyProtection="0"/>
    <xf numFmtId="0" fontId="137" fillId="40" borderId="29" applyNumberFormat="0" applyAlignment="0" applyProtection="0"/>
    <xf numFmtId="0" fontId="138" fillId="8" borderId="23" applyNumberFormat="0" applyAlignment="0" applyProtection="0"/>
    <xf numFmtId="0" fontId="13" fillId="0" borderId="0" applyNumberFormat="0" applyFont="0" applyFill="0" applyBorder="0" applyAlignment="0" applyProtection="0"/>
    <xf numFmtId="0" fontId="59" fillId="8" borderId="23" applyNumberFormat="0" applyAlignment="0" applyProtection="0"/>
    <xf numFmtId="0" fontId="138" fillId="8" borderId="23" applyNumberFormat="0" applyAlignment="0" applyProtection="0"/>
    <xf numFmtId="0" fontId="111" fillId="0" borderId="23" applyNumberFormat="0" applyFill="0" applyAlignment="0" applyProtection="0"/>
    <xf numFmtId="0" fontId="111" fillId="0" borderId="23" applyNumberFormat="0" applyFill="0" applyAlignment="0" applyProtection="0"/>
    <xf numFmtId="0" fontId="138" fillId="8" borderId="23" applyNumberFormat="0" applyAlignment="0" applyProtection="0"/>
    <xf numFmtId="0" fontId="111" fillId="0" borderId="23" applyNumberFormat="0" applyFill="0" applyAlignment="0" applyProtection="0"/>
    <xf numFmtId="208" fontId="139" fillId="0" borderId="0">
      <alignment horizontal="left"/>
    </xf>
    <xf numFmtId="40" fontId="140" fillId="53" borderId="0">
      <alignment horizontal="right"/>
    </xf>
    <xf numFmtId="0" fontId="141" fillId="53" borderId="0">
      <alignment horizontal="right"/>
    </xf>
    <xf numFmtId="0" fontId="142" fillId="53" borderId="41"/>
    <xf numFmtId="0" fontId="142" fillId="0" borderId="0" applyBorder="0">
      <alignment horizontal="centerContinuous"/>
    </xf>
    <xf numFmtId="0" fontId="143" fillId="0" borderId="0" applyBorder="0">
      <alignment horizontal="centerContinuous"/>
    </xf>
    <xf numFmtId="0" fontId="13" fillId="0" borderId="0" applyNumberFormat="0" applyFont="0" applyFill="0" applyBorder="0" applyAlignment="0" applyProtection="0"/>
    <xf numFmtId="0" fontId="13" fillId="0" borderId="0" applyNumberFormat="0" applyFont="0" applyFill="0" applyBorder="0" applyAlignment="0" applyProtection="0"/>
    <xf numFmtId="10" fontId="72" fillId="0" borderId="0" applyFont="0" applyFill="0" applyBorder="0" applyAlignment="0" applyProtection="0"/>
    <xf numFmtId="9" fontId="68" fillId="0" borderId="0" applyFont="0" applyFill="0" applyBorder="0" applyAlignment="0" applyProtection="0"/>
    <xf numFmtId="187" fontId="144" fillId="0" borderId="0" applyNumberFormat="0" applyFill="0" applyBorder="0" applyProtection="0">
      <alignment horizontal="left"/>
    </xf>
    <xf numFmtId="187" fontId="144" fillId="0" borderId="0" applyNumberFormat="0" applyFill="0" applyBorder="0" applyAlignment="0" applyProtection="0"/>
    <xf numFmtId="187" fontId="144" fillId="0" borderId="0" applyNumberFormat="0" applyFill="0" applyBorder="0" applyAlignment="0" applyProtection="0"/>
    <xf numFmtId="187" fontId="144" fillId="0" borderId="0" applyNumberFormat="0" applyFill="0" applyBorder="0" applyAlignment="0" applyProtection="0"/>
    <xf numFmtId="187" fontId="144" fillId="0" borderId="0" applyNumberFormat="0" applyFill="0" applyBorder="0" applyProtection="0">
      <alignment horizontal="left"/>
    </xf>
    <xf numFmtId="187" fontId="144" fillId="0" borderId="0" applyNumberFormat="0" applyFill="0" applyBorder="0" applyAlignment="0" applyProtection="0"/>
    <xf numFmtId="2" fontId="145" fillId="53" borderId="0">
      <protection locked="0"/>
    </xf>
    <xf numFmtId="209" fontId="135" fillId="0" borderId="0"/>
    <xf numFmtId="9" fontId="13"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0" fontId="13" fillId="0" borderId="0" applyNumberFormat="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13" fillId="0" borderId="0" applyNumberFormat="0" applyFont="0" applyFill="0" applyBorder="0" applyAlignment="0" applyProtection="0"/>
    <xf numFmtId="9" fontId="146" fillId="0" borderId="0" applyFont="0" applyFill="0" applyBorder="0" applyAlignment="0" applyProtection="0"/>
    <xf numFmtId="9" fontId="72" fillId="0" borderId="0" applyFont="0" applyFill="0" applyBorder="0" applyAlignment="0" applyProtection="0"/>
    <xf numFmtId="0" fontId="13" fillId="0" borderId="0" applyNumberFormat="0" applyFont="0" applyFill="0" applyBorder="0" applyAlignment="0" applyProtection="0"/>
    <xf numFmtId="9" fontId="72"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2" fillId="0" borderId="0" applyFont="0" applyFill="0" applyBorder="0" applyAlignment="0" applyProtection="0"/>
    <xf numFmtId="0" fontId="13" fillId="0" borderId="0" applyNumberFormat="0" applyFont="0" applyFill="0" applyBorder="0" applyAlignment="0" applyProtection="0"/>
    <xf numFmtId="9" fontId="72" fillId="0" borderId="0" applyFont="0" applyFill="0" applyBorder="0" applyAlignment="0" applyProtection="0"/>
    <xf numFmtId="0" fontId="13" fillId="0" borderId="0" applyNumberFormat="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4"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2"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3" fillId="0" borderId="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9" fontId="44" fillId="0" borderId="0" applyFont="0" applyFill="0" applyBorder="0" applyAlignment="0" applyProtection="0"/>
    <xf numFmtId="0" fontId="13" fillId="0" borderId="0" applyNumberFormat="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9" fontId="6"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3" fillId="0" borderId="0" applyNumberFormat="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147" fillId="46" borderId="42" applyNumberFormat="0" applyProtection="0">
      <alignment vertical="center"/>
    </xf>
    <xf numFmtId="4" fontId="148" fillId="64" borderId="42" applyNumberFormat="0" applyProtection="0">
      <alignment vertical="center"/>
    </xf>
    <xf numFmtId="4" fontId="147" fillId="64" borderId="42" applyNumberFormat="0" applyProtection="0">
      <alignment horizontal="left" vertical="center" indent="1"/>
    </xf>
    <xf numFmtId="0" fontId="147" fillId="64" borderId="42" applyNumberFormat="0" applyProtection="0">
      <alignment horizontal="left" vertical="top" indent="1"/>
    </xf>
    <xf numFmtId="4" fontId="147" fillId="65" borderId="0" applyNumberFormat="0" applyProtection="0">
      <alignment horizontal="left" vertical="center" indent="1"/>
    </xf>
    <xf numFmtId="4" fontId="149" fillId="36" borderId="42" applyNumberFormat="0" applyProtection="0">
      <alignment horizontal="right" vertical="center"/>
    </xf>
    <xf numFmtId="4" fontId="149" fillId="45" borderId="42" applyNumberFormat="0" applyProtection="0">
      <alignment horizontal="right" vertical="center"/>
    </xf>
    <xf numFmtId="4" fontId="149" fillId="43" borderId="42" applyNumberFormat="0" applyProtection="0">
      <alignment horizontal="right" vertical="center"/>
    </xf>
    <xf numFmtId="4" fontId="149" fillId="48" borderId="42" applyNumberFormat="0" applyProtection="0">
      <alignment horizontal="right" vertical="center"/>
    </xf>
    <xf numFmtId="4" fontId="149" fillId="52" borderId="42" applyNumberFormat="0" applyProtection="0">
      <alignment horizontal="right" vertical="center"/>
    </xf>
    <xf numFmtId="4" fontId="149" fillId="57" borderId="42" applyNumberFormat="0" applyProtection="0">
      <alignment horizontal="right" vertical="center"/>
    </xf>
    <xf numFmtId="4" fontId="149" fillId="55" borderId="42" applyNumberFormat="0" applyProtection="0">
      <alignment horizontal="right" vertical="center"/>
    </xf>
    <xf numFmtId="4" fontId="149" fillId="66" borderId="42" applyNumberFormat="0" applyProtection="0">
      <alignment horizontal="right" vertical="center"/>
    </xf>
    <xf numFmtId="4" fontId="149" fillId="47" borderId="42" applyNumberFormat="0" applyProtection="0">
      <alignment horizontal="right" vertical="center"/>
    </xf>
    <xf numFmtId="4" fontId="147" fillId="67" borderId="43" applyNumberFormat="0" applyProtection="0">
      <alignment horizontal="left" vertical="center" indent="1"/>
    </xf>
    <xf numFmtId="4" fontId="149" fillId="68" borderId="0" applyNumberFormat="0" applyProtection="0">
      <alignment horizontal="left" vertical="center" indent="1"/>
    </xf>
    <xf numFmtId="4" fontId="150" fillId="69" borderId="0" applyNumberFormat="0" applyProtection="0">
      <alignment horizontal="left" vertical="center" indent="1"/>
    </xf>
    <xf numFmtId="4" fontId="149" fillId="70" borderId="42" applyNumberFormat="0" applyProtection="0">
      <alignment horizontal="right" vertical="center"/>
    </xf>
    <xf numFmtId="4" fontId="151" fillId="68" borderId="0" applyNumberFormat="0" applyProtection="0">
      <alignment horizontal="left" vertical="center" indent="1"/>
    </xf>
    <xf numFmtId="4" fontId="151" fillId="65" borderId="0" applyNumberFormat="0" applyProtection="0">
      <alignment horizontal="left" vertical="center" indent="1"/>
    </xf>
    <xf numFmtId="0" fontId="72" fillId="69" borderId="42" applyNumberFormat="0" applyProtection="0">
      <alignment horizontal="left" vertical="center" indent="1"/>
    </xf>
    <xf numFmtId="0" fontId="72" fillId="69" borderId="42" applyNumberFormat="0" applyProtection="0">
      <alignment horizontal="left" vertical="center" indent="1"/>
    </xf>
    <xf numFmtId="0" fontId="72" fillId="69" borderId="42" applyNumberFormat="0" applyProtection="0">
      <alignment horizontal="left" vertical="center" indent="1"/>
    </xf>
    <xf numFmtId="0" fontId="72" fillId="69" borderId="42" applyNumberFormat="0" applyProtection="0">
      <alignment horizontal="left" vertical="top" indent="1"/>
    </xf>
    <xf numFmtId="0" fontId="72" fillId="69" borderId="42" applyNumberFormat="0" applyProtection="0">
      <alignment horizontal="left" vertical="top" indent="1"/>
    </xf>
    <xf numFmtId="0" fontId="72" fillId="69" borderId="42" applyNumberFormat="0" applyProtection="0">
      <alignment horizontal="left" vertical="top" indent="1"/>
    </xf>
    <xf numFmtId="0" fontId="72" fillId="65" borderId="42" applyNumberFormat="0" applyProtection="0">
      <alignment horizontal="left" vertical="center" indent="1"/>
    </xf>
    <xf numFmtId="0" fontId="72" fillId="65" borderId="42" applyNumberFormat="0" applyProtection="0">
      <alignment horizontal="left" vertical="center" indent="1"/>
    </xf>
    <xf numFmtId="0" fontId="72" fillId="65" borderId="42" applyNumberFormat="0" applyProtection="0">
      <alignment horizontal="left" vertical="center" indent="1"/>
    </xf>
    <xf numFmtId="0" fontId="72" fillId="65" borderId="42" applyNumberFormat="0" applyProtection="0">
      <alignment horizontal="left" vertical="top" indent="1"/>
    </xf>
    <xf numFmtId="0" fontId="72" fillId="65" borderId="42" applyNumberFormat="0" applyProtection="0">
      <alignment horizontal="left" vertical="top" indent="1"/>
    </xf>
    <xf numFmtId="0" fontId="72" fillId="65" borderId="42" applyNumberFormat="0" applyProtection="0">
      <alignment horizontal="left" vertical="top" indent="1"/>
    </xf>
    <xf numFmtId="0" fontId="72" fillId="71" borderId="42" applyNumberFormat="0" applyProtection="0">
      <alignment horizontal="left" vertical="center" indent="1"/>
    </xf>
    <xf numFmtId="0" fontId="72" fillId="71" borderId="42" applyNumberFormat="0" applyProtection="0">
      <alignment horizontal="left" vertical="center" indent="1"/>
    </xf>
    <xf numFmtId="0" fontId="72" fillId="71" borderId="42" applyNumberFormat="0" applyProtection="0">
      <alignment horizontal="left" vertical="center" indent="1"/>
    </xf>
    <xf numFmtId="0" fontId="72" fillId="71" borderId="42" applyNumberFormat="0" applyProtection="0">
      <alignment horizontal="left" vertical="top" indent="1"/>
    </xf>
    <xf numFmtId="0" fontId="72" fillId="71" borderId="42" applyNumberFormat="0" applyProtection="0">
      <alignment horizontal="left" vertical="top" indent="1"/>
    </xf>
    <xf numFmtId="0" fontId="72" fillId="71" borderId="42" applyNumberFormat="0" applyProtection="0">
      <alignment horizontal="left" vertical="top" indent="1"/>
    </xf>
    <xf numFmtId="0" fontId="72" fillId="72" borderId="42" applyNumberFormat="0" applyProtection="0">
      <alignment horizontal="left" vertical="center" indent="1"/>
    </xf>
    <xf numFmtId="0" fontId="72" fillId="72" borderId="42" applyNumberFormat="0" applyProtection="0">
      <alignment horizontal="left" vertical="center" indent="1"/>
    </xf>
    <xf numFmtId="0" fontId="72" fillId="72" borderId="42" applyNumberFormat="0" applyProtection="0">
      <alignment horizontal="left" vertical="center" indent="1"/>
    </xf>
    <xf numFmtId="0" fontId="72" fillId="72" borderId="42" applyNumberFormat="0" applyProtection="0">
      <alignment horizontal="left" vertical="top" indent="1"/>
    </xf>
    <xf numFmtId="0" fontId="72" fillId="72" borderId="42" applyNumberFormat="0" applyProtection="0">
      <alignment horizontal="left" vertical="top" indent="1"/>
    </xf>
    <xf numFmtId="0" fontId="72" fillId="72" borderId="42" applyNumberFormat="0" applyProtection="0">
      <alignment horizontal="left" vertical="top" indent="1"/>
    </xf>
    <xf numFmtId="4" fontId="149" fillId="61" borderId="42" applyNumberFormat="0" applyProtection="0">
      <alignment vertical="center"/>
    </xf>
    <xf numFmtId="4" fontId="152" fillId="61" borderId="42" applyNumberFormat="0" applyProtection="0">
      <alignment vertical="center"/>
    </xf>
    <xf numFmtId="4" fontId="149" fillId="61" borderId="42" applyNumberFormat="0" applyProtection="0">
      <alignment horizontal="left" vertical="center" indent="1"/>
    </xf>
    <xf numFmtId="0" fontId="149" fillId="61" borderId="42" applyNumberFormat="0" applyProtection="0">
      <alignment horizontal="left" vertical="top" indent="1"/>
    </xf>
    <xf numFmtId="4" fontId="149" fillId="68" borderId="42" applyNumberFormat="0" applyProtection="0">
      <alignment horizontal="right" vertical="center"/>
    </xf>
    <xf numFmtId="4" fontId="149" fillId="73" borderId="30" applyNumberFormat="0" applyProtection="0">
      <alignment horizontal="right" vertical="center"/>
    </xf>
    <xf numFmtId="4" fontId="152" fillId="68" borderId="42" applyNumberFormat="0" applyProtection="0">
      <alignment horizontal="right" vertical="center"/>
    </xf>
    <xf numFmtId="4" fontId="149" fillId="70" borderId="42" applyNumberFormat="0" applyProtection="0">
      <alignment horizontal="left" vertical="center" indent="1"/>
    </xf>
    <xf numFmtId="0" fontId="149" fillId="65" borderId="42" applyNumberFormat="0" applyProtection="0">
      <alignment horizontal="left" vertical="top" indent="1"/>
    </xf>
    <xf numFmtId="4" fontId="153" fillId="74" borderId="0" applyNumberFormat="0" applyProtection="0">
      <alignment horizontal="left" vertical="center" indent="1"/>
    </xf>
    <xf numFmtId="4" fontId="154" fillId="68" borderId="42" applyNumberFormat="0" applyProtection="0">
      <alignment horizontal="right" vertical="center"/>
    </xf>
    <xf numFmtId="0" fontId="13" fillId="0" borderId="0" applyNumberFormat="0" applyFont="0" applyFill="0" applyBorder="0" applyAlignment="0" applyProtection="0"/>
    <xf numFmtId="0" fontId="155" fillId="0" borderId="0"/>
    <xf numFmtId="0" fontId="151" fillId="0" borderId="0">
      <alignment vertical="top"/>
    </xf>
    <xf numFmtId="0" fontId="156" fillId="0" borderId="44"/>
    <xf numFmtId="187" fontId="113" fillId="0" borderId="4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4" fillId="0" borderId="28"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3" fillId="0" borderId="45"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3" fillId="0" borderId="45"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57" fillId="0" borderId="28" applyNumberFormat="0" applyFill="0" applyAlignment="0" applyProtection="0"/>
    <xf numFmtId="0" fontId="13" fillId="0" borderId="28"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12" fillId="0" borderId="46" applyNumberFormat="0" applyFill="0" applyAlignment="0" applyProtection="0"/>
    <xf numFmtId="0" fontId="112" fillId="0" borderId="46" applyNumberFormat="0" applyFill="0" applyAlignment="0" applyProtection="0"/>
    <xf numFmtId="0" fontId="112" fillId="0" borderId="46" applyNumberFormat="0" applyFill="0" applyAlignment="0" applyProtection="0"/>
    <xf numFmtId="187" fontId="113" fillId="0" borderId="45" applyNumberFormat="0" applyFill="0" applyAlignment="0" applyProtection="0"/>
    <xf numFmtId="0" fontId="112" fillId="0" borderId="46"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3" fillId="0" borderId="45" applyNumberFormat="0" applyFill="0" applyAlignment="0" applyProtection="0"/>
    <xf numFmtId="0" fontId="113" fillId="0" borderId="45" applyNumberFormat="0" applyFill="0" applyAlignment="0" applyProtection="0"/>
    <xf numFmtId="0" fontId="157" fillId="0" borderId="28" applyNumberFormat="0" applyFill="0" applyAlignment="0" applyProtection="0"/>
    <xf numFmtId="0" fontId="13" fillId="0" borderId="0" applyNumberFormat="0" applyFont="0" applyFill="0" applyBorder="0" applyAlignment="0" applyProtection="0"/>
    <xf numFmtId="187" fontId="113" fillId="0" borderId="45" applyNumberFormat="0" applyFill="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13" fillId="0" borderId="45" applyNumberFormat="0" applyFill="0" applyAlignment="0" applyProtection="0"/>
    <xf numFmtId="0" fontId="113" fillId="0" borderId="45" applyNumberFormat="0" applyFill="0" applyAlignment="0" applyProtection="0"/>
    <xf numFmtId="0" fontId="157" fillId="0" borderId="28" applyNumberFormat="0" applyFill="0" applyAlignment="0" applyProtection="0"/>
    <xf numFmtId="0" fontId="13" fillId="0" borderId="0" applyNumberFormat="0" applyFont="0" applyFill="0" applyBorder="0" applyAlignment="0" applyProtection="0"/>
    <xf numFmtId="0" fontId="14" fillId="0" borderId="28" applyNumberFormat="0" applyFill="0" applyAlignment="0" applyProtection="0"/>
    <xf numFmtId="0" fontId="157" fillId="0" borderId="28" applyNumberFormat="0" applyFill="0" applyAlignment="0" applyProtection="0"/>
    <xf numFmtId="0" fontId="13" fillId="0" borderId="28" applyNumberFormat="0" applyFill="0" applyAlignment="0" applyProtection="0"/>
    <xf numFmtId="0" fontId="13" fillId="0" borderId="28" applyNumberFormat="0" applyFill="0" applyAlignment="0" applyProtection="0"/>
    <xf numFmtId="0" fontId="157" fillId="0" borderId="28" applyNumberFormat="0" applyFill="0" applyAlignment="0" applyProtection="0"/>
    <xf numFmtId="0" fontId="13" fillId="0" borderId="28" applyNumberFormat="0" applyFill="0" applyAlignment="0" applyProtection="0"/>
    <xf numFmtId="187"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87" fontId="158" fillId="0" borderId="0" applyNumberFormat="0" applyFill="0" applyBorder="0" applyAlignment="0" applyProtection="0"/>
    <xf numFmtId="0"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3" fillId="0" borderId="0" applyNumberFormat="0" applyFont="0" applyFill="0" applyBorder="0" applyAlignment="0" applyProtection="0"/>
    <xf numFmtId="187" fontId="158"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3" fillId="0" borderId="0" applyNumberFormat="0" applyFont="0" applyFill="0" applyBorder="0" applyAlignment="0" applyProtection="0"/>
    <xf numFmtId="0" fontId="63"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187" fontId="161"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3"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87" fontId="161" fillId="0" borderId="0" applyNumberFormat="0" applyFill="0" applyBorder="0" applyAlignment="0" applyProtection="0"/>
    <xf numFmtId="0" fontId="162"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3" fillId="0" borderId="0" applyNumberFormat="0" applyFill="0" applyBorder="0" applyAlignment="0" applyProtection="0"/>
    <xf numFmtId="0" fontId="13" fillId="0" borderId="0" applyNumberFormat="0" applyFont="0" applyFill="0" applyBorder="0" applyAlignment="0" applyProtection="0"/>
    <xf numFmtId="187" fontId="161"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3" fillId="0" borderId="0" applyNumberFormat="0" applyFill="0" applyBorder="0" applyAlignment="0" applyProtection="0"/>
    <xf numFmtId="0" fontId="13" fillId="0" borderId="0" applyNumberFormat="0" applyFont="0" applyFill="0" applyBorder="0" applyAlignment="0" applyProtection="0"/>
    <xf numFmtId="0" fontId="62"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87" fontId="164"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6"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87" fontId="164" fillId="0" borderId="0" applyNumberFormat="0" applyFill="0" applyBorder="0" applyAlignment="0" applyProtection="0"/>
    <xf numFmtId="0" fontId="165"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3" fillId="0" borderId="0" applyNumberFormat="0" applyFont="0" applyFill="0" applyBorder="0" applyAlignment="0" applyProtection="0"/>
    <xf numFmtId="187" fontId="164"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3" fillId="0" borderId="0" applyNumberFormat="0" applyFon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3" fontId="168" fillId="0" borderId="0"/>
    <xf numFmtId="208" fontId="139" fillId="0" borderId="0">
      <alignment horizontal="left"/>
    </xf>
    <xf numFmtId="0" fontId="13"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187" fontId="72" fillId="42" borderId="47"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10" borderId="27"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27" applyNumberFormat="0" applyFont="0" applyFill="0" applyAlignment="0" applyProtection="0"/>
    <xf numFmtId="0" fontId="13" fillId="10" borderId="27" applyNumberFormat="0" applyFont="0" applyAlignment="0" applyProtection="0"/>
    <xf numFmtId="0" fontId="13" fillId="10" borderId="27"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27" applyNumberFormat="0" applyFont="0" applyFill="0" applyAlignment="0" applyProtection="0"/>
    <xf numFmtId="0" fontId="13" fillId="10" borderId="27"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10" borderId="27"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2" fillId="42" borderId="47"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2" fillId="42" borderId="47"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0" borderId="0" applyNumberFormat="0" applyFont="0" applyFill="0" applyBorder="0" applyAlignment="0" applyProtection="0"/>
    <xf numFmtId="0" fontId="7" fillId="42" borderId="48" applyNumberFormat="0" applyFont="0" applyAlignment="0" applyProtection="0"/>
    <xf numFmtId="0" fontId="7" fillId="42" borderId="48" applyNumberFormat="0" applyFont="0" applyAlignment="0" applyProtection="0"/>
    <xf numFmtId="0" fontId="7" fillId="42" borderId="48"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187" fontId="72" fillId="42" borderId="4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0" applyNumberFormat="0" applyFont="0" applyFill="0" applyBorder="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13" fillId="0" borderId="27" applyNumberFormat="0" applyFont="0" applyFill="0" applyAlignment="0" applyProtection="0"/>
    <xf numFmtId="0" fontId="7" fillId="10" borderId="27" applyNumberFormat="0" applyFont="0" applyAlignment="0" applyProtection="0"/>
    <xf numFmtId="0" fontId="72" fillId="42" borderId="47" applyNumberFormat="0" applyFont="0" applyAlignment="0" applyProtection="0"/>
    <xf numFmtId="0" fontId="7" fillId="10" borderId="27" applyNumberFormat="0" applyFont="0" applyAlignment="0" applyProtection="0"/>
    <xf numFmtId="0" fontId="72" fillId="42" borderId="4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7" fillId="10" borderId="27" applyNumberFormat="0" applyFont="0" applyAlignment="0" applyProtection="0"/>
    <xf numFmtId="0" fontId="7" fillId="10" borderId="27" applyNumberFormat="0" applyFont="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0" borderId="27" applyNumberFormat="0" applyFont="0" applyFill="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187" fontId="72" fillId="42" borderId="47"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10" borderId="27" applyNumberFormat="0" applyFont="0" applyAlignment="0" applyProtection="0"/>
    <xf numFmtId="0" fontId="13" fillId="0" borderId="0" applyNumberFormat="0" applyFont="0" applyFill="0" applyBorder="0" applyAlignment="0" applyProtection="0"/>
    <xf numFmtId="0" fontId="72" fillId="42" borderId="47" applyNumberFormat="0" applyFont="0" applyAlignment="0" applyProtection="0"/>
    <xf numFmtId="0" fontId="72" fillId="42" borderId="47"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13" fillId="10" borderId="27" applyNumberFormat="0" applyFont="0" applyAlignment="0" applyProtection="0"/>
    <xf numFmtId="0" fontId="13" fillId="0" borderId="0" applyNumberFormat="0" applyFont="0" applyFill="0" applyBorder="0" applyAlignment="0" applyProtection="0"/>
    <xf numFmtId="0" fontId="13" fillId="10" borderId="27" applyNumberFormat="0" applyFont="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0" borderId="27" applyNumberFormat="0" applyFont="0" applyFill="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13"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13"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0" fontId="6" fillId="10" borderId="27" applyNumberFormat="0" applyFont="0" applyAlignment="0" applyProtection="0"/>
    <xf numFmtId="193" fontId="116" fillId="0" borderId="0"/>
    <xf numFmtId="210" fontId="77" fillId="0" borderId="0" applyFont="0" applyFill="0" applyBorder="0" applyAlignment="0" applyProtection="0"/>
    <xf numFmtId="189" fontId="76" fillId="0" borderId="0" applyFont="0" applyFill="0" applyBorder="0" applyAlignment="0" applyProtection="0"/>
    <xf numFmtId="211" fontId="72" fillId="0" borderId="0" applyFont="0" applyFill="0" applyBorder="0" applyAlignment="0" applyProtection="0"/>
    <xf numFmtId="212" fontId="72" fillId="0" borderId="0" applyFont="0" applyFill="0" applyBorder="0" applyAlignment="0" applyProtection="0"/>
    <xf numFmtId="44" fontId="13"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4" fontId="7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4" fontId="6" fillId="0" borderId="0" applyFont="0" applyFill="0" applyBorder="0" applyAlignment="0" applyProtection="0"/>
    <xf numFmtId="44" fontId="7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4" fontId="7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4" fontId="7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187"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55" fillId="5"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70" fillId="5" borderId="0" applyNumberFormat="0" applyBorder="0" applyAlignment="0" applyProtection="0"/>
    <xf numFmtId="0" fontId="170"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87"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70" fillId="5" borderId="0" applyNumberFormat="0" applyBorder="0" applyAlignment="0" applyProtection="0"/>
    <xf numFmtId="0" fontId="170" fillId="0" borderId="0" applyNumberForma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187" fontId="169" fillId="36" borderId="0" applyNumberFormat="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169" fillId="36" borderId="0" applyNumberFormat="0" applyBorder="0" applyAlignment="0" applyProtection="0"/>
    <xf numFmtId="0" fontId="169" fillId="36" borderId="0" applyNumberFormat="0" applyBorder="0" applyAlignment="0" applyProtection="0"/>
    <xf numFmtId="0" fontId="170" fillId="5" borderId="0" applyNumberFormat="0" applyBorder="0" applyAlignment="0" applyProtection="0"/>
    <xf numFmtId="0" fontId="13" fillId="0" borderId="0" applyNumberFormat="0" applyFont="0" applyFill="0" applyBorder="0" applyAlignment="0" applyProtection="0"/>
    <xf numFmtId="0" fontId="55" fillId="5" borderId="0" applyNumberFormat="0" applyBorder="0" applyAlignment="0" applyProtection="0"/>
    <xf numFmtId="0" fontId="170" fillId="5" borderId="0" applyNumberForma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5" borderId="0" applyNumberFormat="0" applyBorder="0" applyAlignment="0" applyProtection="0"/>
    <xf numFmtId="0" fontId="170" fillId="0" borderId="0" applyNumberForma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5" fillId="0" borderId="0" applyFont="0" applyFill="0" applyBorder="0" applyAlignment="0" applyProtection="0"/>
    <xf numFmtId="0" fontId="4" fillId="0" borderId="0"/>
    <xf numFmtId="9" fontId="4" fillId="0" borderId="0" applyFont="0" applyFill="0" applyBorder="0" applyAlignment="0" applyProtection="0"/>
    <xf numFmtId="0" fontId="132" fillId="0" borderId="0"/>
    <xf numFmtId="0" fontId="4" fillId="0" borderId="0"/>
    <xf numFmtId="43" fontId="13" fillId="0" borderId="0" applyFont="0" applyFill="0" applyBorder="0" applyAlignment="0" applyProtection="0"/>
  </cellStyleXfs>
  <cellXfs count="1094">
    <xf numFmtId="0" fontId="0" fillId="0" borderId="0" xfId="0"/>
    <xf numFmtId="0" fontId="8" fillId="0" borderId="0" xfId="0" applyFont="1" applyAlignment="1">
      <alignment vertical="center"/>
    </xf>
    <xf numFmtId="0" fontId="15" fillId="2" borderId="0" xfId="0" applyFont="1" applyFill="1" applyAlignment="1">
      <alignment vertical="center"/>
    </xf>
    <xf numFmtId="0" fontId="20" fillId="2" borderId="0" xfId="0" applyFont="1" applyFill="1" applyAlignment="1">
      <alignment vertical="center"/>
    </xf>
    <xf numFmtId="0" fontId="11" fillId="0" borderId="0" xfId="0" applyFont="1" applyAlignment="1">
      <alignment vertical="center"/>
    </xf>
    <xf numFmtId="0" fontId="11" fillId="0" borderId="0" xfId="0" applyFont="1"/>
    <xf numFmtId="0" fontId="11" fillId="2" borderId="0" xfId="0" applyFont="1" applyFill="1" applyAlignment="1">
      <alignment vertical="center"/>
    </xf>
    <xf numFmtId="0" fontId="11" fillId="2" borderId="0" xfId="0" applyFont="1" applyFill="1"/>
    <xf numFmtId="0" fontId="22" fillId="2" borderId="0" xfId="0" applyFont="1" applyFill="1"/>
    <xf numFmtId="0" fontId="27" fillId="2" borderId="0" xfId="0" applyFont="1" applyFill="1" applyAlignment="1">
      <alignment vertical="center"/>
    </xf>
    <xf numFmtId="0" fontId="27" fillId="0" borderId="0" xfId="0" applyFont="1" applyAlignment="1">
      <alignment vertical="center"/>
    </xf>
    <xf numFmtId="0" fontId="14" fillId="2" borderId="0" xfId="0" applyFont="1" applyFill="1" applyAlignment="1">
      <alignment vertical="center"/>
    </xf>
    <xf numFmtId="0" fontId="29" fillId="2" borderId="0" xfId="0" applyFont="1" applyFill="1"/>
    <xf numFmtId="0" fontId="27" fillId="2" borderId="0" xfId="0" applyFont="1" applyFill="1"/>
    <xf numFmtId="0" fontId="27" fillId="0" borderId="0" xfId="0" applyFont="1"/>
    <xf numFmtId="0" fontId="32" fillId="2" borderId="0" xfId="0" applyFont="1" applyFill="1"/>
    <xf numFmtId="170" fontId="11" fillId="2" borderId="0" xfId="0" applyNumberFormat="1" applyFont="1" applyFill="1" applyAlignment="1">
      <alignment vertical="center"/>
    </xf>
    <xf numFmtId="173" fontId="11" fillId="2" borderId="0" xfId="0" applyNumberFormat="1" applyFont="1" applyFill="1" applyAlignment="1">
      <alignment vertical="center"/>
    </xf>
    <xf numFmtId="174" fontId="30" fillId="2" borderId="0" xfId="1" applyNumberFormat="1" applyFont="1" applyFill="1" applyBorder="1" applyAlignment="1">
      <alignment horizontal="right" vertical="center"/>
    </xf>
    <xf numFmtId="174" fontId="11" fillId="2" borderId="0" xfId="0" applyNumberFormat="1" applyFont="1" applyFill="1" applyAlignment="1">
      <alignment vertical="center"/>
    </xf>
    <xf numFmtId="173" fontId="30" fillId="2" borderId="0" xfId="1" applyNumberFormat="1" applyFont="1" applyFill="1" applyBorder="1" applyAlignment="1">
      <alignment horizontal="right" vertical="center"/>
    </xf>
    <xf numFmtId="172" fontId="11" fillId="2" borderId="0" xfId="0" applyNumberFormat="1" applyFont="1" applyFill="1" applyAlignment="1">
      <alignment vertical="center"/>
    </xf>
    <xf numFmtId="173" fontId="32" fillId="2" borderId="0" xfId="0" applyNumberFormat="1" applyFont="1" applyFill="1" applyAlignment="1">
      <alignment vertical="center"/>
    </xf>
    <xf numFmtId="174" fontId="32" fillId="2" borderId="0" xfId="0" applyNumberFormat="1" applyFont="1" applyFill="1" applyAlignment="1">
      <alignment vertical="center"/>
    </xf>
    <xf numFmtId="165" fontId="30" fillId="2" borderId="0" xfId="0" applyNumberFormat="1" applyFont="1" applyFill="1" applyAlignment="1">
      <alignment horizontal="right" vertical="center"/>
    </xf>
    <xf numFmtId="170" fontId="32" fillId="2" borderId="0" xfId="0" applyNumberFormat="1" applyFont="1" applyFill="1" applyAlignment="1">
      <alignment vertical="center"/>
    </xf>
    <xf numFmtId="170" fontId="30" fillId="2" borderId="0" xfId="0" applyNumberFormat="1" applyFont="1" applyFill="1" applyAlignment="1">
      <alignment horizontal="right" vertical="center"/>
    </xf>
    <xf numFmtId="0" fontId="11" fillId="2" borderId="3" xfId="0" applyFont="1" applyFill="1" applyBorder="1" applyAlignment="1">
      <alignment horizontal="left" vertical="center"/>
    </xf>
    <xf numFmtId="0" fontId="11" fillId="2" borderId="0" xfId="0" applyFont="1" applyFill="1" applyAlignment="1">
      <alignment horizontal="left" vertical="center"/>
    </xf>
    <xf numFmtId="0" fontId="31" fillId="2" borderId="3" xfId="0" applyFont="1" applyFill="1" applyBorder="1" applyAlignment="1">
      <alignment horizontal="left" vertical="center" indent="2"/>
    </xf>
    <xf numFmtId="173" fontId="11" fillId="2" borderId="0" xfId="0" applyNumberFormat="1" applyFont="1" applyFill="1" applyAlignment="1">
      <alignment horizontal="right" vertical="center"/>
    </xf>
    <xf numFmtId="174" fontId="30" fillId="2" borderId="3" xfId="1" applyNumberFormat="1" applyFont="1" applyFill="1" applyBorder="1" applyAlignment="1">
      <alignment horizontal="right" vertical="center"/>
    </xf>
    <xf numFmtId="174" fontId="32" fillId="2" borderId="3" xfId="0" applyNumberFormat="1" applyFont="1" applyFill="1" applyBorder="1" applyAlignment="1">
      <alignment vertical="center"/>
    </xf>
    <xf numFmtId="0" fontId="8" fillId="2" borderId="0" xfId="0" applyFont="1" applyFill="1" applyAlignment="1">
      <alignment vertical="center"/>
    </xf>
    <xf numFmtId="181" fontId="30" fillId="2" borderId="0" xfId="1" applyNumberFormat="1" applyFont="1" applyFill="1" applyBorder="1" applyAlignment="1">
      <alignment horizontal="right" vertical="center"/>
    </xf>
    <xf numFmtId="0" fontId="42" fillId="2" borderId="0" xfId="0" applyFont="1" applyFill="1"/>
    <xf numFmtId="177" fontId="42" fillId="2" borderId="0" xfId="0" applyNumberFormat="1" applyFont="1" applyFill="1" applyAlignment="1">
      <alignment horizontal="right" vertical="center"/>
    </xf>
    <xf numFmtId="179" fontId="25" fillId="2" borderId="0" xfId="0" applyNumberFormat="1" applyFont="1" applyFill="1" applyAlignment="1">
      <alignment vertical="center"/>
    </xf>
    <xf numFmtId="0" fontId="42" fillId="2" borderId="0" xfId="0" applyFont="1" applyFill="1" applyAlignment="1">
      <alignment vertical="center"/>
    </xf>
    <xf numFmtId="0" fontId="42" fillId="0" borderId="0" xfId="0" applyFont="1" applyAlignment="1">
      <alignment vertical="center"/>
    </xf>
    <xf numFmtId="173" fontId="11" fillId="2" borderId="3" xfId="0" applyNumberFormat="1" applyFont="1" applyFill="1" applyBorder="1" applyAlignment="1">
      <alignment horizontal="right" vertical="center"/>
    </xf>
    <xf numFmtId="167" fontId="11" fillId="2" borderId="0" xfId="0" applyNumberFormat="1" applyFont="1" applyFill="1" applyAlignment="1">
      <alignment horizontal="right" vertical="center"/>
    </xf>
    <xf numFmtId="167" fontId="11" fillId="2" borderId="3"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2" borderId="0" xfId="0" applyNumberFormat="1" applyFont="1" applyFill="1" applyAlignment="1">
      <alignment vertical="center"/>
    </xf>
    <xf numFmtId="182" fontId="11" fillId="2" borderId="0" xfId="0" applyNumberFormat="1" applyFont="1" applyFill="1" applyAlignment="1">
      <alignment horizontal="right" vertical="center"/>
    </xf>
    <xf numFmtId="182" fontId="42" fillId="2" borderId="0" xfId="0" applyNumberFormat="1" applyFont="1" applyFill="1" applyAlignment="1">
      <alignment horizontal="right" vertical="center"/>
    </xf>
    <xf numFmtId="0" fontId="11" fillId="2" borderId="0" xfId="0" applyFont="1" applyFill="1" applyAlignment="1">
      <alignment horizontal="right" vertical="center"/>
    </xf>
    <xf numFmtId="0" fontId="44" fillId="2" borderId="0" xfId="0" applyFont="1" applyFill="1"/>
    <xf numFmtId="0" fontId="11" fillId="0" borderId="3" xfId="0" applyFont="1" applyBorder="1" applyAlignment="1">
      <alignment horizontal="left" vertical="center" wrapText="1"/>
    </xf>
    <xf numFmtId="171" fontId="11" fillId="0" borderId="0" xfId="0" applyNumberFormat="1" applyFont="1" applyAlignment="1">
      <alignment horizontal="right" vertical="center"/>
    </xf>
    <xf numFmtId="171" fontId="11" fillId="0" borderId="3" xfId="0" applyNumberFormat="1" applyFont="1" applyBorder="1" applyAlignment="1">
      <alignment horizontal="right" vertical="center"/>
    </xf>
    <xf numFmtId="176" fontId="47" fillId="0" borderId="0" xfId="0" applyNumberFormat="1" applyFont="1" applyAlignment="1">
      <alignment horizontal="right" vertical="center"/>
    </xf>
    <xf numFmtId="0" fontId="22" fillId="0" borderId="0" xfId="0" applyFont="1"/>
    <xf numFmtId="177" fontId="11" fillId="0" borderId="0" xfId="0" applyNumberFormat="1" applyFont="1" applyAlignment="1">
      <alignment horizontal="right" vertical="center"/>
    </xf>
    <xf numFmtId="177" fontId="11" fillId="0" borderId="3" xfId="0" applyNumberFormat="1" applyFont="1" applyBorder="1" applyAlignment="1">
      <alignment horizontal="right" vertical="center"/>
    </xf>
    <xf numFmtId="177" fontId="11" fillId="2" borderId="0" xfId="0" applyNumberFormat="1" applyFont="1" applyFill="1" applyAlignment="1">
      <alignment horizontal="right" vertical="center"/>
    </xf>
    <xf numFmtId="176" fontId="30" fillId="0" borderId="0" xfId="0" applyNumberFormat="1" applyFont="1" applyAlignment="1">
      <alignment horizontal="right" vertical="center"/>
    </xf>
    <xf numFmtId="0" fontId="46" fillId="0" borderId="3" xfId="0" applyFont="1" applyBorder="1" applyAlignment="1">
      <alignment vertical="center"/>
    </xf>
    <xf numFmtId="179" fontId="22" fillId="0" borderId="0" xfId="0" applyNumberFormat="1" applyFont="1" applyAlignment="1">
      <alignment horizontal="right" vertical="center"/>
    </xf>
    <xf numFmtId="179" fontId="11" fillId="0" borderId="3" xfId="0" applyNumberFormat="1" applyFont="1" applyBorder="1" applyAlignment="1">
      <alignment horizontal="right" vertical="center"/>
    </xf>
    <xf numFmtId="179" fontId="22" fillId="0" borderId="3" xfId="0" applyNumberFormat="1" applyFont="1" applyBorder="1" applyAlignment="1">
      <alignment horizontal="right" vertical="center"/>
    </xf>
    <xf numFmtId="179" fontId="33" fillId="0" borderId="0" xfId="0" applyNumberFormat="1" applyFont="1" applyAlignment="1">
      <alignment horizontal="right" vertical="center"/>
    </xf>
    <xf numFmtId="179" fontId="22" fillId="2" borderId="0" xfId="0" applyNumberFormat="1" applyFont="1" applyFill="1" applyAlignment="1">
      <alignment horizontal="right" vertical="center"/>
    </xf>
    <xf numFmtId="0" fontId="11" fillId="0" borderId="0" xfId="0" applyFont="1" applyAlignment="1">
      <alignment horizontal="right" vertical="center"/>
    </xf>
    <xf numFmtId="0" fontId="14" fillId="0" borderId="0" xfId="0" applyFont="1" applyAlignment="1">
      <alignment vertical="center"/>
    </xf>
    <xf numFmtId="174" fontId="32" fillId="0" borderId="0" xfId="0" applyNumberFormat="1" applyFont="1" applyAlignment="1">
      <alignment vertical="center"/>
    </xf>
    <xf numFmtId="182" fontId="11" fillId="0" borderId="9" xfId="0" applyNumberFormat="1" applyFont="1" applyBorder="1" applyAlignment="1">
      <alignment vertical="center"/>
    </xf>
    <xf numFmtId="182" fontId="11" fillId="0" borderId="0" xfId="0" applyNumberFormat="1" applyFont="1" applyAlignment="1">
      <alignment vertical="center"/>
    </xf>
    <xf numFmtId="183" fontId="11" fillId="0" borderId="0" xfId="0" applyNumberFormat="1" applyFont="1" applyAlignment="1">
      <alignment vertical="center"/>
    </xf>
    <xf numFmtId="0" fontId="11" fillId="0" borderId="3" xfId="0" applyFont="1" applyBorder="1" applyAlignment="1">
      <alignment vertical="center" wrapText="1"/>
    </xf>
    <xf numFmtId="182" fontId="42" fillId="2" borderId="3" xfId="0" applyNumberFormat="1" applyFont="1" applyFill="1" applyBorder="1" applyAlignment="1">
      <alignment horizontal="right" vertical="center"/>
    </xf>
    <xf numFmtId="177" fontId="42" fillId="2" borderId="3" xfId="0" applyNumberFormat="1" applyFont="1" applyFill="1" applyBorder="1" applyAlignment="1">
      <alignment horizontal="right" vertical="center"/>
    </xf>
    <xf numFmtId="179" fontId="22" fillId="2" borderId="3" xfId="0" applyNumberFormat="1" applyFont="1" applyFill="1" applyBorder="1" applyAlignment="1">
      <alignment horizontal="right" vertical="center"/>
    </xf>
    <xf numFmtId="182" fontId="22" fillId="2" borderId="0" xfId="0" applyNumberFormat="1" applyFont="1" applyFill="1" applyAlignment="1">
      <alignment vertical="center"/>
    </xf>
    <xf numFmtId="182" fontId="42" fillId="0" borderId="0" xfId="0" applyNumberFormat="1" applyFont="1" applyAlignment="1">
      <alignment horizontal="right" vertical="center"/>
    </xf>
    <xf numFmtId="0" fontId="47" fillId="0" borderId="0" xfId="0" applyFont="1" applyAlignment="1">
      <alignment vertical="center" wrapText="1"/>
    </xf>
    <xf numFmtId="169" fontId="11" fillId="2" borderId="0" xfId="7" applyNumberFormat="1" applyFont="1" applyFill="1" applyAlignment="1">
      <alignment vertical="center"/>
    </xf>
    <xf numFmtId="3" fontId="36" fillId="0" borderId="0" xfId="0" applyNumberFormat="1" applyFont="1" applyAlignment="1">
      <alignment horizontal="right" vertical="center" wrapText="1"/>
    </xf>
    <xf numFmtId="3" fontId="19" fillId="0" borderId="0" xfId="0" applyNumberFormat="1" applyFont="1" applyAlignment="1">
      <alignment horizontal="right" vertical="center" wrapText="1"/>
    </xf>
    <xf numFmtId="3" fontId="19" fillId="0" borderId="19" xfId="0" applyNumberFormat="1" applyFont="1" applyBorder="1" applyAlignment="1">
      <alignment horizontal="right" vertical="center" wrapText="1"/>
    </xf>
    <xf numFmtId="169" fontId="19" fillId="0" borderId="0" xfId="0" applyNumberFormat="1" applyFont="1" applyAlignment="1">
      <alignment horizontal="right" vertical="center" wrapText="1"/>
    </xf>
    <xf numFmtId="3" fontId="39" fillId="0" borderId="0" xfId="6" applyNumberFormat="1" applyFont="1" applyFill="1" applyBorder="1" applyAlignment="1">
      <alignment horizontal="right" vertical="center" wrapText="1"/>
    </xf>
    <xf numFmtId="3" fontId="19" fillId="0" borderId="0" xfId="6" applyNumberFormat="1" applyFont="1" applyFill="1" applyBorder="1" applyAlignment="1">
      <alignment horizontal="right" vertical="center" wrapText="1"/>
    </xf>
    <xf numFmtId="185" fontId="42" fillId="2" borderId="0" xfId="0" applyNumberFormat="1" applyFont="1" applyFill="1" applyAlignment="1">
      <alignment horizontal="right" vertical="center"/>
    </xf>
    <xf numFmtId="181" fontId="30" fillId="2" borderId="0" xfId="8" applyNumberFormat="1" applyFont="1" applyFill="1" applyBorder="1" applyAlignment="1">
      <alignment horizontal="right" vertical="center"/>
    </xf>
    <xf numFmtId="181" fontId="11" fillId="2" borderId="0" xfId="0" applyNumberFormat="1" applyFont="1" applyFill="1" applyAlignment="1">
      <alignment vertical="center"/>
    </xf>
    <xf numFmtId="181" fontId="32" fillId="2" borderId="0" xfId="0" applyNumberFormat="1" applyFont="1" applyFill="1" applyAlignment="1">
      <alignment vertical="center"/>
    </xf>
    <xf numFmtId="3" fontId="39" fillId="0" borderId="0" xfId="0" applyNumberFormat="1" applyFont="1" applyAlignment="1">
      <alignment horizontal="right" vertical="center" wrapText="1"/>
    </xf>
    <xf numFmtId="167" fontId="19" fillId="0" borderId="0" xfId="0" applyNumberFormat="1" applyFont="1" applyAlignment="1">
      <alignment horizontal="right" vertical="center" wrapText="1"/>
    </xf>
    <xf numFmtId="182" fontId="11" fillId="2" borderId="0" xfId="0" applyNumberFormat="1" applyFont="1" applyFill="1" applyAlignment="1">
      <alignment vertical="center"/>
    </xf>
    <xf numFmtId="182" fontId="24" fillId="2" borderId="0" xfId="0" applyNumberFormat="1" applyFont="1" applyFill="1" applyAlignment="1">
      <alignment horizontal="right" vertical="center"/>
    </xf>
    <xf numFmtId="182" fontId="24" fillId="0" borderId="0" xfId="0" applyNumberFormat="1" applyFont="1" applyAlignment="1">
      <alignment horizontal="right" vertical="center"/>
    </xf>
    <xf numFmtId="182" fontId="22" fillId="0" borderId="0" xfId="0" applyNumberFormat="1" applyFont="1" applyAlignment="1">
      <alignment vertical="center"/>
    </xf>
    <xf numFmtId="3" fontId="48" fillId="2" borderId="0" xfId="0" applyNumberFormat="1" applyFont="1" applyFill="1" applyAlignment="1">
      <alignment horizontal="right" vertical="center" wrapText="1"/>
    </xf>
    <xf numFmtId="177" fontId="49" fillId="2" borderId="0" xfId="0" applyNumberFormat="1" applyFont="1" applyFill="1" applyAlignment="1">
      <alignment horizontal="right" vertical="center"/>
    </xf>
    <xf numFmtId="186" fontId="25" fillId="2" borderId="0" xfId="0" applyNumberFormat="1" applyFont="1" applyFill="1" applyAlignment="1">
      <alignment horizontal="right" vertical="center"/>
    </xf>
    <xf numFmtId="0" fontId="50" fillId="2" borderId="0" xfId="0" applyFont="1" applyFill="1"/>
    <xf numFmtId="0" fontId="30" fillId="2" borderId="0" xfId="0" applyFont="1" applyFill="1" applyAlignment="1">
      <alignment vertical="center"/>
    </xf>
    <xf numFmtId="0" fontId="30" fillId="2" borderId="0" xfId="0" applyFont="1" applyFill="1"/>
    <xf numFmtId="0" fontId="30" fillId="0" borderId="0" xfId="0" applyFont="1" applyAlignment="1">
      <alignment vertical="center"/>
    </xf>
    <xf numFmtId="171" fontId="11" fillId="2" borderId="3" xfId="0" applyNumberFormat="1" applyFont="1" applyFill="1" applyBorder="1" applyAlignment="1">
      <alignment horizontal="right" vertical="center"/>
    </xf>
    <xf numFmtId="177" fontId="11" fillId="2" borderId="3" xfId="0" applyNumberFormat="1" applyFont="1" applyFill="1" applyBorder="1" applyAlignment="1">
      <alignment horizontal="right" vertical="center"/>
    </xf>
    <xf numFmtId="171" fontId="42" fillId="2" borderId="3" xfId="0" applyNumberFormat="1" applyFont="1" applyFill="1" applyBorder="1" applyAlignment="1">
      <alignment horizontal="right" vertical="center"/>
    </xf>
    <xf numFmtId="0" fontId="30" fillId="0" borderId="3" xfId="0" applyFont="1" applyBorder="1" applyAlignment="1">
      <alignment horizontal="left" vertical="center" wrapText="1"/>
    </xf>
    <xf numFmtId="177" fontId="30" fillId="0" borderId="0" xfId="0" applyNumberFormat="1" applyFont="1" applyAlignment="1">
      <alignment horizontal="right" vertical="center"/>
    </xf>
    <xf numFmtId="177" fontId="30" fillId="0" borderId="3" xfId="0" applyNumberFormat="1" applyFont="1" applyBorder="1" applyAlignment="1">
      <alignment horizontal="right" vertical="center"/>
    </xf>
    <xf numFmtId="177" fontId="30" fillId="2" borderId="0" xfId="0" applyNumberFormat="1" applyFont="1" applyFill="1" applyAlignment="1">
      <alignment horizontal="right" vertical="center"/>
    </xf>
    <xf numFmtId="177" fontId="30" fillId="2" borderId="3" xfId="0" applyNumberFormat="1" applyFont="1" applyFill="1" applyBorder="1" applyAlignment="1">
      <alignment horizontal="right" vertical="center"/>
    </xf>
    <xf numFmtId="0" fontId="30" fillId="0" borderId="0" xfId="0" applyFont="1"/>
    <xf numFmtId="0" fontId="30" fillId="2" borderId="3" xfId="0" applyFont="1" applyFill="1" applyBorder="1" applyAlignment="1">
      <alignment horizontal="left" vertical="center"/>
    </xf>
    <xf numFmtId="0" fontId="29" fillId="2" borderId="0" xfId="0" applyFont="1" applyFill="1" applyAlignment="1">
      <alignment horizontal="left" vertical="top" wrapText="1"/>
    </xf>
    <xf numFmtId="185" fontId="26" fillId="2" borderId="16" xfId="0" applyNumberFormat="1" applyFont="1" applyFill="1" applyBorder="1" applyAlignment="1">
      <alignment vertical="center" wrapText="1"/>
    </xf>
    <xf numFmtId="185" fontId="26" fillId="2" borderId="16" xfId="0" applyNumberFormat="1" applyFont="1" applyFill="1" applyBorder="1" applyAlignment="1">
      <alignment wrapText="1"/>
    </xf>
    <xf numFmtId="185" fontId="49" fillId="2" borderId="16" xfId="0" applyNumberFormat="1" applyFont="1" applyFill="1" applyBorder="1" applyAlignment="1">
      <alignment vertical="center" wrapText="1"/>
    </xf>
    <xf numFmtId="185" fontId="26" fillId="0" borderId="16" xfId="0" applyNumberFormat="1" applyFont="1" applyBorder="1" applyAlignment="1">
      <alignment vertical="center" wrapText="1"/>
    </xf>
    <xf numFmtId="185" fontId="23" fillId="2" borderId="16" xfId="0" applyNumberFormat="1" applyFont="1" applyFill="1" applyBorder="1" applyAlignment="1">
      <alignment vertical="center"/>
    </xf>
    <xf numFmtId="0" fontId="11" fillId="2" borderId="0" xfId="0" applyFont="1" applyFill="1" applyAlignment="1">
      <alignment vertical="center" wrapText="1"/>
    </xf>
    <xf numFmtId="185" fontId="11" fillId="0" borderId="0" xfId="0" applyNumberFormat="1" applyFont="1" applyAlignment="1">
      <alignment vertical="center"/>
    </xf>
    <xf numFmtId="185" fontId="11" fillId="0" borderId="0" xfId="0" applyNumberFormat="1" applyFont="1" applyAlignment="1">
      <alignment horizontal="right" vertical="center"/>
    </xf>
    <xf numFmtId="185" fontId="11" fillId="2" borderId="0" xfId="0" applyNumberFormat="1" applyFont="1" applyFill="1" applyAlignment="1">
      <alignment vertical="center"/>
    </xf>
    <xf numFmtId="185" fontId="11" fillId="2" borderId="0" xfId="0" applyNumberFormat="1" applyFont="1" applyFill="1" applyAlignment="1">
      <alignment horizontal="left" vertical="center" wrapText="1"/>
    </xf>
    <xf numFmtId="185" fontId="11" fillId="0" borderId="0" xfId="0" applyNumberFormat="1" applyFont="1" applyAlignment="1">
      <alignment horizontal="left" vertical="center" wrapText="1"/>
    </xf>
    <xf numFmtId="0" fontId="29" fillId="2" borderId="0" xfId="0" applyFont="1" applyFill="1" applyAlignment="1">
      <alignment vertical="top" wrapText="1"/>
    </xf>
    <xf numFmtId="0" fontId="42" fillId="2" borderId="0" xfId="0" applyFont="1" applyFill="1" applyAlignment="1">
      <alignment horizontal="left" vertical="center"/>
    </xf>
    <xf numFmtId="0" fontId="26" fillId="2" borderId="16" xfId="0" applyFont="1" applyFill="1" applyBorder="1" applyAlignment="1">
      <alignment vertical="center"/>
    </xf>
    <xf numFmtId="0" fontId="42" fillId="2" borderId="16" xfId="0" applyFont="1" applyFill="1" applyBorder="1" applyAlignment="1">
      <alignment horizontal="left" vertical="center"/>
    </xf>
    <xf numFmtId="0" fontId="49" fillId="2" borderId="16" xfId="0" applyFont="1" applyFill="1" applyBorder="1" applyAlignment="1">
      <alignment vertical="center"/>
    </xf>
    <xf numFmtId="0" fontId="26" fillId="0" borderId="16" xfId="0" applyFont="1" applyBorder="1" applyAlignment="1">
      <alignment vertical="center"/>
    </xf>
    <xf numFmtId="0" fontId="31" fillId="2" borderId="16" xfId="0" applyFont="1" applyFill="1" applyBorder="1" applyAlignment="1">
      <alignment horizontal="left" vertical="center" indent="3"/>
    </xf>
    <xf numFmtId="169" fontId="46" fillId="0" borderId="0" xfId="2" applyNumberFormat="1" applyFont="1" applyFill="1" applyBorder="1" applyAlignment="1">
      <alignment vertical="center" wrapText="1"/>
    </xf>
    <xf numFmtId="169" fontId="46" fillId="0" borderId="3" xfId="2" applyNumberFormat="1" applyFont="1" applyFill="1" applyBorder="1" applyAlignment="1">
      <alignment vertical="center" wrapText="1"/>
    </xf>
    <xf numFmtId="169" fontId="23" fillId="0" borderId="0" xfId="2" applyNumberFormat="1" applyFont="1" applyFill="1" applyBorder="1" applyAlignment="1">
      <alignment vertical="center" wrapText="1"/>
    </xf>
    <xf numFmtId="0" fontId="176" fillId="0" borderId="16" xfId="0" applyFont="1" applyBorder="1" applyAlignment="1">
      <alignment vertical="center" wrapText="1"/>
    </xf>
    <xf numFmtId="0" fontId="11" fillId="0" borderId="0" xfId="0" applyFont="1" applyAlignment="1">
      <alignment vertical="center" wrapText="1"/>
    </xf>
    <xf numFmtId="0" fontId="0" fillId="2" borderId="0" xfId="0" applyFill="1"/>
    <xf numFmtId="10" fontId="179" fillId="0" borderId="0" xfId="0" applyNumberFormat="1" applyFont="1" applyAlignment="1">
      <alignment horizontal="right" vertical="center" wrapText="1"/>
    </xf>
    <xf numFmtId="0" fontId="180" fillId="0" borderId="0" xfId="0" applyFont="1"/>
    <xf numFmtId="0" fontId="181" fillId="2" borderId="16" xfId="0" applyFont="1" applyFill="1" applyBorder="1" applyAlignment="1">
      <alignment vertical="center" wrapText="1"/>
    </xf>
    <xf numFmtId="3" fontId="172" fillId="0" borderId="0" xfId="0" applyNumberFormat="1" applyFont="1" applyAlignment="1">
      <alignment horizontal="right" vertical="center" wrapText="1"/>
    </xf>
    <xf numFmtId="10" fontId="48" fillId="0" borderId="0" xfId="7" applyNumberFormat="1" applyFont="1" applyFill="1" applyBorder="1" applyAlignment="1">
      <alignment horizontal="right" vertical="center" wrapText="1"/>
    </xf>
    <xf numFmtId="10" fontId="48" fillId="2" borderId="0" xfId="7" applyNumberFormat="1" applyFont="1" applyFill="1" applyBorder="1" applyAlignment="1">
      <alignment horizontal="right" vertical="center" wrapText="1"/>
    </xf>
    <xf numFmtId="3" fontId="48" fillId="2" borderId="31" xfId="7" applyNumberFormat="1" applyFont="1" applyFill="1" applyBorder="1" applyAlignment="1">
      <alignment horizontal="right" vertical="center" wrapText="1"/>
    </xf>
    <xf numFmtId="3" fontId="48" fillId="0" borderId="31" xfId="7" applyNumberFormat="1" applyFont="1" applyFill="1" applyBorder="1" applyAlignment="1">
      <alignment horizontal="right" vertical="center" wrapText="1"/>
    </xf>
    <xf numFmtId="3" fontId="48" fillId="0" borderId="31" xfId="0" applyNumberFormat="1" applyFont="1" applyBorder="1" applyAlignment="1">
      <alignment horizontal="right" vertical="center" wrapText="1"/>
    </xf>
    <xf numFmtId="3" fontId="48" fillId="0" borderId="0" xfId="0" applyNumberFormat="1" applyFont="1" applyAlignment="1">
      <alignment horizontal="right" vertical="center" wrapText="1"/>
    </xf>
    <xf numFmtId="3" fontId="179" fillId="0" borderId="0" xfId="0" applyNumberFormat="1" applyFont="1" applyAlignment="1">
      <alignment vertical="center" wrapText="1"/>
    </xf>
    <xf numFmtId="3" fontId="0" fillId="0" borderId="0" xfId="0" applyNumberFormat="1"/>
    <xf numFmtId="0" fontId="29" fillId="0" borderId="0" xfId="0" applyFont="1" applyAlignment="1">
      <alignment horizontal="left" vertical="top" wrapText="1"/>
    </xf>
    <xf numFmtId="0" fontId="29" fillId="2" borderId="0" xfId="0" applyFont="1" applyFill="1" applyAlignment="1">
      <alignment horizontal="left" vertical="top"/>
    </xf>
    <xf numFmtId="0" fontId="0" fillId="2" borderId="0" xfId="0" applyFill="1" applyAlignment="1">
      <alignment wrapText="1"/>
    </xf>
    <xf numFmtId="0" fontId="183" fillId="2" borderId="0" xfId="0" applyFont="1" applyFill="1" applyAlignment="1">
      <alignment vertical="center"/>
    </xf>
    <xf numFmtId="0" fontId="14" fillId="0" borderId="15" xfId="0" applyFont="1" applyBorder="1" applyAlignment="1">
      <alignment vertical="center"/>
    </xf>
    <xf numFmtId="3" fontId="179" fillId="2" borderId="0" xfId="0" applyNumberFormat="1" applyFont="1" applyFill="1" applyAlignment="1">
      <alignment horizontal="right" vertical="center" wrapText="1"/>
    </xf>
    <xf numFmtId="3" fontId="179" fillId="0" borderId="0" xfId="0" applyNumberFormat="1" applyFont="1" applyAlignment="1">
      <alignment horizontal="right" vertical="center" wrapText="1"/>
    </xf>
    <xf numFmtId="170" fontId="185" fillId="2" borderId="0" xfId="0" applyNumberFormat="1" applyFont="1" applyFill="1" applyAlignment="1">
      <alignment horizontal="right" vertical="center" wrapText="1"/>
    </xf>
    <xf numFmtId="170" fontId="179" fillId="2" borderId="0" xfId="0" applyNumberFormat="1" applyFont="1" applyFill="1" applyAlignment="1">
      <alignment horizontal="right" vertical="center" wrapText="1"/>
    </xf>
    <xf numFmtId="0" fontId="157" fillId="2" borderId="0" xfId="0" applyFont="1" applyFill="1" applyAlignment="1">
      <alignment vertical="center"/>
    </xf>
    <xf numFmtId="170" fontId="48" fillId="2" borderId="0" xfId="0" applyNumberFormat="1" applyFont="1" applyFill="1" applyAlignment="1">
      <alignment horizontal="right" vertical="center" wrapText="1"/>
    </xf>
    <xf numFmtId="0" fontId="0" fillId="2" borderId="0" xfId="0" applyFill="1" applyAlignment="1">
      <alignment vertical="center"/>
    </xf>
    <xf numFmtId="0" fontId="179" fillId="2" borderId="0" xfId="0" applyFont="1" applyFill="1" applyAlignment="1">
      <alignment vertical="center"/>
    </xf>
    <xf numFmtId="3" fontId="185" fillId="2" borderId="0" xfId="0" applyNumberFormat="1" applyFont="1" applyFill="1" applyAlignment="1">
      <alignment horizontal="right" vertical="center" wrapText="1"/>
    </xf>
    <xf numFmtId="0" fontId="157" fillId="2" borderId="0" xfId="0" applyFont="1" applyFill="1"/>
    <xf numFmtId="170" fontId="179" fillId="0" borderId="0" xfId="0" applyNumberFormat="1" applyFont="1" applyAlignment="1">
      <alignment horizontal="right" vertical="center" wrapText="1"/>
    </xf>
    <xf numFmtId="170" fontId="48" fillId="0" borderId="0" xfId="0" applyNumberFormat="1" applyFont="1" applyAlignment="1">
      <alignment horizontal="right" vertical="center" wrapText="1"/>
    </xf>
    <xf numFmtId="0" fontId="5" fillId="2" borderId="0" xfId="0" applyFont="1" applyFill="1"/>
    <xf numFmtId="0" fontId="5" fillId="0" borderId="0" xfId="0" applyFont="1"/>
    <xf numFmtId="0" fontId="5" fillId="2" borderId="0" xfId="0" applyFont="1" applyFill="1" applyAlignment="1">
      <alignment vertical="center"/>
    </xf>
    <xf numFmtId="169" fontId="62" fillId="0" borderId="0" xfId="0" applyNumberFormat="1" applyFont="1"/>
    <xf numFmtId="0" fontId="48" fillId="0" borderId="0" xfId="0" applyFont="1" applyAlignment="1">
      <alignment wrapText="1"/>
    </xf>
    <xf numFmtId="0" fontId="61" fillId="0" borderId="0" xfId="0" applyFont="1" applyAlignment="1">
      <alignment vertical="center"/>
    </xf>
    <xf numFmtId="0" fontId="61" fillId="0" borderId="0" xfId="0" applyFont="1"/>
    <xf numFmtId="170" fontId="48" fillId="0" borderId="0" xfId="0" applyNumberFormat="1" applyFont="1"/>
    <xf numFmtId="170" fontId="61" fillId="0" borderId="0" xfId="0" applyNumberFormat="1" applyFont="1"/>
    <xf numFmtId="170" fontId="64" fillId="0" borderId="0" xfId="0" applyNumberFormat="1" applyFont="1"/>
    <xf numFmtId="0" fontId="19" fillId="2" borderId="0" xfId="0" applyFont="1" applyFill="1" applyAlignment="1">
      <alignment horizontal="left" vertical="top" wrapText="1"/>
    </xf>
    <xf numFmtId="0" fontId="11" fillId="2" borderId="3" xfId="0" applyFont="1" applyFill="1" applyBorder="1" applyAlignment="1">
      <alignment horizontal="left" vertical="center" wrapText="1"/>
    </xf>
    <xf numFmtId="0" fontId="42" fillId="2" borderId="0" xfId="0" applyFont="1" applyFill="1" applyAlignment="1">
      <alignment horizontal="left" vertical="top" wrapText="1"/>
    </xf>
    <xf numFmtId="0" fontId="42" fillId="2" borderId="0" xfId="0" applyFont="1" applyFill="1" applyAlignment="1">
      <alignment vertical="top" wrapText="1"/>
    </xf>
    <xf numFmtId="0" fontId="11" fillId="2" borderId="0" xfId="0" applyFont="1" applyFill="1" applyAlignment="1">
      <alignment vertical="top"/>
    </xf>
    <xf numFmtId="0" fontId="42" fillId="0" borderId="0" xfId="0" applyFont="1" applyAlignment="1">
      <alignment horizontal="left" vertical="top" wrapText="1"/>
    </xf>
    <xf numFmtId="0" fontId="42" fillId="2" borderId="0" xfId="0" applyFont="1" applyFill="1" applyAlignment="1">
      <alignment vertical="top"/>
    </xf>
    <xf numFmtId="0" fontId="11" fillId="2" borderId="0" xfId="0" applyFont="1" applyFill="1" applyAlignment="1">
      <alignment horizontal="left" vertical="top" wrapText="1"/>
    </xf>
    <xf numFmtId="168" fontId="42" fillId="2" borderId="0" xfId="0" applyNumberFormat="1" applyFont="1" applyFill="1" applyAlignment="1">
      <alignment horizontal="left" vertical="top" wrapText="1"/>
    </xf>
    <xf numFmtId="168" fontId="11" fillId="2" borderId="0" xfId="0" applyNumberFormat="1" applyFont="1" applyFill="1" applyAlignment="1">
      <alignment horizontal="left" vertical="top" wrapText="1"/>
    </xf>
    <xf numFmtId="0" fontId="29" fillId="0" borderId="0" xfId="0" applyFont="1" applyAlignment="1">
      <alignment vertical="top" wrapText="1"/>
    </xf>
    <xf numFmtId="49" fontId="188" fillId="0" borderId="0" xfId="0" applyNumberFormat="1" applyFont="1"/>
    <xf numFmtId="0" fontId="181" fillId="2" borderId="16" xfId="0" applyFont="1" applyFill="1" applyBorder="1" applyAlignment="1">
      <alignment horizontal="left" vertical="center" wrapText="1" indent="2"/>
    </xf>
    <xf numFmtId="10" fontId="48" fillId="0" borderId="0" xfId="0" applyNumberFormat="1" applyFont="1" applyAlignment="1">
      <alignment horizontal="right" vertical="center" wrapText="1"/>
    </xf>
    <xf numFmtId="0" fontId="181" fillId="2" borderId="16" xfId="0" applyFont="1" applyFill="1" applyBorder="1" applyAlignment="1">
      <alignment horizontal="left" vertical="center" wrapText="1" indent="3"/>
    </xf>
    <xf numFmtId="0" fontId="11" fillId="2" borderId="0" xfId="0" applyFont="1" applyFill="1" applyAlignment="1">
      <alignment horizontal="left" vertical="center" wrapText="1"/>
    </xf>
    <xf numFmtId="10" fontId="0" fillId="0" borderId="0" xfId="0" applyNumberFormat="1"/>
    <xf numFmtId="10" fontId="0" fillId="2" borderId="0" xfId="0" applyNumberFormat="1" applyFill="1"/>
    <xf numFmtId="0" fontId="26" fillId="2" borderId="16" xfId="0" applyFont="1" applyFill="1" applyBorder="1" applyAlignment="1">
      <alignment vertical="center" wrapText="1"/>
    </xf>
    <xf numFmtId="0" fontId="20" fillId="2" borderId="0" xfId="0" applyFont="1" applyFill="1" applyAlignment="1">
      <alignment vertical="center" wrapText="1"/>
    </xf>
    <xf numFmtId="0" fontId="30" fillId="0" borderId="3" xfId="0" applyFont="1" applyBorder="1" applyAlignment="1">
      <alignment vertical="center" wrapText="1"/>
    </xf>
    <xf numFmtId="181" fontId="32" fillId="0" borderId="0" xfId="0" applyNumberFormat="1" applyFont="1" applyAlignment="1">
      <alignment vertical="center"/>
    </xf>
    <xf numFmtId="181" fontId="32" fillId="0" borderId="0" xfId="0" applyNumberFormat="1" applyFont="1" applyAlignment="1">
      <alignment horizontal="right" vertical="center"/>
    </xf>
    <xf numFmtId="0" fontId="46" fillId="77" borderId="6" xfId="0" applyFont="1" applyFill="1" applyBorder="1" applyAlignment="1">
      <alignment vertical="center" wrapText="1"/>
    </xf>
    <xf numFmtId="0" fontId="43" fillId="2" borderId="0" xfId="0" applyFont="1" applyFill="1" applyAlignment="1">
      <alignment horizontal="center" vertical="center"/>
    </xf>
    <xf numFmtId="170" fontId="176" fillId="80" borderId="9" xfId="0" applyNumberFormat="1" applyFont="1" applyFill="1" applyBorder="1" applyAlignment="1">
      <alignment vertical="center" wrapText="1"/>
    </xf>
    <xf numFmtId="182" fontId="176" fillId="80" borderId="9" xfId="0" applyNumberFormat="1" applyFont="1" applyFill="1" applyBorder="1" applyAlignment="1">
      <alignment vertical="center" wrapText="1"/>
    </xf>
    <xf numFmtId="182" fontId="46" fillId="80" borderId="9" xfId="0" applyNumberFormat="1" applyFont="1" applyFill="1" applyBorder="1" applyAlignment="1">
      <alignment vertical="center" wrapText="1"/>
    </xf>
    <xf numFmtId="0" fontId="193" fillId="75" borderId="4" xfId="0" applyFont="1" applyFill="1" applyBorder="1" applyAlignment="1">
      <alignment vertical="center" wrapText="1"/>
    </xf>
    <xf numFmtId="0" fontId="193" fillId="75" borderId="15" xfId="0" applyFont="1" applyFill="1" applyBorder="1" applyAlignment="1">
      <alignment vertical="center" wrapText="1"/>
    </xf>
    <xf numFmtId="0" fontId="193" fillId="75" borderId="5" xfId="0" applyFont="1" applyFill="1" applyBorder="1" applyAlignment="1">
      <alignment vertical="center" wrapText="1"/>
    </xf>
    <xf numFmtId="0" fontId="193" fillId="75" borderId="17" xfId="0" applyFont="1" applyFill="1" applyBorder="1" applyAlignment="1">
      <alignment vertical="center" wrapText="1"/>
    </xf>
    <xf numFmtId="0" fontId="11" fillId="0" borderId="9" xfId="0" applyFont="1" applyBorder="1" applyAlignment="1">
      <alignment horizontal="left" vertical="center"/>
    </xf>
    <xf numFmtId="170" fontId="173" fillId="0" borderId="0" xfId="0" applyNumberFormat="1" applyFont="1" applyAlignment="1">
      <alignment horizontal="right" vertical="center"/>
    </xf>
    <xf numFmtId="173" fontId="11" fillId="2" borderId="9" xfId="0" applyNumberFormat="1" applyFont="1" applyFill="1" applyBorder="1" applyAlignment="1">
      <alignment horizontal="right" vertical="center"/>
    </xf>
    <xf numFmtId="173" fontId="11" fillId="2" borderId="9" xfId="0" applyNumberFormat="1" applyFont="1" applyFill="1" applyBorder="1" applyAlignment="1">
      <alignment vertical="center"/>
    </xf>
    <xf numFmtId="174" fontId="30" fillId="2" borderId="9" xfId="1" applyNumberFormat="1" applyFont="1" applyFill="1" applyBorder="1" applyAlignment="1">
      <alignment horizontal="right" vertical="center"/>
    </xf>
    <xf numFmtId="167" fontId="11" fillId="2" borderId="9" xfId="0" applyNumberFormat="1" applyFont="1" applyFill="1" applyBorder="1" applyAlignment="1">
      <alignment horizontal="right" vertical="center"/>
    </xf>
    <xf numFmtId="165" fontId="30" fillId="2" borderId="9" xfId="0" applyNumberFormat="1" applyFont="1" applyFill="1" applyBorder="1" applyAlignment="1">
      <alignment horizontal="right" vertical="center"/>
    </xf>
    <xf numFmtId="174" fontId="32" fillId="0" borderId="9" xfId="0" applyNumberFormat="1" applyFont="1" applyBorder="1" applyAlignment="1">
      <alignment vertical="center"/>
    </xf>
    <xf numFmtId="174" fontId="32" fillId="2" borderId="9" xfId="0" applyNumberFormat="1" applyFont="1" applyFill="1" applyBorder="1" applyAlignment="1">
      <alignment vertical="center"/>
    </xf>
    <xf numFmtId="181" fontId="11" fillId="0" borderId="0" xfId="0" applyNumberFormat="1" applyFont="1" applyAlignment="1">
      <alignment vertical="center"/>
    </xf>
    <xf numFmtId="181" fontId="11" fillId="0" borderId="9" xfId="0" applyNumberFormat="1" applyFont="1" applyBorder="1" applyAlignment="1">
      <alignment vertical="center"/>
    </xf>
    <xf numFmtId="181" fontId="30" fillId="0" borderId="0" xfId="0" applyNumberFormat="1" applyFont="1" applyAlignment="1">
      <alignment horizontal="right" vertical="center"/>
    </xf>
    <xf numFmtId="181" fontId="11" fillId="0" borderId="0" xfId="0" applyNumberFormat="1" applyFont="1" applyAlignment="1">
      <alignment horizontal="right" vertical="center"/>
    </xf>
    <xf numFmtId="182" fontId="32" fillId="0" borderId="9" xfId="0" applyNumberFormat="1" applyFont="1" applyBorder="1" applyAlignment="1">
      <alignment vertical="center"/>
    </xf>
    <xf numFmtId="182" fontId="24" fillId="0" borderId="9" xfId="0" applyNumberFormat="1" applyFont="1" applyBorder="1" applyAlignment="1">
      <alignment horizontal="right" vertical="center"/>
    </xf>
    <xf numFmtId="181" fontId="24" fillId="0" borderId="0" xfId="0" applyNumberFormat="1" applyFont="1" applyAlignment="1">
      <alignment horizontal="right" vertical="center"/>
    </xf>
    <xf numFmtId="0" fontId="11" fillId="0" borderId="0" xfId="0" applyFont="1" applyAlignment="1">
      <alignment vertical="top"/>
    </xf>
    <xf numFmtId="0" fontId="11" fillId="2" borderId="16" xfId="0" applyFont="1" applyFill="1" applyBorder="1" applyAlignment="1">
      <alignment horizontal="left" vertical="center"/>
    </xf>
    <xf numFmtId="0" fontId="186" fillId="0" borderId="0" xfId="0" applyFont="1"/>
    <xf numFmtId="0" fontId="202" fillId="2" borderId="0" xfId="0" applyFont="1" applyFill="1"/>
    <xf numFmtId="165" fontId="30" fillId="0" borderId="9" xfId="0" applyNumberFormat="1" applyFont="1" applyBorder="1" applyAlignment="1">
      <alignment horizontal="right" vertical="center"/>
    </xf>
    <xf numFmtId="165" fontId="30" fillId="0" borderId="0" xfId="0" applyNumberFormat="1" applyFont="1" applyAlignment="1">
      <alignment horizontal="right" vertical="center"/>
    </xf>
    <xf numFmtId="165" fontId="30" fillId="0" borderId="3" xfId="0" applyNumberFormat="1" applyFont="1" applyBorder="1" applyAlignment="1">
      <alignment horizontal="right" vertical="center"/>
    </xf>
    <xf numFmtId="173" fontId="11" fillId="0" borderId="9" xfId="0" applyNumberFormat="1" applyFont="1" applyBorder="1" applyAlignment="1">
      <alignment vertical="center"/>
    </xf>
    <xf numFmtId="173" fontId="11" fillId="0" borderId="0" xfId="0" applyNumberFormat="1" applyFont="1" applyAlignment="1">
      <alignment vertical="center"/>
    </xf>
    <xf numFmtId="170" fontId="11" fillId="0" borderId="0" xfId="0" applyNumberFormat="1" applyFont="1" applyAlignment="1">
      <alignment horizontal="right" vertical="center"/>
    </xf>
    <xf numFmtId="170" fontId="11" fillId="0" borderId="9" xfId="0" applyNumberFormat="1" applyFont="1" applyBorder="1" applyAlignment="1">
      <alignment vertical="center"/>
    </xf>
    <xf numFmtId="170" fontId="11" fillId="0" borderId="0" xfId="0" applyNumberFormat="1" applyFont="1" applyAlignment="1">
      <alignment vertical="center"/>
    </xf>
    <xf numFmtId="167" fontId="11" fillId="0" borderId="9" xfId="0" applyNumberFormat="1" applyFont="1" applyBorder="1" applyAlignment="1">
      <alignment horizontal="right" vertical="center"/>
    </xf>
    <xf numFmtId="167" fontId="11" fillId="0" borderId="0" xfId="0" applyNumberFormat="1" applyFont="1" applyAlignment="1">
      <alignment horizontal="right" vertical="center"/>
    </xf>
    <xf numFmtId="173" fontId="11" fillId="0" borderId="0" xfId="0" applyNumberFormat="1" applyFont="1" applyAlignment="1">
      <alignment horizontal="right" vertical="center"/>
    </xf>
    <xf numFmtId="177" fontId="11" fillId="0" borderId="9" xfId="0" applyNumberFormat="1" applyFont="1" applyBorder="1" applyAlignment="1">
      <alignment vertical="center"/>
    </xf>
    <xf numFmtId="167" fontId="11" fillId="0" borderId="9" xfId="0" applyNumberFormat="1" applyFont="1" applyBorder="1" applyAlignment="1">
      <alignment vertical="center"/>
    </xf>
    <xf numFmtId="167" fontId="11" fillId="0" borderId="0" xfId="0" applyNumberFormat="1" applyFont="1" applyAlignment="1">
      <alignment vertical="center"/>
    </xf>
    <xf numFmtId="175" fontId="11" fillId="0" borderId="9" xfId="0" applyNumberFormat="1" applyFont="1" applyBorder="1" applyAlignment="1">
      <alignment vertical="center"/>
    </xf>
    <xf numFmtId="173" fontId="11" fillId="0" borderId="9" xfId="0" applyNumberFormat="1" applyFont="1" applyBorder="1" applyAlignment="1">
      <alignment horizontal="right" vertical="center"/>
    </xf>
    <xf numFmtId="173" fontId="11" fillId="0" borderId="3" xfId="0" applyNumberFormat="1" applyFont="1" applyBorder="1" applyAlignment="1">
      <alignment horizontal="right" vertical="center"/>
    </xf>
    <xf numFmtId="175" fontId="11" fillId="0" borderId="0" xfId="0" applyNumberFormat="1" applyFont="1" applyAlignment="1">
      <alignment vertical="center"/>
    </xf>
    <xf numFmtId="174" fontId="30" fillId="0" borderId="9" xfId="1" applyNumberFormat="1" applyFont="1" applyFill="1" applyBorder="1" applyAlignment="1">
      <alignment horizontal="right" vertical="center"/>
    </xf>
    <xf numFmtId="174" fontId="30" fillId="0" borderId="0" xfId="1" applyNumberFormat="1" applyFont="1" applyFill="1" applyBorder="1" applyAlignment="1">
      <alignment horizontal="right" vertical="center"/>
    </xf>
    <xf numFmtId="174" fontId="30" fillId="0" borderId="3" xfId="1" applyNumberFormat="1" applyFont="1" applyFill="1" applyBorder="1" applyAlignment="1">
      <alignment horizontal="right" vertical="center"/>
    </xf>
    <xf numFmtId="167" fontId="11" fillId="0" borderId="3" xfId="0" applyNumberFormat="1" applyFont="1" applyBorder="1" applyAlignment="1">
      <alignment horizontal="right" vertical="center"/>
    </xf>
    <xf numFmtId="175" fontId="32" fillId="0" borderId="9" xfId="0" applyNumberFormat="1" applyFont="1" applyBorder="1" applyAlignment="1">
      <alignment vertical="center"/>
    </xf>
    <xf numFmtId="175" fontId="32" fillId="0" borderId="0" xfId="0" applyNumberFormat="1" applyFont="1" applyAlignment="1">
      <alignment vertical="center"/>
    </xf>
    <xf numFmtId="170" fontId="32" fillId="0" borderId="0" xfId="0" applyNumberFormat="1" applyFont="1" applyAlignment="1">
      <alignment vertical="center"/>
    </xf>
    <xf numFmtId="174" fontId="11" fillId="0" borderId="9" xfId="0" applyNumberFormat="1" applyFont="1" applyBorder="1" applyAlignment="1">
      <alignment vertical="center"/>
    </xf>
    <xf numFmtId="174" fontId="11" fillId="0" borderId="0" xfId="0" applyNumberFormat="1" applyFont="1" applyAlignment="1">
      <alignment vertical="center"/>
    </xf>
    <xf numFmtId="174" fontId="11" fillId="0" borderId="3" xfId="0" applyNumberFormat="1" applyFont="1" applyBorder="1" applyAlignment="1">
      <alignment vertical="center"/>
    </xf>
    <xf numFmtId="174" fontId="32" fillId="0" borderId="3" xfId="0" applyNumberFormat="1" applyFont="1" applyBorder="1" applyAlignment="1">
      <alignment vertical="center"/>
    </xf>
    <xf numFmtId="173" fontId="32" fillId="0" borderId="0" xfId="0" applyNumberFormat="1" applyFont="1" applyAlignment="1">
      <alignment vertical="center"/>
    </xf>
    <xf numFmtId="165" fontId="34" fillId="0" borderId="0" xfId="0" applyNumberFormat="1" applyFont="1" applyAlignment="1">
      <alignment horizontal="right" vertical="center"/>
    </xf>
    <xf numFmtId="184" fontId="11" fillId="2" borderId="9" xfId="0" applyNumberFormat="1" applyFont="1" applyFill="1" applyBorder="1" applyAlignment="1">
      <alignment horizontal="right" vertical="center"/>
    </xf>
    <xf numFmtId="182" fontId="11" fillId="0" borderId="0" xfId="0" applyNumberFormat="1" applyFont="1" applyAlignment="1">
      <alignment horizontal="right" vertical="center"/>
    </xf>
    <xf numFmtId="182" fontId="30" fillId="0" borderId="0" xfId="0" applyNumberFormat="1" applyFont="1" applyAlignment="1">
      <alignment vertical="center"/>
    </xf>
    <xf numFmtId="183" fontId="30" fillId="0" borderId="0" xfId="0" applyNumberFormat="1" applyFont="1" applyAlignment="1">
      <alignment vertical="center"/>
    </xf>
    <xf numFmtId="182" fontId="34" fillId="0" borderId="0" xfId="0" applyNumberFormat="1" applyFont="1" applyAlignment="1">
      <alignment horizontal="right" vertical="center"/>
    </xf>
    <xf numFmtId="0" fontId="22" fillId="0" borderId="11" xfId="0" applyFont="1" applyBorder="1" applyAlignment="1">
      <alignment vertical="center" wrapText="1"/>
    </xf>
    <xf numFmtId="182" fontId="22" fillId="0" borderId="2" xfId="0" applyNumberFormat="1" applyFont="1" applyBorder="1" applyAlignment="1">
      <alignment vertical="center"/>
    </xf>
    <xf numFmtId="0" fontId="78" fillId="0" borderId="0" xfId="0" applyFont="1" applyAlignment="1">
      <alignment vertical="center"/>
    </xf>
    <xf numFmtId="3" fontId="19" fillId="0" borderId="3" xfId="0" applyNumberFormat="1" applyFont="1" applyBorder="1" applyAlignment="1">
      <alignment horizontal="right" vertical="center" wrapText="1"/>
    </xf>
    <xf numFmtId="3" fontId="8" fillId="0" borderId="0" xfId="0" applyNumberFormat="1" applyFont="1" applyAlignment="1">
      <alignment vertical="center"/>
    </xf>
    <xf numFmtId="0" fontId="37" fillId="0" borderId="3" xfId="0" applyFont="1" applyBorder="1" applyAlignment="1">
      <alignment horizontal="left" vertical="center" wrapText="1" indent="1"/>
    </xf>
    <xf numFmtId="3" fontId="29" fillId="0" borderId="0" xfId="0" applyNumberFormat="1" applyFont="1" applyAlignment="1">
      <alignment horizontal="right" vertical="center" wrapText="1"/>
    </xf>
    <xf numFmtId="0" fontId="38" fillId="0" borderId="3" xfId="0" applyFont="1" applyBorder="1" applyAlignment="1">
      <alignment horizontal="left" vertical="center" wrapText="1" indent="3"/>
    </xf>
    <xf numFmtId="3" fontId="39" fillId="0" borderId="3" xfId="0" applyNumberFormat="1" applyFont="1" applyBorder="1" applyAlignment="1">
      <alignment horizontal="right" vertical="center" wrapText="1"/>
    </xf>
    <xf numFmtId="3" fontId="12" fillId="0" borderId="0" xfId="0" applyNumberFormat="1" applyFont="1" applyAlignment="1">
      <alignment horizontal="right" vertical="center" wrapText="1"/>
    </xf>
    <xf numFmtId="3" fontId="19" fillId="0" borderId="18" xfId="0" applyNumberFormat="1" applyFont="1" applyBorder="1" applyAlignment="1">
      <alignment horizontal="right" vertical="center" wrapText="1"/>
    </xf>
    <xf numFmtId="170" fontId="29" fillId="0" borderId="0" xfId="0" applyNumberFormat="1" applyFont="1" applyAlignment="1">
      <alignment horizontal="right" vertical="center" wrapText="1"/>
    </xf>
    <xf numFmtId="0" fontId="37" fillId="0" borderId="16" xfId="0" applyFont="1" applyBorder="1" applyAlignment="1">
      <alignment horizontal="left" vertical="center"/>
    </xf>
    <xf numFmtId="167" fontId="19" fillId="0" borderId="3" xfId="0" applyNumberFormat="1" applyFont="1" applyBorder="1" applyAlignment="1">
      <alignment horizontal="right" vertical="center" wrapText="1"/>
    </xf>
    <xf numFmtId="0" fontId="37" fillId="0" borderId="3" xfId="0" applyFont="1" applyBorder="1" applyAlignment="1">
      <alignment horizontal="left" vertical="center" wrapText="1"/>
    </xf>
    <xf numFmtId="169" fontId="19" fillId="0" borderId="3" xfId="0" applyNumberFormat="1" applyFont="1" applyBorder="1" applyAlignment="1">
      <alignment horizontal="right" vertical="center" wrapText="1"/>
    </xf>
    <xf numFmtId="169" fontId="29" fillId="0" borderId="0" xfId="0" applyNumberFormat="1" applyFont="1" applyAlignment="1">
      <alignment horizontal="right" vertical="center" wrapText="1"/>
    </xf>
    <xf numFmtId="3" fontId="39" fillId="0" borderId="3" xfId="6" applyNumberFormat="1" applyFont="1" applyFill="1" applyBorder="1" applyAlignment="1">
      <alignment horizontal="right" vertical="center" wrapText="1"/>
    </xf>
    <xf numFmtId="3" fontId="19" fillId="0" borderId="3" xfId="6" applyNumberFormat="1" applyFont="1" applyFill="1" applyBorder="1" applyAlignment="1">
      <alignment horizontal="right" vertical="center" wrapText="1"/>
    </xf>
    <xf numFmtId="3" fontId="19" fillId="0" borderId="5" xfId="0" applyNumberFormat="1" applyFont="1" applyBorder="1" applyAlignment="1">
      <alignment horizontal="right" vertical="center" wrapText="1"/>
    </xf>
    <xf numFmtId="0" fontId="8"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vertical="center" wrapText="1"/>
    </xf>
    <xf numFmtId="0" fontId="193" fillId="75" borderId="5" xfId="0" applyFont="1" applyFill="1" applyBorder="1" applyAlignment="1">
      <alignment horizontal="center" vertical="center"/>
    </xf>
    <xf numFmtId="0" fontId="193" fillId="75" borderId="53" xfId="0" applyFont="1" applyFill="1" applyBorder="1" applyAlignment="1">
      <alignment horizontal="center" vertical="center"/>
    </xf>
    <xf numFmtId="0" fontId="206" fillId="0" borderId="0" xfId="0" applyFont="1" applyAlignment="1">
      <alignment vertical="center"/>
    </xf>
    <xf numFmtId="177" fontId="22" fillId="77" borderId="6" xfId="0" applyNumberFormat="1" applyFont="1" applyFill="1" applyBorder="1" applyAlignment="1">
      <alignment horizontal="right" vertical="center"/>
    </xf>
    <xf numFmtId="177" fontId="22" fillId="77" borderId="7" xfId="0" applyNumberFormat="1" applyFont="1" applyFill="1" applyBorder="1" applyAlignment="1">
      <alignment horizontal="right" vertical="center"/>
    </xf>
    <xf numFmtId="170" fontId="46" fillId="80" borderId="8" xfId="0" applyNumberFormat="1" applyFont="1" applyFill="1" applyBorder="1" applyAlignment="1">
      <alignment horizontal="right" vertical="center" wrapText="1"/>
    </xf>
    <xf numFmtId="170" fontId="195" fillId="80" borderId="9" xfId="0" applyNumberFormat="1" applyFont="1" applyFill="1" applyBorder="1" applyAlignment="1">
      <alignment horizontal="right" vertical="center" wrapText="1"/>
    </xf>
    <xf numFmtId="213" fontId="22" fillId="77" borderId="6" xfId="0" applyNumberFormat="1" applyFont="1" applyFill="1" applyBorder="1" applyAlignment="1">
      <alignment horizontal="right" vertical="center"/>
    </xf>
    <xf numFmtId="213" fontId="22" fillId="77" borderId="7" xfId="0" applyNumberFormat="1" applyFont="1" applyFill="1" applyBorder="1" applyAlignment="1">
      <alignment horizontal="right" vertical="center"/>
    </xf>
    <xf numFmtId="213" fontId="46" fillId="80" borderId="8" xfId="0" applyNumberFormat="1" applyFont="1" applyFill="1" applyBorder="1" applyAlignment="1">
      <alignment horizontal="right" vertical="center" wrapText="1"/>
    </xf>
    <xf numFmtId="169" fontId="195" fillId="80" borderId="9" xfId="0" applyNumberFormat="1" applyFont="1" applyFill="1" applyBorder="1" applyAlignment="1">
      <alignment horizontal="right" vertical="center" wrapText="1"/>
    </xf>
    <xf numFmtId="166" fontId="195" fillId="80" borderId="9" xfId="0" applyNumberFormat="1" applyFont="1" applyFill="1" applyBorder="1" applyAlignment="1">
      <alignment horizontal="right" vertical="center" wrapText="1"/>
    </xf>
    <xf numFmtId="0" fontId="17" fillId="0" borderId="55" xfId="0" applyFont="1" applyBorder="1" applyAlignment="1">
      <alignment horizontal="left" vertical="center" wrapText="1"/>
    </xf>
    <xf numFmtId="0" fontId="17" fillId="0" borderId="55" xfId="0" applyFont="1" applyBorder="1" applyAlignment="1">
      <alignment horizontal="left" vertical="center"/>
    </xf>
    <xf numFmtId="3" fontId="36" fillId="0" borderId="55" xfId="0" applyNumberFormat="1" applyFont="1" applyBorder="1" applyAlignment="1">
      <alignment horizontal="right" vertical="center" wrapText="1"/>
    </xf>
    <xf numFmtId="3" fontId="36" fillId="0" borderId="56" xfId="0" applyNumberFormat="1" applyFont="1" applyBorder="1" applyAlignment="1">
      <alignment horizontal="right" vertical="center" wrapText="1"/>
    </xf>
    <xf numFmtId="170" fontId="207" fillId="80" borderId="57" xfId="0" applyNumberFormat="1" applyFont="1" applyFill="1" applyBorder="1" applyAlignment="1">
      <alignment horizontal="right" vertical="center" wrapText="1"/>
    </xf>
    <xf numFmtId="170" fontId="36" fillId="0" borderId="55" xfId="0" applyNumberFormat="1" applyFont="1" applyBorder="1" applyAlignment="1">
      <alignment horizontal="right" vertical="center" wrapText="1"/>
    </xf>
    <xf numFmtId="170" fontId="36" fillId="0" borderId="56" xfId="0" applyNumberFormat="1" applyFont="1" applyBorder="1" applyAlignment="1">
      <alignment horizontal="right" vertical="center" wrapText="1"/>
    </xf>
    <xf numFmtId="170" fontId="17" fillId="0" borderId="55" xfId="0" applyNumberFormat="1" applyFont="1" applyBorder="1" applyAlignment="1">
      <alignment horizontal="left" vertical="center" wrapText="1"/>
    </xf>
    <xf numFmtId="170" fontId="17" fillId="0" borderId="55" xfId="0" applyNumberFormat="1" applyFont="1" applyBorder="1" applyAlignment="1">
      <alignment horizontal="left" vertical="center"/>
    </xf>
    <xf numFmtId="170" fontId="8" fillId="0" borderId="0" xfId="0" applyNumberFormat="1" applyFont="1" applyAlignment="1">
      <alignment vertical="center"/>
    </xf>
    <xf numFmtId="3" fontId="195" fillId="80" borderId="9" xfId="0" applyNumberFormat="1" applyFont="1" applyFill="1" applyBorder="1" applyAlignment="1">
      <alignment horizontal="right" vertical="center" wrapText="1"/>
    </xf>
    <xf numFmtId="3" fontId="207" fillId="80" borderId="57" xfId="0" applyNumberFormat="1" applyFont="1" applyFill="1" applyBorder="1" applyAlignment="1">
      <alignment horizontal="right" vertical="center" wrapText="1"/>
    </xf>
    <xf numFmtId="3" fontId="205" fillId="81" borderId="3" xfId="0" applyNumberFormat="1" applyFont="1" applyFill="1" applyBorder="1" applyAlignment="1">
      <alignment horizontal="right" vertical="center" wrapText="1"/>
    </xf>
    <xf numFmtId="3" fontId="205" fillId="81" borderId="0" xfId="0" applyNumberFormat="1" applyFont="1" applyFill="1" applyAlignment="1">
      <alignment horizontal="right" vertical="center" wrapText="1"/>
    </xf>
    <xf numFmtId="170" fontId="46" fillId="82" borderId="50" xfId="0" applyNumberFormat="1" applyFont="1" applyFill="1" applyBorder="1" applyAlignment="1">
      <alignment horizontal="right" vertical="center" wrapText="1"/>
    </xf>
    <xf numFmtId="3" fontId="205" fillId="81" borderId="4" xfId="0" applyNumberFormat="1" applyFont="1" applyFill="1" applyBorder="1" applyAlignment="1">
      <alignment horizontal="right" vertical="center" wrapText="1"/>
    </xf>
    <xf numFmtId="169" fontId="205" fillId="81" borderId="3" xfId="6" applyNumberFormat="1" applyFont="1" applyFill="1" applyBorder="1" applyAlignment="1">
      <alignment horizontal="right" vertical="center" wrapText="1"/>
    </xf>
    <xf numFmtId="169" fontId="205" fillId="81" borderId="0" xfId="6" applyNumberFormat="1" applyFont="1" applyFill="1" applyBorder="1" applyAlignment="1">
      <alignment horizontal="right" vertical="center" wrapText="1"/>
    </xf>
    <xf numFmtId="0" fontId="17" fillId="0" borderId="58" xfId="0" applyFont="1" applyBorder="1" applyAlignment="1">
      <alignment horizontal="left" vertical="center" wrapText="1"/>
    </xf>
    <xf numFmtId="0" fontId="17" fillId="0" borderId="58" xfId="0" applyFont="1" applyBorder="1" applyAlignment="1">
      <alignment horizontal="left" vertical="center"/>
    </xf>
    <xf numFmtId="3" fontId="36" fillId="0" borderId="58" xfId="0" applyNumberFormat="1" applyFont="1" applyBorder="1" applyAlignment="1">
      <alignment horizontal="right" vertical="center" wrapText="1"/>
    </xf>
    <xf numFmtId="3" fontId="36" fillId="0" borderId="59" xfId="0" applyNumberFormat="1" applyFont="1" applyBorder="1" applyAlignment="1">
      <alignment horizontal="right" vertical="center" wrapText="1"/>
    </xf>
    <xf numFmtId="3" fontId="207" fillId="80" borderId="60" xfId="0" applyNumberFormat="1" applyFont="1" applyFill="1" applyBorder="1" applyAlignment="1">
      <alignment horizontal="right" vertical="center" wrapText="1"/>
    </xf>
    <xf numFmtId="0" fontId="193" fillId="75" borderId="3" xfId="0" applyFont="1" applyFill="1" applyBorder="1" applyAlignment="1">
      <alignment vertical="center" wrapText="1"/>
    </xf>
    <xf numFmtId="170" fontId="46" fillId="82" borderId="9" xfId="0" applyNumberFormat="1" applyFont="1" applyFill="1" applyBorder="1" applyAlignment="1">
      <alignment horizontal="right" vertical="center" wrapText="1"/>
    </xf>
    <xf numFmtId="2" fontId="19" fillId="0" borderId="3" xfId="0" applyNumberFormat="1" applyFont="1" applyBorder="1" applyAlignment="1">
      <alignment horizontal="right" vertical="center" wrapText="1"/>
    </xf>
    <xf numFmtId="2" fontId="19" fillId="0" borderId="0" xfId="0" applyNumberFormat="1" applyFont="1" applyAlignment="1">
      <alignment horizontal="right" vertical="center" wrapText="1"/>
    </xf>
    <xf numFmtId="4" fontId="29" fillId="0" borderId="0" xfId="0" applyNumberFormat="1" applyFont="1" applyAlignment="1">
      <alignment horizontal="right" vertical="center" wrapText="1"/>
    </xf>
    <xf numFmtId="3" fontId="36" fillId="0" borderId="61" xfId="0" applyNumberFormat="1" applyFont="1" applyBorder="1" applyAlignment="1">
      <alignment horizontal="right" vertical="center" wrapText="1"/>
    </xf>
    <xf numFmtId="3" fontId="36" fillId="0" borderId="62" xfId="0" applyNumberFormat="1" applyFont="1" applyBorder="1" applyAlignment="1">
      <alignment horizontal="right" vertical="center" wrapText="1"/>
    </xf>
    <xf numFmtId="170" fontId="207" fillId="80" borderId="63" xfId="0" applyNumberFormat="1" applyFont="1" applyFill="1" applyBorder="1" applyAlignment="1">
      <alignment horizontal="right" vertical="center" wrapText="1"/>
    </xf>
    <xf numFmtId="3" fontId="208" fillId="80" borderId="9" xfId="0" applyNumberFormat="1" applyFont="1" applyFill="1" applyBorder="1" applyAlignment="1">
      <alignment horizontal="right" vertical="center" wrapText="1"/>
    </xf>
    <xf numFmtId="3" fontId="46" fillId="80" borderId="8" xfId="0" applyNumberFormat="1" applyFont="1" applyFill="1" applyBorder="1" applyAlignment="1">
      <alignment horizontal="right" vertical="center" wrapText="1"/>
    </xf>
    <xf numFmtId="3" fontId="207" fillId="80" borderId="63" xfId="0" applyNumberFormat="1" applyFont="1" applyFill="1" applyBorder="1" applyAlignment="1">
      <alignment horizontal="right" vertical="center" wrapText="1"/>
    </xf>
    <xf numFmtId="3" fontId="37" fillId="0" borderId="3" xfId="0" applyNumberFormat="1" applyFont="1" applyBorder="1" applyAlignment="1">
      <alignment horizontal="left" vertical="center" wrapText="1" indent="1"/>
    </xf>
    <xf numFmtId="3" fontId="37" fillId="0" borderId="5" xfId="0" applyNumberFormat="1" applyFont="1" applyBorder="1" applyAlignment="1">
      <alignment horizontal="left" vertical="center" wrapText="1" indent="1"/>
    </xf>
    <xf numFmtId="3" fontId="195" fillId="80" borderId="13" xfId="0" applyNumberFormat="1" applyFont="1" applyFill="1" applyBorder="1" applyAlignment="1">
      <alignment horizontal="right" vertical="center" wrapText="1"/>
    </xf>
    <xf numFmtId="3" fontId="17" fillId="0" borderId="55" xfId="0" applyNumberFormat="1" applyFont="1" applyBorder="1" applyAlignment="1">
      <alignment horizontal="left" vertical="center" wrapText="1"/>
    </xf>
    <xf numFmtId="3" fontId="17" fillId="0" borderId="55" xfId="0" applyNumberFormat="1" applyFont="1" applyBorder="1" applyAlignment="1">
      <alignment horizontal="left" vertical="center"/>
    </xf>
    <xf numFmtId="0" fontId="209" fillId="0" borderId="0" xfId="0" applyFont="1" applyAlignment="1">
      <alignment vertical="center"/>
    </xf>
    <xf numFmtId="0" fontId="193" fillId="75" borderId="10" xfId="0" applyFont="1" applyFill="1" applyBorder="1" applyAlignment="1">
      <alignment horizontal="center" vertical="center"/>
    </xf>
    <xf numFmtId="0" fontId="193" fillId="75" borderId="0" xfId="0" applyFont="1" applyFill="1" applyAlignment="1">
      <alignment horizontal="center" vertical="center"/>
    </xf>
    <xf numFmtId="0" fontId="0" fillId="0" borderId="0" xfId="0" applyAlignment="1">
      <alignment horizontal="right"/>
    </xf>
    <xf numFmtId="0" fontId="41" fillId="0" borderId="5" xfId="0" applyFont="1" applyBorder="1" applyAlignment="1">
      <alignment horizontal="right" vertical="center"/>
    </xf>
    <xf numFmtId="0" fontId="41" fillId="0" borderId="7" xfId="0" applyFont="1" applyBorder="1" applyAlignment="1">
      <alignment horizontal="right" vertical="center"/>
    </xf>
    <xf numFmtId="0" fontId="15" fillId="0" borderId="0" xfId="0" applyFont="1" applyAlignment="1">
      <alignment vertical="center"/>
    </xf>
    <xf numFmtId="0" fontId="61" fillId="0" borderId="14" xfId="0" applyFont="1" applyBorder="1" applyAlignment="1">
      <alignment horizontal="left" vertical="center" wrapText="1"/>
    </xf>
    <xf numFmtId="169" fontId="179" fillId="0" borderId="9" xfId="0" applyNumberFormat="1" applyFont="1" applyBorder="1" applyAlignment="1">
      <alignment horizontal="right" vertical="center" wrapText="1"/>
    </xf>
    <xf numFmtId="10" fontId="172" fillId="0" borderId="0" xfId="7" applyNumberFormat="1" applyFont="1" applyFill="1" applyBorder="1" applyAlignment="1">
      <alignment horizontal="right" vertical="center" wrapText="1"/>
    </xf>
    <xf numFmtId="3" fontId="48" fillId="0" borderId="9" xfId="0" applyNumberFormat="1" applyFont="1" applyBorder="1" applyAlignment="1">
      <alignment horizontal="right" vertical="center" wrapText="1"/>
    </xf>
    <xf numFmtId="3" fontId="179" fillId="0" borderId="9" xfId="0" applyNumberFormat="1" applyFont="1" applyBorder="1" applyAlignment="1">
      <alignment horizontal="right" vertical="center" wrapText="1"/>
    </xf>
    <xf numFmtId="3" fontId="179" fillId="0" borderId="13" xfId="0" applyNumberFormat="1" applyFont="1" applyBorder="1" applyAlignment="1">
      <alignment horizontal="right" vertical="center" wrapText="1"/>
    </xf>
    <xf numFmtId="0" fontId="29" fillId="0" borderId="0" xfId="0" applyFont="1" applyAlignment="1">
      <alignment horizontal="left" vertical="top"/>
    </xf>
    <xf numFmtId="0" fontId="183" fillId="0" borderId="0" xfId="0" applyFont="1" applyAlignment="1">
      <alignment vertical="center"/>
    </xf>
    <xf numFmtId="0" fontId="28" fillId="0" borderId="0" xfId="0" applyFont="1" applyAlignment="1">
      <alignment horizontal="left" vertical="center" wrapText="1"/>
    </xf>
    <xf numFmtId="0" fontId="179" fillId="0" borderId="0" xfId="0" applyFont="1" applyAlignment="1">
      <alignment vertical="center"/>
    </xf>
    <xf numFmtId="0" fontId="80" fillId="0" borderId="14" xfId="0" applyFont="1" applyBorder="1" applyAlignment="1">
      <alignment horizontal="left" vertical="center" wrapText="1"/>
    </xf>
    <xf numFmtId="0" fontId="0" fillId="0" borderId="0" xfId="0" applyAlignment="1">
      <alignment wrapText="1"/>
    </xf>
    <xf numFmtId="0" fontId="61" fillId="0" borderId="12" xfId="0" applyFont="1" applyBorder="1" applyAlignment="1">
      <alignment horizontal="left" vertical="center" wrapText="1"/>
    </xf>
    <xf numFmtId="0" fontId="61" fillId="81" borderId="5" xfId="0" applyFont="1" applyFill="1" applyBorder="1" applyAlignment="1">
      <alignment horizontal="right" vertical="center"/>
    </xf>
    <xf numFmtId="0" fontId="61" fillId="81" borderId="53" xfId="0" applyFont="1" applyFill="1" applyBorder="1" applyAlignment="1">
      <alignment horizontal="right" vertical="center"/>
    </xf>
    <xf numFmtId="0" fontId="61" fillId="0" borderId="5" xfId="0" applyFont="1" applyBorder="1" applyAlignment="1">
      <alignment horizontal="right" vertical="center"/>
    </xf>
    <xf numFmtId="0" fontId="61" fillId="0" borderId="7" xfId="0" applyFont="1" applyBorder="1" applyAlignment="1">
      <alignment horizontal="right" vertical="center"/>
    </xf>
    <xf numFmtId="0" fontId="61" fillId="0" borderId="4" xfId="0" applyFont="1" applyBorder="1" applyAlignment="1">
      <alignment horizontal="left" vertical="center" wrapText="1"/>
    </xf>
    <xf numFmtId="0" fontId="61" fillId="0" borderId="49" xfId="0" applyFont="1" applyBorder="1" applyAlignment="1">
      <alignment horizontal="left" vertical="center" wrapText="1"/>
    </xf>
    <xf numFmtId="0" fontId="80" fillId="0" borderId="49" xfId="0" applyFont="1" applyBorder="1" applyAlignment="1">
      <alignment horizontal="left" vertical="center" wrapText="1"/>
    </xf>
    <xf numFmtId="0" fontId="14" fillId="2" borderId="54" xfId="0" applyFont="1" applyFill="1" applyBorder="1" applyAlignment="1">
      <alignment vertical="center" wrapText="1"/>
    </xf>
    <xf numFmtId="10" fontId="179" fillId="0" borderId="56" xfId="7" applyNumberFormat="1" applyFont="1" applyFill="1" applyBorder="1" applyAlignment="1">
      <alignment horizontal="right" vertical="center" wrapText="1"/>
    </xf>
    <xf numFmtId="10" fontId="179" fillId="0" borderId="56" xfId="0" applyNumberFormat="1" applyFont="1" applyBorder="1" applyAlignment="1">
      <alignment horizontal="right" vertical="center" wrapText="1"/>
    </xf>
    <xf numFmtId="169" fontId="179" fillId="0" borderId="57" xfId="0" applyNumberFormat="1" applyFont="1" applyBorder="1" applyAlignment="1">
      <alignment horizontal="right" vertical="center" wrapText="1"/>
    </xf>
    <xf numFmtId="10" fontId="179" fillId="2" borderId="56" xfId="7" applyNumberFormat="1" applyFont="1" applyFill="1" applyBorder="1" applyAlignment="1">
      <alignment horizontal="right" vertical="center" wrapText="1"/>
    </xf>
    <xf numFmtId="169" fontId="179" fillId="2" borderId="56" xfId="7" applyNumberFormat="1" applyFont="1" applyFill="1" applyBorder="1" applyAlignment="1">
      <alignment horizontal="right" vertical="center" wrapText="1"/>
    </xf>
    <xf numFmtId="169" fontId="179" fillId="0" borderId="56" xfId="7" applyNumberFormat="1" applyFont="1" applyFill="1" applyBorder="1" applyAlignment="1">
      <alignment horizontal="right" vertical="center" wrapText="1"/>
    </xf>
    <xf numFmtId="169" fontId="179" fillId="0" borderId="56" xfId="0" applyNumberFormat="1" applyFont="1" applyBorder="1" applyAlignment="1">
      <alignment horizontal="right" vertical="center" wrapText="1"/>
    </xf>
    <xf numFmtId="3" fontId="14" fillId="2" borderId="54" xfId="0" applyNumberFormat="1" applyFont="1" applyFill="1" applyBorder="1" applyAlignment="1">
      <alignment vertical="center" wrapText="1"/>
    </xf>
    <xf numFmtId="3" fontId="179" fillId="0" borderId="56" xfId="7" applyNumberFormat="1" applyFont="1" applyFill="1" applyBorder="1" applyAlignment="1">
      <alignment horizontal="right" vertical="center" wrapText="1"/>
    </xf>
    <xf numFmtId="3" fontId="179" fillId="0" borderId="56" xfId="0" applyNumberFormat="1" applyFont="1" applyBorder="1" applyAlignment="1">
      <alignment horizontal="right" vertical="center" wrapText="1"/>
    </xf>
    <xf numFmtId="3" fontId="179" fillId="0" borderId="57" xfId="0" applyNumberFormat="1" applyFont="1" applyBorder="1" applyAlignment="1">
      <alignment horizontal="right" vertical="center" wrapText="1"/>
    </xf>
    <xf numFmtId="3" fontId="179" fillId="2" borderId="56" xfId="7" applyNumberFormat="1" applyFont="1" applyFill="1" applyBorder="1" applyAlignment="1">
      <alignment horizontal="right" vertical="center" wrapText="1"/>
    </xf>
    <xf numFmtId="0" fontId="210" fillId="2" borderId="0" xfId="0" applyFont="1" applyFill="1" applyAlignment="1">
      <alignment vertical="center"/>
    </xf>
    <xf numFmtId="0" fontId="80" fillId="0" borderId="0" xfId="0" applyFont="1"/>
    <xf numFmtId="0" fontId="80" fillId="0" borderId="0" xfId="0" applyFont="1" applyAlignment="1">
      <alignment horizontal="right"/>
    </xf>
    <xf numFmtId="0" fontId="114" fillId="0" borderId="0" xfId="0" applyFont="1"/>
    <xf numFmtId="0" fontId="114" fillId="0" borderId="0" xfId="0" applyFont="1" applyAlignment="1">
      <alignment horizontal="right"/>
    </xf>
    <xf numFmtId="168" fontId="11" fillId="0" borderId="0" xfId="0" applyNumberFormat="1" applyFont="1" applyAlignment="1">
      <alignment vertical="center"/>
    </xf>
    <xf numFmtId="168" fontId="11" fillId="0" borderId="3" xfId="0" applyNumberFormat="1" applyFont="1" applyBorder="1" applyAlignment="1">
      <alignment vertical="center"/>
    </xf>
    <xf numFmtId="0" fontId="190" fillId="83" borderId="3" xfId="0" applyFont="1" applyFill="1" applyBorder="1" applyAlignment="1">
      <alignment vertical="center" wrapText="1"/>
    </xf>
    <xf numFmtId="177" fontId="190" fillId="83" borderId="0" xfId="0" applyNumberFormat="1" applyFont="1" applyFill="1" applyAlignment="1">
      <alignment vertical="center"/>
    </xf>
    <xf numFmtId="0" fontId="21" fillId="0" borderId="65" xfId="0" applyFont="1" applyBorder="1" applyAlignment="1">
      <alignment vertical="center" wrapText="1"/>
    </xf>
    <xf numFmtId="182" fontId="22" fillId="0" borderId="66" xfId="0" applyNumberFormat="1" applyFont="1" applyBorder="1" applyAlignment="1">
      <alignment horizontal="right" vertical="center"/>
    </xf>
    <xf numFmtId="182" fontId="22" fillId="0" borderId="66" xfId="0" applyNumberFormat="1" applyFont="1" applyBorder="1" applyAlignment="1">
      <alignment vertical="center"/>
    </xf>
    <xf numFmtId="0" fontId="213" fillId="83" borderId="3" xfId="0" applyFont="1" applyFill="1" applyBorder="1" applyAlignment="1">
      <alignment vertical="center" wrapText="1"/>
    </xf>
    <xf numFmtId="177" fontId="213" fillId="83" borderId="3" xfId="0" applyNumberFormat="1" applyFont="1" applyFill="1" applyBorder="1" applyAlignment="1">
      <alignment vertical="center"/>
    </xf>
    <xf numFmtId="177" fontId="213" fillId="83" borderId="0" xfId="0" applyNumberFormat="1" applyFont="1" applyFill="1" applyAlignment="1">
      <alignment vertical="center"/>
    </xf>
    <xf numFmtId="177" fontId="213" fillId="83" borderId="9" xfId="0" applyNumberFormat="1" applyFont="1" applyFill="1" applyBorder="1" applyAlignment="1">
      <alignment vertical="center"/>
    </xf>
    <xf numFmtId="0" fontId="31" fillId="2" borderId="16" xfId="0" applyFont="1" applyFill="1" applyBorder="1" applyAlignment="1">
      <alignment horizontal="left" vertical="center" indent="2"/>
    </xf>
    <xf numFmtId="0" fontId="189" fillId="0" borderId="9" xfId="0" applyFont="1" applyBorder="1" applyAlignment="1">
      <alignment horizontal="left" vertical="center" indent="3"/>
    </xf>
    <xf numFmtId="0" fontId="200" fillId="75" borderId="0" xfId="0" applyFont="1" applyFill="1" applyAlignment="1">
      <alignment vertical="center" wrapText="1"/>
    </xf>
    <xf numFmtId="0" fontId="200" fillId="75" borderId="16" xfId="0" applyFont="1" applyFill="1" applyBorder="1" applyAlignment="1">
      <alignment vertical="center" wrapText="1"/>
    </xf>
    <xf numFmtId="0" fontId="201" fillId="0" borderId="0" xfId="0" applyFont="1"/>
    <xf numFmtId="0" fontId="45" fillId="0" borderId="65" xfId="0" applyFont="1" applyBorder="1" applyAlignment="1">
      <alignment vertical="center" wrapText="1"/>
    </xf>
    <xf numFmtId="177" fontId="186" fillId="0" borderId="65" xfId="0" applyNumberFormat="1" applyFont="1" applyBorder="1" applyAlignment="1">
      <alignment vertical="center"/>
    </xf>
    <xf numFmtId="177" fontId="186" fillId="0" borderId="66" xfId="0" applyNumberFormat="1" applyFont="1" applyBorder="1" applyAlignment="1">
      <alignment vertical="center"/>
    </xf>
    <xf numFmtId="177" fontId="186" fillId="0" borderId="67" xfId="0" applyNumberFormat="1" applyFont="1" applyBorder="1" applyAlignment="1">
      <alignment vertical="center"/>
    </xf>
    <xf numFmtId="0" fontId="45" fillId="0" borderId="64" xfId="0" applyFont="1" applyBorder="1" applyAlignment="1">
      <alignment vertical="center" wrapText="1"/>
    </xf>
    <xf numFmtId="0" fontId="191" fillId="83" borderId="3" xfId="0" applyFont="1" applyFill="1" applyBorder="1" applyAlignment="1">
      <alignment vertical="center" wrapText="1"/>
    </xf>
    <xf numFmtId="0" fontId="191" fillId="83" borderId="16" xfId="0" applyFont="1" applyFill="1" applyBorder="1" applyAlignment="1">
      <alignment vertical="center" wrapText="1"/>
    </xf>
    <xf numFmtId="171" fontId="191" fillId="83" borderId="0" xfId="0" applyNumberFormat="1" applyFont="1" applyFill="1" applyAlignment="1">
      <alignment vertical="center"/>
    </xf>
    <xf numFmtId="170" fontId="191" fillId="84" borderId="9" xfId="0" applyNumberFormat="1" applyFont="1" applyFill="1" applyBorder="1" applyAlignment="1">
      <alignment vertical="center" wrapText="1"/>
    </xf>
    <xf numFmtId="171" fontId="191" fillId="83" borderId="3" xfId="0" applyNumberFormat="1" applyFont="1" applyFill="1" applyBorder="1" applyAlignment="1">
      <alignment vertical="center"/>
    </xf>
    <xf numFmtId="171" fontId="193" fillId="83" borderId="0" xfId="0" applyNumberFormat="1" applyFont="1" applyFill="1" applyAlignment="1">
      <alignment vertical="center"/>
    </xf>
    <xf numFmtId="182" fontId="191" fillId="83" borderId="0" xfId="0" applyNumberFormat="1" applyFont="1" applyFill="1" applyAlignment="1">
      <alignment vertical="center"/>
    </xf>
    <xf numFmtId="0" fontId="209" fillId="78" borderId="0" xfId="0" applyFont="1" applyFill="1"/>
    <xf numFmtId="171" fontId="209" fillId="0" borderId="0" xfId="0" applyNumberFormat="1" applyFont="1"/>
    <xf numFmtId="185" fontId="173" fillId="2" borderId="16" xfId="0" applyNumberFormat="1" applyFont="1" applyFill="1" applyBorder="1" applyAlignment="1">
      <alignment vertical="center" wrapText="1"/>
    </xf>
    <xf numFmtId="0" fontId="177" fillId="0" borderId="0" xfId="0" applyFont="1" applyAlignment="1">
      <alignment horizontal="right" vertical="center" wrapText="1"/>
    </xf>
    <xf numFmtId="0" fontId="190" fillId="75" borderId="68" xfId="0" applyFont="1" applyFill="1" applyBorder="1" applyAlignment="1">
      <alignment horizontal="left" vertical="center" wrapText="1"/>
    </xf>
    <xf numFmtId="185" fontId="21" fillId="2" borderId="68" xfId="0" applyNumberFormat="1" applyFont="1" applyFill="1" applyBorder="1" applyAlignment="1">
      <alignment vertical="center" wrapText="1"/>
    </xf>
    <xf numFmtId="0" fontId="190" fillId="75" borderId="69" xfId="0" applyFont="1" applyFill="1" applyBorder="1" applyAlignment="1">
      <alignment horizontal="left" vertical="center" wrapText="1"/>
    </xf>
    <xf numFmtId="185" fontId="21" fillId="2" borderId="69" xfId="0" applyNumberFormat="1" applyFont="1" applyFill="1" applyBorder="1" applyAlignment="1">
      <alignment vertical="center" wrapText="1"/>
    </xf>
    <xf numFmtId="0" fontId="190" fillId="75" borderId="70" xfId="0" applyFont="1" applyFill="1" applyBorder="1" applyAlignment="1">
      <alignment horizontal="left" vertical="center" wrapText="1"/>
    </xf>
    <xf numFmtId="185" fontId="21" fillId="2" borderId="70" xfId="0" applyNumberFormat="1" applyFont="1" applyFill="1" applyBorder="1" applyAlignment="1">
      <alignment vertical="center" wrapText="1"/>
    </xf>
    <xf numFmtId="0" fontId="191" fillId="75" borderId="70" xfId="0" applyFont="1" applyFill="1" applyBorder="1" applyAlignment="1">
      <alignment horizontal="right" vertical="center"/>
    </xf>
    <xf numFmtId="0" fontId="193" fillId="75" borderId="70" xfId="0" applyFont="1" applyFill="1" applyBorder="1" applyAlignment="1">
      <alignment horizontal="right" vertical="center"/>
    </xf>
    <xf numFmtId="0" fontId="190" fillId="76" borderId="70" xfId="0" applyFont="1" applyFill="1" applyBorder="1" applyAlignment="1">
      <alignment horizontal="right" vertical="center"/>
    </xf>
    <xf numFmtId="0" fontId="190" fillId="75" borderId="70" xfId="0" applyFont="1" applyFill="1" applyBorder="1" applyAlignment="1">
      <alignment horizontal="right" vertical="center"/>
    </xf>
    <xf numFmtId="0" fontId="61" fillId="75" borderId="70" xfId="0" applyFont="1" applyFill="1" applyBorder="1" applyAlignment="1">
      <alignment horizontal="right" vertical="center"/>
    </xf>
    <xf numFmtId="0" fontId="14" fillId="2" borderId="66" xfId="0" applyFont="1" applyFill="1" applyBorder="1" applyAlignment="1">
      <alignment vertical="center" wrapText="1"/>
    </xf>
    <xf numFmtId="170" fontId="14" fillId="2" borderId="66" xfId="0" applyNumberFormat="1" applyFont="1" applyFill="1" applyBorder="1" applyAlignment="1">
      <alignment vertical="center"/>
    </xf>
    <xf numFmtId="170" fontId="171" fillId="3" borderId="67" xfId="0" applyNumberFormat="1" applyFont="1" applyFill="1" applyBorder="1" applyAlignment="1">
      <alignment horizontal="right" vertical="center"/>
    </xf>
    <xf numFmtId="0" fontId="14" fillId="2" borderId="71" xfId="0" applyFont="1" applyFill="1" applyBorder="1" applyAlignment="1">
      <alignment vertical="center" wrapText="1"/>
    </xf>
    <xf numFmtId="170" fontId="14" fillId="2" borderId="71" xfId="0" applyNumberFormat="1" applyFont="1" applyFill="1" applyBorder="1" applyAlignment="1">
      <alignment vertical="center"/>
    </xf>
    <xf numFmtId="170" fontId="171" fillId="3" borderId="72" xfId="0" applyNumberFormat="1" applyFont="1" applyFill="1" applyBorder="1" applyAlignment="1">
      <alignment horizontal="right" vertical="center"/>
    </xf>
    <xf numFmtId="169" fontId="14" fillId="2" borderId="66" xfId="0" applyNumberFormat="1" applyFont="1" applyFill="1" applyBorder="1" applyAlignment="1">
      <alignment vertical="center" wrapText="1"/>
    </xf>
    <xf numFmtId="169" fontId="14" fillId="2" borderId="66" xfId="0" applyNumberFormat="1" applyFont="1" applyFill="1" applyBorder="1" applyAlignment="1">
      <alignment vertical="center"/>
    </xf>
    <xf numFmtId="169" fontId="171" fillId="3" borderId="67" xfId="0" applyNumberFormat="1" applyFont="1" applyFill="1" applyBorder="1" applyAlignment="1">
      <alignment horizontal="right" vertical="center"/>
    </xf>
    <xf numFmtId="0" fontId="200" fillId="75" borderId="0" xfId="0" applyFont="1" applyFill="1" applyAlignment="1">
      <alignment horizontal="right" vertical="center" wrapText="1"/>
    </xf>
    <xf numFmtId="0" fontId="200" fillId="75" borderId="0" xfId="0" applyFont="1" applyFill="1" applyAlignment="1">
      <alignment horizontal="right" vertical="center"/>
    </xf>
    <xf numFmtId="0" fontId="200" fillId="75" borderId="9" xfId="0" applyFont="1" applyFill="1" applyBorder="1" applyAlignment="1">
      <alignment horizontal="right" vertical="center"/>
    </xf>
    <xf numFmtId="0" fontId="61" fillId="75" borderId="74" xfId="0" applyFont="1" applyFill="1" applyBorder="1" applyAlignment="1">
      <alignment vertical="center" wrapText="1"/>
    </xf>
    <xf numFmtId="0" fontId="61" fillId="75" borderId="75" xfId="0" applyFont="1" applyFill="1" applyBorder="1" applyAlignment="1">
      <alignment vertical="center" wrapText="1"/>
    </xf>
    <xf numFmtId="0" fontId="27" fillId="2" borderId="68" xfId="0" applyFont="1" applyFill="1" applyBorder="1"/>
    <xf numFmtId="0" fontId="27" fillId="0" borderId="68" xfId="0" applyFont="1" applyBorder="1"/>
    <xf numFmtId="0" fontId="61" fillId="75" borderId="77" xfId="0" applyFont="1" applyFill="1" applyBorder="1" applyAlignment="1">
      <alignment vertical="center" wrapText="1"/>
    </xf>
    <xf numFmtId="0" fontId="191" fillId="75" borderId="77" xfId="0" applyFont="1" applyFill="1" applyBorder="1" applyAlignment="1">
      <alignment horizontal="right" vertical="center"/>
    </xf>
    <xf numFmtId="0" fontId="191" fillId="75" borderId="69" xfId="0" applyFont="1" applyFill="1" applyBorder="1" applyAlignment="1">
      <alignment horizontal="right" vertical="center"/>
    </xf>
    <xf numFmtId="0" fontId="191" fillId="75" borderId="78" xfId="0" applyFont="1" applyFill="1" applyBorder="1" applyAlignment="1">
      <alignment horizontal="right" vertical="center"/>
    </xf>
    <xf numFmtId="0" fontId="191" fillId="75" borderId="78" xfId="0" applyFont="1" applyFill="1" applyBorder="1" applyAlignment="1">
      <alignment horizontal="right" vertical="center" wrapText="1"/>
    </xf>
    <xf numFmtId="0" fontId="193" fillId="75" borderId="69" xfId="0" applyFont="1" applyFill="1" applyBorder="1" applyAlignment="1">
      <alignment horizontal="right" vertical="center"/>
    </xf>
    <xf numFmtId="0" fontId="11" fillId="0" borderId="69" xfId="0" applyFont="1" applyBorder="1"/>
    <xf numFmtId="0" fontId="193" fillId="75" borderId="70" xfId="0" applyFont="1" applyFill="1" applyBorder="1" applyAlignment="1">
      <alignment vertical="center" wrapText="1"/>
    </xf>
    <xf numFmtId="0" fontId="193" fillId="75" borderId="79" xfId="0" applyFont="1" applyFill="1" applyBorder="1" applyAlignment="1">
      <alignment vertical="center" wrapText="1"/>
    </xf>
    <xf numFmtId="0" fontId="193" fillId="75" borderId="70" xfId="0" applyFont="1" applyFill="1" applyBorder="1" applyAlignment="1">
      <alignment horizontal="right" vertical="center" wrapText="1"/>
    </xf>
    <xf numFmtId="0" fontId="193" fillId="75" borderId="80" xfId="0" applyFont="1" applyFill="1" applyBorder="1" applyAlignment="1">
      <alignment horizontal="right" vertical="center"/>
    </xf>
    <xf numFmtId="0" fontId="11" fillId="0" borderId="70" xfId="0" applyFont="1" applyBorder="1"/>
    <xf numFmtId="0" fontId="214" fillId="2" borderId="0" xfId="0" applyFont="1" applyFill="1" applyAlignment="1">
      <alignment vertical="center"/>
    </xf>
    <xf numFmtId="0" fontId="8" fillId="0" borderId="0" xfId="0" applyFont="1"/>
    <xf numFmtId="0" fontId="190" fillId="75" borderId="81" xfId="0" applyFont="1" applyFill="1" applyBorder="1" applyAlignment="1">
      <alignment horizontal="left" vertical="center" wrapText="1"/>
    </xf>
    <xf numFmtId="0" fontId="191" fillId="79" borderId="82" xfId="0" applyFont="1" applyFill="1" applyBorder="1" applyAlignment="1">
      <alignment horizontal="right" vertical="center" wrapText="1"/>
    </xf>
    <xf numFmtId="0" fontId="190" fillId="75" borderId="81" xfId="0" applyFont="1" applyFill="1" applyBorder="1" applyAlignment="1">
      <alignment horizontal="right" vertical="center" wrapText="1"/>
    </xf>
    <xf numFmtId="182" fontId="191" fillId="79" borderId="82" xfId="0" applyNumberFormat="1" applyFont="1" applyFill="1" applyBorder="1" applyAlignment="1">
      <alignment horizontal="right" vertical="center" wrapText="1"/>
    </xf>
    <xf numFmtId="0" fontId="11" fillId="0" borderId="81" xfId="0" applyFont="1" applyBorder="1" applyAlignment="1">
      <alignment horizontal="center" vertical="center"/>
    </xf>
    <xf numFmtId="0" fontId="190" fillId="75" borderId="83" xfId="0" applyFont="1" applyFill="1" applyBorder="1" applyAlignment="1">
      <alignment horizontal="left" vertical="center" wrapText="1"/>
    </xf>
    <xf numFmtId="0" fontId="191" fillId="79" borderId="83" xfId="0" applyFont="1" applyFill="1" applyBorder="1" applyAlignment="1">
      <alignment horizontal="right" vertical="center" wrapText="1"/>
    </xf>
    <xf numFmtId="0" fontId="190" fillId="75" borderId="83" xfId="0" applyFont="1" applyFill="1" applyBorder="1" applyAlignment="1">
      <alignment horizontal="right" vertical="center" wrapText="1"/>
    </xf>
    <xf numFmtId="182" fontId="191" fillId="79" borderId="83" xfId="0" applyNumberFormat="1" applyFont="1" applyFill="1" applyBorder="1" applyAlignment="1">
      <alignment horizontal="right" vertical="center" wrapText="1"/>
    </xf>
    <xf numFmtId="0" fontId="11" fillId="0" borderId="84" xfId="0" applyFont="1" applyBorder="1" applyAlignment="1">
      <alignment horizontal="center" vertical="center"/>
    </xf>
    <xf numFmtId="0" fontId="11" fillId="0" borderId="0" xfId="0" applyFont="1" applyAlignment="1">
      <alignment horizontal="left" vertical="center"/>
    </xf>
    <xf numFmtId="169" fontId="30" fillId="80" borderId="0" xfId="2" applyNumberFormat="1" applyFont="1" applyFill="1" applyBorder="1" applyAlignment="1">
      <alignment horizontal="right" vertical="center"/>
    </xf>
    <xf numFmtId="169" fontId="11" fillId="0" borderId="0" xfId="2" applyNumberFormat="1" applyFont="1" applyFill="1" applyBorder="1" applyAlignment="1">
      <alignment horizontal="right" vertical="center"/>
    </xf>
    <xf numFmtId="0" fontId="11" fillId="0" borderId="0" xfId="0" applyFont="1" applyAlignment="1">
      <alignment horizontal="center" vertical="center"/>
    </xf>
    <xf numFmtId="167" fontId="30" fillId="80" borderId="0" xfId="2" applyNumberFormat="1" applyFont="1" applyFill="1" applyBorder="1" applyAlignment="1">
      <alignment horizontal="right" vertical="center"/>
    </xf>
    <xf numFmtId="167" fontId="11" fillId="0" borderId="0" xfId="2" applyNumberFormat="1" applyFont="1" applyFill="1" applyBorder="1" applyAlignment="1">
      <alignment horizontal="right" vertical="center"/>
    </xf>
    <xf numFmtId="49" fontId="217" fillId="0" borderId="0" xfId="0" applyNumberFormat="1" applyFont="1"/>
    <xf numFmtId="0" fontId="217" fillId="0" borderId="0" xfId="0" applyFont="1"/>
    <xf numFmtId="173" fontId="32" fillId="2" borderId="9" xfId="0" applyNumberFormat="1" applyFont="1" applyFill="1" applyBorder="1" applyAlignment="1">
      <alignment horizontal="right" vertical="center"/>
    </xf>
    <xf numFmtId="214" fontId="191" fillId="83" borderId="0" xfId="0" applyNumberFormat="1" applyFont="1" applyFill="1" applyAlignment="1">
      <alignment vertical="center"/>
    </xf>
    <xf numFmtId="215" fontId="191" fillId="84" borderId="9" xfId="0" applyNumberFormat="1" applyFont="1" applyFill="1" applyBorder="1" applyAlignment="1">
      <alignment vertical="center" wrapText="1"/>
    </xf>
    <xf numFmtId="0" fontId="190" fillId="75" borderId="69" xfId="0" applyFont="1" applyFill="1" applyBorder="1" applyAlignment="1">
      <alignment horizontal="center" vertical="center" wrapText="1"/>
    </xf>
    <xf numFmtId="169" fontId="209" fillId="0" borderId="0" xfId="0" applyNumberFormat="1" applyFont="1"/>
    <xf numFmtId="169" fontId="22" fillId="0" borderId="0" xfId="0" applyNumberFormat="1" applyFont="1"/>
    <xf numFmtId="0" fontId="191" fillId="75" borderId="0" xfId="0" applyFont="1" applyFill="1" applyAlignment="1">
      <alignment horizontal="center" vertical="center" wrapText="1"/>
    </xf>
    <xf numFmtId="0" fontId="21" fillId="0" borderId="3" xfId="0" applyFont="1" applyBorder="1" applyAlignment="1">
      <alignment vertical="center" wrapText="1"/>
    </xf>
    <xf numFmtId="0" fontId="193" fillId="75" borderId="74" xfId="0" applyFont="1" applyFill="1" applyBorder="1" applyAlignment="1">
      <alignment vertical="center" wrapText="1"/>
    </xf>
    <xf numFmtId="0" fontId="191" fillId="75" borderId="69" xfId="0" applyFont="1" applyFill="1" applyBorder="1" applyAlignment="1">
      <alignment horizontal="center" vertical="center" wrapText="1"/>
    </xf>
    <xf numFmtId="0" fontId="11" fillId="0" borderId="69" xfId="0" applyFont="1" applyBorder="1" applyAlignment="1">
      <alignment vertical="center"/>
    </xf>
    <xf numFmtId="0" fontId="11" fillId="0" borderId="86" xfId="0" applyFont="1" applyBorder="1" applyAlignment="1">
      <alignment vertical="center"/>
    </xf>
    <xf numFmtId="169" fontId="30" fillId="80" borderId="86" xfId="2" applyNumberFormat="1" applyFont="1" applyFill="1" applyBorder="1" applyAlignment="1">
      <alignment horizontal="right" vertical="center"/>
    </xf>
    <xf numFmtId="169" fontId="11" fillId="0" borderId="86" xfId="2" applyNumberFormat="1" applyFont="1" applyFill="1" applyBorder="1" applyAlignment="1">
      <alignment horizontal="right" vertical="center"/>
    </xf>
    <xf numFmtId="215" fontId="32" fillId="0" borderId="9" xfId="0" applyNumberFormat="1" applyFont="1" applyBorder="1" applyAlignment="1">
      <alignment horizontal="right" vertical="center"/>
    </xf>
    <xf numFmtId="0" fontId="190" fillId="75" borderId="87" xfId="0" applyFont="1" applyFill="1" applyBorder="1" applyAlignment="1">
      <alignment horizontal="left" vertical="center" wrapText="1"/>
    </xf>
    <xf numFmtId="0" fontId="190" fillId="75" borderId="78" xfId="0" applyFont="1" applyFill="1" applyBorder="1" applyAlignment="1">
      <alignment horizontal="center" vertical="center" wrapText="1"/>
    </xf>
    <xf numFmtId="0" fontId="190" fillId="75" borderId="77" xfId="0" applyFont="1" applyFill="1" applyBorder="1" applyAlignment="1">
      <alignment horizontal="center" vertical="center" wrapText="1"/>
    </xf>
    <xf numFmtId="0" fontId="190" fillId="75" borderId="88" xfId="0" applyFont="1" applyFill="1" applyBorder="1" applyAlignment="1">
      <alignment horizontal="left" vertical="center" wrapText="1"/>
    </xf>
    <xf numFmtId="0" fontId="190" fillId="75" borderId="79" xfId="0" applyFont="1" applyFill="1" applyBorder="1" applyAlignment="1">
      <alignment horizontal="left" vertical="center" wrapText="1"/>
    </xf>
    <xf numFmtId="0" fontId="191" fillId="79" borderId="70" xfId="0" applyFont="1" applyFill="1" applyBorder="1" applyAlignment="1">
      <alignment horizontal="right" vertical="center"/>
    </xf>
    <xf numFmtId="0" fontId="191" fillId="75" borderId="85" xfId="0" applyFont="1" applyFill="1" applyBorder="1" applyAlignment="1">
      <alignment horizontal="right" vertical="center"/>
    </xf>
    <xf numFmtId="0" fontId="191" fillId="79" borderId="80" xfId="0" applyFont="1" applyFill="1" applyBorder="1" applyAlignment="1">
      <alignment horizontal="right" vertical="center"/>
    </xf>
    <xf numFmtId="215" fontId="191" fillId="83" borderId="73" xfId="0" applyNumberFormat="1" applyFont="1" applyFill="1" applyBorder="1" applyAlignment="1">
      <alignment vertical="center"/>
    </xf>
    <xf numFmtId="185" fontId="11" fillId="0" borderId="0" xfId="0" applyNumberFormat="1" applyFont="1"/>
    <xf numFmtId="177" fontId="11" fillId="0" borderId="0" xfId="0" applyNumberFormat="1" applyFont="1"/>
    <xf numFmtId="185" fontId="30" fillId="0" borderId="0" xfId="0" applyNumberFormat="1" applyFont="1"/>
    <xf numFmtId="182" fontId="11" fillId="0" borderId="0" xfId="0" applyNumberFormat="1" applyFont="1"/>
    <xf numFmtId="185" fontId="22" fillId="0" borderId="0" xfId="0" applyNumberFormat="1" applyFont="1"/>
    <xf numFmtId="0" fontId="190" fillId="0" borderId="83" xfId="0" applyFont="1" applyBorder="1" applyAlignment="1">
      <alignment horizontal="right" vertical="center" wrapText="1"/>
    </xf>
    <xf numFmtId="182" fontId="191" fillId="0" borderId="83" xfId="0" applyNumberFormat="1" applyFont="1" applyBorder="1" applyAlignment="1">
      <alignment horizontal="right" vertical="center" wrapText="1"/>
    </xf>
    <xf numFmtId="169" fontId="45" fillId="85" borderId="57" xfId="0" applyNumberFormat="1" applyFont="1" applyFill="1" applyBorder="1" applyAlignment="1">
      <alignment vertical="center" wrapText="1"/>
    </xf>
    <xf numFmtId="10" fontId="45" fillId="85" borderId="57" xfId="0" applyNumberFormat="1" applyFont="1" applyFill="1" applyBorder="1" applyAlignment="1">
      <alignment vertical="center" wrapText="1"/>
    </xf>
    <xf numFmtId="10" fontId="44" fillId="85" borderId="60" xfId="0" applyNumberFormat="1" applyFont="1" applyFill="1" applyBorder="1" applyAlignment="1">
      <alignment vertical="center" wrapText="1"/>
    </xf>
    <xf numFmtId="10" fontId="44" fillId="85" borderId="9" xfId="0" applyNumberFormat="1" applyFont="1" applyFill="1" applyBorder="1" applyAlignment="1">
      <alignment vertical="center" wrapText="1"/>
    </xf>
    <xf numFmtId="10" fontId="44" fillId="85" borderId="13" xfId="0" applyNumberFormat="1" applyFont="1" applyFill="1" applyBorder="1" applyAlignment="1">
      <alignment vertical="center" wrapText="1"/>
    </xf>
    <xf numFmtId="169" fontId="45" fillId="85" borderId="9" xfId="0" applyNumberFormat="1" applyFont="1" applyFill="1" applyBorder="1" applyAlignment="1">
      <alignment vertical="center" wrapText="1"/>
    </xf>
    <xf numFmtId="3" fontId="44" fillId="85" borderId="52" xfId="0" applyNumberFormat="1" applyFont="1" applyFill="1" applyBorder="1" applyAlignment="1">
      <alignment vertical="center" wrapText="1"/>
    </xf>
    <xf numFmtId="3" fontId="45" fillId="85" borderId="57" xfId="0" applyNumberFormat="1" applyFont="1" applyFill="1" applyBorder="1" applyAlignment="1">
      <alignment vertical="center" wrapText="1"/>
    </xf>
    <xf numFmtId="170" fontId="211" fillId="85" borderId="50" xfId="0" applyNumberFormat="1" applyFont="1" applyFill="1" applyBorder="1" applyAlignment="1">
      <alignment vertical="center" wrapText="1"/>
    </xf>
    <xf numFmtId="170" fontId="50" fillId="85" borderId="9" xfId="0" applyNumberFormat="1" applyFont="1" applyFill="1" applyBorder="1" applyAlignment="1">
      <alignment vertical="center" wrapText="1"/>
    </xf>
    <xf numFmtId="170" fontId="50" fillId="85" borderId="13" xfId="0" applyNumberFormat="1" applyFont="1" applyFill="1" applyBorder="1" applyAlignment="1">
      <alignment vertical="center" wrapText="1"/>
    </xf>
    <xf numFmtId="170" fontId="171" fillId="85" borderId="50" xfId="0" applyNumberFormat="1" applyFont="1" applyFill="1" applyBorder="1" applyAlignment="1">
      <alignment vertical="center" wrapText="1"/>
    </xf>
    <xf numFmtId="3" fontId="171" fillId="85" borderId="50" xfId="0" applyNumberFormat="1" applyFont="1" applyFill="1" applyBorder="1" applyAlignment="1">
      <alignment vertical="center" wrapText="1"/>
    </xf>
    <xf numFmtId="3" fontId="50" fillId="85" borderId="9" xfId="0" applyNumberFormat="1" applyFont="1" applyFill="1" applyBorder="1" applyAlignment="1">
      <alignment vertical="center" wrapText="1"/>
    </xf>
    <xf numFmtId="3" fontId="50" fillId="85" borderId="13" xfId="0" applyNumberFormat="1" applyFont="1" applyFill="1" applyBorder="1" applyAlignment="1">
      <alignment vertical="center" wrapText="1"/>
    </xf>
    <xf numFmtId="3" fontId="212" fillId="85" borderId="50" xfId="0" applyNumberFormat="1" applyFont="1" applyFill="1" applyBorder="1" applyAlignment="1">
      <alignment vertical="center" wrapText="1"/>
    </xf>
    <xf numFmtId="0" fontId="49" fillId="2" borderId="0" xfId="0" applyFont="1" applyFill="1" applyAlignment="1">
      <alignment horizontal="left" vertical="center" wrapText="1" indent="3"/>
    </xf>
    <xf numFmtId="170" fontId="49" fillId="2" borderId="0" xfId="0" applyNumberFormat="1" applyFont="1" applyFill="1" applyAlignment="1">
      <alignment vertical="center"/>
    </xf>
    <xf numFmtId="170" fontId="30" fillId="3" borderId="9" xfId="0" applyNumberFormat="1" applyFont="1" applyFill="1" applyBorder="1" applyAlignment="1">
      <alignment horizontal="right" vertical="center"/>
    </xf>
    <xf numFmtId="0" fontId="49" fillId="2" borderId="0" xfId="0" applyFont="1" applyFill="1"/>
    <xf numFmtId="0" fontId="49" fillId="2" borderId="0" xfId="0" applyFont="1" applyFill="1" applyAlignment="1">
      <alignment horizontal="right" vertical="center" wrapText="1"/>
    </xf>
    <xf numFmtId="170" fontId="49" fillId="2" borderId="0" xfId="0" applyNumberFormat="1" applyFont="1" applyFill="1" applyAlignment="1">
      <alignment horizontal="right" vertical="center"/>
    </xf>
    <xf numFmtId="0" fontId="26" fillId="2" borderId="0" xfId="0" applyFont="1" applyFill="1" applyAlignment="1">
      <alignment horizontal="left" vertical="center" wrapText="1" indent="3"/>
    </xf>
    <xf numFmtId="170" fontId="26" fillId="2" borderId="0" xfId="0" applyNumberFormat="1" applyFont="1" applyFill="1" applyAlignment="1">
      <alignment vertical="center"/>
    </xf>
    <xf numFmtId="0" fontId="23" fillId="2" borderId="0" xfId="0" applyFont="1" applyFill="1" applyAlignment="1">
      <alignment vertical="center"/>
    </xf>
    <xf numFmtId="0" fontId="23" fillId="0" borderId="0" xfId="0" applyFont="1" applyAlignment="1">
      <alignment vertical="center"/>
    </xf>
    <xf numFmtId="0" fontId="26" fillId="2" borderId="0" xfId="0" applyFont="1" applyFill="1" applyAlignment="1">
      <alignment horizontal="left" vertical="center" wrapText="1" indent="2"/>
    </xf>
    <xf numFmtId="170" fontId="46" fillId="80" borderId="0" xfId="0" applyNumberFormat="1" applyFont="1" applyFill="1" applyAlignment="1">
      <alignment vertical="center" wrapText="1"/>
    </xf>
    <xf numFmtId="170" fontId="46" fillId="80" borderId="9" xfId="0" applyNumberFormat="1" applyFont="1" applyFill="1" applyBorder="1" applyAlignment="1">
      <alignment vertical="center" wrapText="1"/>
    </xf>
    <xf numFmtId="170" fontId="176" fillId="80" borderId="0" xfId="0" applyNumberFormat="1" applyFont="1" applyFill="1" applyAlignment="1">
      <alignment vertical="center" wrapText="1"/>
    </xf>
    <xf numFmtId="0" fontId="26" fillId="0" borderId="0" xfId="0" applyFont="1" applyAlignment="1">
      <alignment vertical="center" wrapText="1"/>
    </xf>
    <xf numFmtId="0" fontId="26" fillId="2" borderId="0" xfId="0" applyFont="1" applyFill="1" applyAlignment="1">
      <alignment vertical="center"/>
    </xf>
    <xf numFmtId="0" fontId="26" fillId="0" borderId="0" xfId="0" applyFont="1" applyAlignment="1">
      <alignment vertical="center"/>
    </xf>
    <xf numFmtId="184" fontId="26" fillId="2" borderId="0" xfId="0" applyNumberFormat="1" applyFont="1" applyFill="1" applyAlignment="1">
      <alignment vertical="center"/>
    </xf>
    <xf numFmtId="184" fontId="30" fillId="3" borderId="9" xfId="0" applyNumberFormat="1" applyFont="1" applyFill="1" applyBorder="1" applyAlignment="1">
      <alignment horizontal="right" vertical="center"/>
    </xf>
    <xf numFmtId="181" fontId="176" fillId="80" borderId="0" xfId="0" applyNumberFormat="1" applyFont="1" applyFill="1" applyAlignment="1">
      <alignment vertical="center" wrapText="1"/>
    </xf>
    <xf numFmtId="0" fontId="219" fillId="0" borderId="0" xfId="0" applyFont="1" applyAlignment="1">
      <alignment horizontal="right" vertical="center"/>
    </xf>
    <xf numFmtId="0" fontId="179" fillId="0" borderId="0" xfId="0" applyFont="1"/>
    <xf numFmtId="170" fontId="49" fillId="0" borderId="0" xfId="0" applyNumberFormat="1" applyFont="1" applyAlignment="1">
      <alignment vertical="center"/>
    </xf>
    <xf numFmtId="170" fontId="49" fillId="0" borderId="0" xfId="0" applyNumberFormat="1" applyFont="1" applyAlignment="1">
      <alignment horizontal="right" vertical="center"/>
    </xf>
    <xf numFmtId="0" fontId="190" fillId="75" borderId="90" xfId="0" applyFont="1" applyFill="1" applyBorder="1" applyAlignment="1">
      <alignment horizontal="left" vertical="center" wrapText="1"/>
    </xf>
    <xf numFmtId="0" fontId="14" fillId="2" borderId="91" xfId="0" applyFont="1" applyFill="1" applyBorder="1" applyAlignment="1">
      <alignment vertical="center" wrapText="1"/>
    </xf>
    <xf numFmtId="0" fontId="26" fillId="2" borderId="92" xfId="0" applyFont="1" applyFill="1" applyBorder="1" applyAlignment="1">
      <alignment horizontal="left" vertical="center" wrapText="1" indent="4"/>
    </xf>
    <xf numFmtId="0" fontId="14" fillId="2" borderId="93" xfId="0" applyFont="1" applyFill="1" applyBorder="1" applyAlignment="1">
      <alignment vertical="center" wrapText="1"/>
    </xf>
    <xf numFmtId="170" fontId="176" fillId="80" borderId="94" xfId="0" applyNumberFormat="1" applyFont="1" applyFill="1" applyBorder="1" applyAlignment="1">
      <alignment horizontal="left" vertical="center" wrapText="1" indent="4"/>
    </xf>
    <xf numFmtId="0" fontId="49" fillId="2" borderId="92" xfId="0" applyFont="1" applyFill="1" applyBorder="1" applyAlignment="1">
      <alignment horizontal="left" vertical="center" wrapText="1" indent="4"/>
    </xf>
    <xf numFmtId="169" fontId="14" fillId="2" borderId="93" xfId="0" applyNumberFormat="1" applyFont="1" applyFill="1" applyBorder="1" applyAlignment="1">
      <alignment vertical="center" wrapText="1"/>
    </xf>
    <xf numFmtId="170" fontId="45" fillId="80" borderId="71" xfId="0" applyNumberFormat="1" applyFont="1" applyFill="1" applyBorder="1" applyAlignment="1">
      <alignment vertical="center" wrapText="1"/>
    </xf>
    <xf numFmtId="170" fontId="45" fillId="80" borderId="66" xfId="0" applyNumberFormat="1" applyFont="1" applyFill="1" applyBorder="1" applyAlignment="1">
      <alignment vertical="center" wrapText="1"/>
    </xf>
    <xf numFmtId="169" fontId="45" fillId="80" borderId="66" xfId="0" applyNumberFormat="1" applyFont="1" applyFill="1" applyBorder="1" applyAlignment="1">
      <alignment vertical="center" wrapText="1"/>
    </xf>
    <xf numFmtId="0" fontId="191" fillId="75" borderId="96" xfId="0" applyFont="1" applyFill="1" applyBorder="1" applyAlignment="1">
      <alignment horizontal="right" vertical="center"/>
    </xf>
    <xf numFmtId="170" fontId="14" fillId="2" borderId="97" xfId="0" applyNumberFormat="1" applyFont="1" applyFill="1" applyBorder="1" applyAlignment="1">
      <alignment vertical="center"/>
    </xf>
    <xf numFmtId="170" fontId="45" fillId="80" borderId="98" xfId="0" applyNumberFormat="1" applyFont="1" applyFill="1" applyBorder="1" applyAlignment="1">
      <alignment vertical="center" wrapText="1"/>
    </xf>
    <xf numFmtId="170" fontId="26" fillId="2" borderId="99" xfId="0" applyNumberFormat="1" applyFont="1" applyFill="1" applyBorder="1" applyAlignment="1">
      <alignment vertical="center"/>
    </xf>
    <xf numFmtId="170" fontId="176" fillId="80" borderId="94" xfId="0" applyNumberFormat="1" applyFont="1" applyFill="1" applyBorder="1" applyAlignment="1">
      <alignment vertical="center" wrapText="1"/>
    </xf>
    <xf numFmtId="184" fontId="26" fillId="2" borderId="99" xfId="0" applyNumberFormat="1" applyFont="1" applyFill="1" applyBorder="1" applyAlignment="1">
      <alignment vertical="center"/>
    </xf>
    <xf numFmtId="170" fontId="14" fillId="2" borderId="100" xfId="0" applyNumberFormat="1" applyFont="1" applyFill="1" applyBorder="1" applyAlignment="1">
      <alignment vertical="center"/>
    </xf>
    <xf numFmtId="170" fontId="45" fillId="80" borderId="101" xfId="0" applyNumberFormat="1" applyFont="1" applyFill="1" applyBorder="1" applyAlignment="1">
      <alignment vertical="center" wrapText="1"/>
    </xf>
    <xf numFmtId="170" fontId="46" fillId="80" borderId="99" xfId="0" applyNumberFormat="1" applyFont="1" applyFill="1" applyBorder="1" applyAlignment="1">
      <alignment vertical="center" wrapText="1"/>
    </xf>
    <xf numFmtId="170" fontId="46" fillId="80" borderId="94" xfId="0" applyNumberFormat="1" applyFont="1" applyFill="1" applyBorder="1" applyAlignment="1">
      <alignment vertical="center" wrapText="1"/>
    </xf>
    <xf numFmtId="170" fontId="49" fillId="2" borderId="99" xfId="0" applyNumberFormat="1" applyFont="1" applyFill="1" applyBorder="1" applyAlignment="1">
      <alignment vertical="center"/>
    </xf>
    <xf numFmtId="170" fontId="49" fillId="2" borderId="99" xfId="0" applyNumberFormat="1" applyFont="1" applyFill="1" applyBorder="1" applyAlignment="1">
      <alignment horizontal="right" vertical="center"/>
    </xf>
    <xf numFmtId="169" fontId="14" fillId="2" borderId="100" xfId="0" applyNumberFormat="1" applyFont="1" applyFill="1" applyBorder="1" applyAlignment="1">
      <alignment vertical="center"/>
    </xf>
    <xf numFmtId="169" fontId="45" fillId="80" borderId="101" xfId="0" applyNumberFormat="1" applyFont="1" applyFill="1" applyBorder="1" applyAlignment="1">
      <alignment vertical="center" wrapText="1"/>
    </xf>
    <xf numFmtId="173" fontId="176" fillId="80" borderId="94" xfId="0" applyNumberFormat="1" applyFont="1" applyFill="1" applyBorder="1" applyAlignment="1">
      <alignment vertical="center" wrapText="1"/>
    </xf>
    <xf numFmtId="170" fontId="176" fillId="80" borderId="99" xfId="0" applyNumberFormat="1" applyFont="1" applyFill="1" applyBorder="1" applyAlignment="1">
      <alignment vertical="center" wrapText="1"/>
    </xf>
    <xf numFmtId="0" fontId="14" fillId="2" borderId="95" xfId="0" applyFont="1" applyFill="1" applyBorder="1" applyAlignment="1">
      <alignment vertical="center" wrapText="1"/>
    </xf>
    <xf numFmtId="0" fontId="26" fillId="2" borderId="102" xfId="0" applyFont="1" applyFill="1" applyBorder="1" applyAlignment="1">
      <alignment horizontal="left" vertical="center" wrapText="1" indent="3"/>
    </xf>
    <xf numFmtId="0" fontId="14" fillId="2" borderId="103" xfId="0" applyFont="1" applyFill="1" applyBorder="1" applyAlignment="1">
      <alignment vertical="center" wrapText="1"/>
    </xf>
    <xf numFmtId="170" fontId="176" fillId="80" borderId="102" xfId="0" applyNumberFormat="1" applyFont="1" applyFill="1" applyBorder="1" applyAlignment="1">
      <alignment horizontal="left" vertical="center" wrapText="1" indent="4"/>
    </xf>
    <xf numFmtId="0" fontId="49" fillId="2" borderId="102" xfId="0" applyFont="1" applyFill="1" applyBorder="1" applyAlignment="1">
      <alignment horizontal="left" vertical="center" wrapText="1" indent="3"/>
    </xf>
    <xf numFmtId="169" fontId="14" fillId="2" borderId="103" xfId="0" applyNumberFormat="1" applyFont="1" applyFill="1" applyBorder="1" applyAlignment="1">
      <alignment vertical="center" wrapText="1"/>
    </xf>
    <xf numFmtId="0" fontId="191" fillId="75" borderId="89" xfId="0" applyFont="1" applyFill="1" applyBorder="1" applyAlignment="1">
      <alignment horizontal="right" vertical="center"/>
    </xf>
    <xf numFmtId="182" fontId="176" fillId="80" borderId="94" xfId="0" applyNumberFormat="1" applyFont="1" applyFill="1" applyBorder="1" applyAlignment="1">
      <alignment vertical="center" wrapText="1"/>
    </xf>
    <xf numFmtId="169" fontId="45" fillId="80" borderId="101" xfId="7" applyNumberFormat="1" applyFont="1" applyFill="1" applyBorder="1" applyAlignment="1">
      <alignment vertical="center" wrapText="1"/>
    </xf>
    <xf numFmtId="0" fontId="20" fillId="2" borderId="0" xfId="20233" applyFont="1" applyFill="1" applyAlignment="1">
      <alignment vertical="center"/>
    </xf>
    <xf numFmtId="0" fontId="27" fillId="2" borderId="0" xfId="20233" applyFont="1" applyFill="1" applyAlignment="1">
      <alignment vertical="center"/>
    </xf>
    <xf numFmtId="0" fontId="27" fillId="0" borderId="0" xfId="20233" applyFont="1" applyAlignment="1">
      <alignment vertical="center"/>
    </xf>
    <xf numFmtId="4" fontId="8" fillId="2" borderId="0" xfId="20233" applyNumberFormat="1" applyFont="1" applyFill="1" applyAlignment="1">
      <alignment vertical="center"/>
    </xf>
    <xf numFmtId="0" fontId="8" fillId="2" borderId="0" xfId="20233" applyFont="1" applyFill="1" applyAlignment="1">
      <alignment vertical="center"/>
    </xf>
    <xf numFmtId="0" fontId="193" fillId="75" borderId="104" xfId="20233" applyFont="1" applyFill="1" applyBorder="1" applyAlignment="1">
      <alignment vertical="center" wrapText="1"/>
    </xf>
    <xf numFmtId="0" fontId="209" fillId="0" borderId="0" xfId="20233" applyFont="1" applyAlignment="1">
      <alignment vertical="center"/>
    </xf>
    <xf numFmtId="0" fontId="193" fillId="75" borderId="0" xfId="20233" applyFont="1" applyFill="1" applyAlignment="1">
      <alignment horizontal="center" vertical="center"/>
    </xf>
    <xf numFmtId="0" fontId="193" fillId="75" borderId="105" xfId="20233" applyFont="1" applyFill="1" applyBorder="1" applyAlignment="1">
      <alignment horizontal="center" vertical="center"/>
    </xf>
    <xf numFmtId="0" fontId="193" fillId="75" borderId="106" xfId="20233" applyFont="1" applyFill="1" applyBorder="1" applyAlignment="1">
      <alignment horizontal="center" vertical="center"/>
    </xf>
    <xf numFmtId="0" fontId="193" fillId="86" borderId="104" xfId="20233" applyFont="1" applyFill="1" applyBorder="1" applyAlignment="1">
      <alignment vertical="center" wrapText="1"/>
    </xf>
    <xf numFmtId="169" fontId="220" fillId="86" borderId="0" xfId="29659" applyNumberFormat="1" applyFont="1" applyFill="1" applyBorder="1" applyAlignment="1">
      <alignment horizontal="right" vertical="center" wrapText="1"/>
    </xf>
    <xf numFmtId="169" fontId="220" fillId="86" borderId="105" xfId="29659" applyNumberFormat="1" applyFont="1" applyFill="1" applyBorder="1" applyAlignment="1">
      <alignment horizontal="right" vertical="center" wrapText="1"/>
    </xf>
    <xf numFmtId="169" fontId="220" fillId="86" borderId="108" xfId="29659" applyNumberFormat="1" applyFont="1" applyFill="1" applyBorder="1" applyAlignment="1">
      <alignment horizontal="right" vertical="center" wrapText="1"/>
    </xf>
    <xf numFmtId="0" fontId="221" fillId="2" borderId="0" xfId="20233" applyFont="1" applyFill="1" applyAlignment="1">
      <alignment vertical="center"/>
    </xf>
    <xf numFmtId="0" fontId="17" fillId="0" borderId="104" xfId="20233" applyFont="1" applyBorder="1" applyAlignment="1">
      <alignment horizontal="left" vertical="center" wrapText="1"/>
    </xf>
    <xf numFmtId="0" fontId="17" fillId="0" borderId="104" xfId="20233" applyFont="1" applyBorder="1" applyAlignment="1">
      <alignment horizontal="left" vertical="center"/>
    </xf>
    <xf numFmtId="3" fontId="36" fillId="0" borderId="0" xfId="20233" applyNumberFormat="1" applyFont="1" applyAlignment="1">
      <alignment horizontal="right" vertical="center" wrapText="1"/>
    </xf>
    <xf numFmtId="3" fontId="36" fillId="0" borderId="105" xfId="20233" applyNumberFormat="1" applyFont="1" applyBorder="1" applyAlignment="1">
      <alignment horizontal="right" vertical="center" wrapText="1"/>
    </xf>
    <xf numFmtId="3" fontId="36" fillId="0" borderId="108" xfId="20233" applyNumberFormat="1" applyFont="1" applyBorder="1" applyAlignment="1">
      <alignment horizontal="right" vertical="center" wrapText="1"/>
    </xf>
    <xf numFmtId="3" fontId="8" fillId="0" borderId="0" xfId="20233" applyNumberFormat="1" applyFont="1" applyAlignment="1">
      <alignment vertical="center"/>
    </xf>
    <xf numFmtId="0" fontId="8" fillId="0" borderId="0" xfId="20233" applyFont="1" applyAlignment="1">
      <alignment vertical="center"/>
    </xf>
    <xf numFmtId="0" fontId="37" fillId="0" borderId="104" xfId="20233" applyFont="1" applyBorder="1" applyAlignment="1">
      <alignment horizontal="left" vertical="center" wrapText="1" indent="1"/>
    </xf>
    <xf numFmtId="216" fontId="8" fillId="0" borderId="0" xfId="42855" applyNumberFormat="1" applyFont="1" applyFill="1" applyBorder="1" applyAlignment="1">
      <alignment vertical="center"/>
    </xf>
    <xf numFmtId="216" fontId="8" fillId="0" borderId="108" xfId="42855" applyNumberFormat="1" applyFont="1" applyFill="1" applyBorder="1" applyAlignment="1">
      <alignment vertical="center"/>
    </xf>
    <xf numFmtId="216" fontId="8" fillId="0" borderId="107" xfId="42855" applyNumberFormat="1" applyFont="1" applyFill="1" applyBorder="1" applyAlignment="1">
      <alignment vertical="center"/>
    </xf>
    <xf numFmtId="0" fontId="222" fillId="0" borderId="0" xfId="20233" applyFont="1" applyAlignment="1">
      <alignment vertical="center"/>
    </xf>
    <xf numFmtId="170" fontId="37" fillId="0" borderId="104" xfId="20233" applyNumberFormat="1" applyFont="1" applyBorder="1" applyAlignment="1">
      <alignment horizontal="left" vertical="center" wrapText="1"/>
    </xf>
    <xf numFmtId="170" fontId="37" fillId="0" borderId="104" xfId="20233" applyNumberFormat="1" applyFont="1" applyBorder="1" applyAlignment="1">
      <alignment horizontal="left" vertical="center"/>
    </xf>
    <xf numFmtId="170" fontId="19" fillId="0" borderId="0" xfId="20233" applyNumberFormat="1" applyFont="1" applyAlignment="1">
      <alignment horizontal="right" vertical="center" wrapText="1"/>
    </xf>
    <xf numFmtId="170" fontId="19" fillId="0" borderId="105" xfId="20233" applyNumberFormat="1" applyFont="1" applyBorder="1" applyAlignment="1">
      <alignment horizontal="right" vertical="center" wrapText="1"/>
    </xf>
    <xf numFmtId="170" fontId="19" fillId="0" borderId="108" xfId="20233" applyNumberFormat="1" applyFont="1" applyBorder="1" applyAlignment="1">
      <alignment horizontal="right" vertical="center" wrapText="1"/>
    </xf>
    <xf numFmtId="170" fontId="8" fillId="0" borderId="0" xfId="20233" applyNumberFormat="1" applyFont="1" applyAlignment="1">
      <alignment vertical="center"/>
    </xf>
    <xf numFmtId="0" fontId="37" fillId="0" borderId="104" xfId="20233" applyFont="1" applyBorder="1" applyAlignment="1">
      <alignment horizontal="left" vertical="center" wrapText="1"/>
    </xf>
    <xf numFmtId="169" fontId="19" fillId="0" borderId="0" xfId="20233" applyNumberFormat="1" applyFont="1" applyAlignment="1">
      <alignment horizontal="right" vertical="center" wrapText="1"/>
    </xf>
    <xf numFmtId="169" fontId="19" fillId="0" borderId="105" xfId="20233" applyNumberFormat="1" applyFont="1" applyBorder="1" applyAlignment="1">
      <alignment horizontal="right" vertical="center" wrapText="1"/>
    </xf>
    <xf numFmtId="169" fontId="19" fillId="0" borderId="108" xfId="20233" applyNumberFormat="1" applyFont="1" applyBorder="1" applyAlignment="1">
      <alignment horizontal="right" vertical="center" wrapText="1"/>
    </xf>
    <xf numFmtId="2" fontId="19" fillId="0" borderId="0" xfId="20233" applyNumberFormat="1" applyFont="1" applyAlignment="1">
      <alignment horizontal="right" vertical="center" wrapText="1"/>
    </xf>
    <xf numFmtId="2" fontId="19" fillId="0" borderId="105" xfId="20233" applyNumberFormat="1" applyFont="1" applyBorder="1" applyAlignment="1">
      <alignment horizontal="right" vertical="center" wrapText="1"/>
    </xf>
    <xf numFmtId="2" fontId="19" fillId="0" borderId="108" xfId="20233" applyNumberFormat="1" applyFont="1" applyBorder="1" applyAlignment="1">
      <alignment horizontal="right" vertical="center" wrapText="1"/>
    </xf>
    <xf numFmtId="3" fontId="17" fillId="0" borderId="104" xfId="20233" applyNumberFormat="1" applyFont="1" applyBorder="1" applyAlignment="1">
      <alignment horizontal="left" vertical="center" wrapText="1"/>
    </xf>
    <xf numFmtId="3" fontId="17" fillId="0" borderId="104" xfId="20233" applyNumberFormat="1" applyFont="1" applyBorder="1" applyAlignment="1">
      <alignment horizontal="left" vertical="center"/>
    </xf>
    <xf numFmtId="3" fontId="37" fillId="0" borderId="104" xfId="20233" applyNumberFormat="1" applyFont="1" applyBorder="1" applyAlignment="1">
      <alignment horizontal="left" vertical="center" wrapText="1" indent="1"/>
    </xf>
    <xf numFmtId="3" fontId="19" fillId="0" borderId="0" xfId="20233" applyNumberFormat="1" applyFont="1" applyAlignment="1">
      <alignment horizontal="right" vertical="center" wrapText="1"/>
    </xf>
    <xf numFmtId="3" fontId="19" fillId="0" borderId="105" xfId="20233" applyNumberFormat="1" applyFont="1" applyBorder="1" applyAlignment="1">
      <alignment horizontal="right" vertical="center" wrapText="1"/>
    </xf>
    <xf numFmtId="3" fontId="19" fillId="0" borderId="108" xfId="20233" applyNumberFormat="1" applyFont="1" applyBorder="1" applyAlignment="1">
      <alignment horizontal="right" vertical="center" wrapText="1"/>
    </xf>
    <xf numFmtId="170" fontId="19" fillId="0" borderId="109" xfId="20233" applyNumberFormat="1" applyFont="1" applyBorder="1" applyAlignment="1">
      <alignment horizontal="left" vertical="center" wrapText="1"/>
    </xf>
    <xf numFmtId="170" fontId="37" fillId="0" borderId="109" xfId="20233" applyNumberFormat="1" applyFont="1" applyBorder="1" applyAlignment="1">
      <alignment horizontal="left" vertical="center"/>
    </xf>
    <xf numFmtId="170" fontId="19" fillId="0" borderId="110" xfId="20233" applyNumberFormat="1" applyFont="1" applyBorder="1" applyAlignment="1">
      <alignment horizontal="right" vertical="center" wrapText="1"/>
    </xf>
    <xf numFmtId="170" fontId="19" fillId="0" borderId="111" xfId="20233" applyNumberFormat="1" applyFont="1" applyBorder="1" applyAlignment="1">
      <alignment horizontal="right" vertical="center" wrapText="1"/>
    </xf>
    <xf numFmtId="170" fontId="19" fillId="0" borderId="112" xfId="20233" applyNumberFormat="1" applyFont="1" applyBorder="1" applyAlignment="1">
      <alignment horizontal="right" vertical="center" wrapText="1"/>
    </xf>
    <xf numFmtId="170" fontId="37" fillId="0" borderId="113" xfId="20233" applyNumberFormat="1" applyFont="1" applyBorder="1" applyAlignment="1">
      <alignment horizontal="left" vertical="center" wrapText="1"/>
    </xf>
    <xf numFmtId="170" fontId="37" fillId="0" borderId="113" xfId="20233" applyNumberFormat="1" applyFont="1" applyBorder="1" applyAlignment="1">
      <alignment horizontal="left" vertical="center"/>
    </xf>
    <xf numFmtId="3" fontId="19" fillId="0" borderId="114" xfId="20233" applyNumberFormat="1" applyFont="1" applyBorder="1" applyAlignment="1">
      <alignment horizontal="right" vertical="center" wrapText="1"/>
    </xf>
    <xf numFmtId="3" fontId="19" fillId="0" borderId="115" xfId="20233" applyNumberFormat="1" applyFont="1" applyBorder="1" applyAlignment="1">
      <alignment horizontal="right" vertical="center" wrapText="1"/>
    </xf>
    <xf numFmtId="3" fontId="19" fillId="0" borderId="116" xfId="20233" applyNumberFormat="1" applyFont="1" applyBorder="1" applyAlignment="1">
      <alignment horizontal="right" vertical="center" wrapText="1"/>
    </xf>
    <xf numFmtId="0" fontId="47" fillId="0" borderId="0" xfId="20233" applyFont="1" applyAlignment="1">
      <alignment horizontal="left" vertical="top" wrapText="1"/>
    </xf>
    <xf numFmtId="0" fontId="8" fillId="0" borderId="0" xfId="20233" applyFont="1" applyAlignment="1">
      <alignment horizontal="left" vertical="top" wrapText="1"/>
    </xf>
    <xf numFmtId="170" fontId="8" fillId="0" borderId="0" xfId="20233" applyNumberFormat="1" applyFont="1" applyAlignment="1">
      <alignment vertical="top"/>
    </xf>
    <xf numFmtId="0" fontId="8" fillId="0" borderId="0" xfId="20233" applyFont="1" applyAlignment="1">
      <alignment vertical="top"/>
    </xf>
    <xf numFmtId="3" fontId="8" fillId="0" borderId="0" xfId="26619" applyNumberFormat="1" applyFont="1" applyFill="1" applyBorder="1" applyAlignment="1">
      <alignment vertical="center"/>
    </xf>
    <xf numFmtId="0" fontId="47" fillId="0" borderId="0" xfId="20233" applyFont="1" applyAlignment="1">
      <alignment vertical="top" wrapText="1"/>
    </xf>
    <xf numFmtId="0" fontId="224" fillId="0" borderId="0" xfId="20233" applyFont="1" applyAlignment="1">
      <alignment horizontal="left" vertical="top" wrapText="1"/>
    </xf>
    <xf numFmtId="0" fontId="181" fillId="2" borderId="51" xfId="0" applyFont="1" applyFill="1" applyBorder="1" applyAlignment="1">
      <alignment vertical="center" wrapText="1"/>
    </xf>
    <xf numFmtId="3" fontId="48" fillId="0" borderId="52" xfId="0" applyNumberFormat="1" applyFont="1" applyBorder="1" applyAlignment="1">
      <alignment horizontal="right" vertical="center" wrapText="1"/>
    </xf>
    <xf numFmtId="217" fontId="30" fillId="2" borderId="9" xfId="0" applyNumberFormat="1" applyFont="1" applyFill="1" applyBorder="1" applyAlignment="1">
      <alignment horizontal="right" vertical="center"/>
    </xf>
    <xf numFmtId="181" fontId="32" fillId="2" borderId="9" xfId="0" applyNumberFormat="1" applyFont="1" applyFill="1" applyBorder="1" applyAlignment="1">
      <alignment vertical="center"/>
    </xf>
    <xf numFmtId="181" fontId="32" fillId="0" borderId="9" xfId="0" applyNumberFormat="1" applyFont="1" applyBorder="1" applyAlignment="1">
      <alignment vertical="center"/>
    </xf>
    <xf numFmtId="0" fontId="191" fillId="75" borderId="99" xfId="0" applyFont="1" applyFill="1" applyBorder="1" applyAlignment="1">
      <alignment horizontal="center" vertical="center" wrapText="1"/>
    </xf>
    <xf numFmtId="0" fontId="191" fillId="75" borderId="94" xfId="0" applyFont="1" applyFill="1" applyBorder="1" applyAlignment="1">
      <alignment horizontal="center" vertical="center" wrapText="1"/>
    </xf>
    <xf numFmtId="0" fontId="191" fillId="75" borderId="117" xfId="0" applyFont="1" applyFill="1" applyBorder="1" applyAlignment="1">
      <alignment horizontal="center" vertical="center" wrapText="1"/>
    </xf>
    <xf numFmtId="0" fontId="191" fillId="75" borderId="118" xfId="0" applyFont="1" applyFill="1" applyBorder="1" applyAlignment="1">
      <alignment horizontal="center" vertical="center" wrapText="1"/>
    </xf>
    <xf numFmtId="182" fontId="22" fillId="0" borderId="99" xfId="0" applyNumberFormat="1" applyFont="1" applyBorder="1" applyAlignment="1">
      <alignment vertical="center"/>
    </xf>
    <xf numFmtId="182" fontId="22" fillId="0" borderId="94" xfId="0" applyNumberFormat="1" applyFont="1" applyBorder="1" applyAlignment="1">
      <alignment vertical="center"/>
    </xf>
    <xf numFmtId="182" fontId="22" fillId="0" borderId="100" xfId="0" applyNumberFormat="1" applyFont="1" applyBorder="1" applyAlignment="1">
      <alignment vertical="center"/>
    </xf>
    <xf numFmtId="182" fontId="22" fillId="0" borderId="101" xfId="0" applyNumberFormat="1" applyFont="1" applyBorder="1" applyAlignment="1">
      <alignment vertical="center"/>
    </xf>
    <xf numFmtId="182" fontId="11" fillId="0" borderId="99" xfId="0" applyNumberFormat="1" applyFont="1" applyBorder="1" applyAlignment="1">
      <alignment vertical="center"/>
    </xf>
    <xf numFmtId="182" fontId="11" fillId="0" borderId="94" xfId="0" applyNumberFormat="1" applyFont="1" applyBorder="1" applyAlignment="1">
      <alignment vertical="center"/>
    </xf>
    <xf numFmtId="182" fontId="24" fillId="0" borderId="99" xfId="0" applyNumberFormat="1" applyFont="1" applyBorder="1" applyAlignment="1">
      <alignment horizontal="right" vertical="center"/>
    </xf>
    <xf numFmtId="182" fontId="24" fillId="0" borderId="94" xfId="0" applyNumberFormat="1" applyFont="1" applyBorder="1" applyAlignment="1">
      <alignment horizontal="right" vertical="center"/>
    </xf>
    <xf numFmtId="182" fontId="11" fillId="0" borderId="94" xfId="0" applyNumberFormat="1" applyFont="1" applyBorder="1" applyAlignment="1">
      <alignment horizontal="right" vertical="center"/>
    </xf>
    <xf numFmtId="177" fontId="190" fillId="83" borderId="99" xfId="0" applyNumberFormat="1" applyFont="1" applyFill="1" applyBorder="1" applyAlignment="1">
      <alignment vertical="center"/>
    </xf>
    <xf numFmtId="177" fontId="190" fillId="83" borderId="94" xfId="0" applyNumberFormat="1" applyFont="1" applyFill="1" applyBorder="1" applyAlignment="1">
      <alignment vertical="center"/>
    </xf>
    <xf numFmtId="182" fontId="30" fillId="0" borderId="99" xfId="0" applyNumberFormat="1" applyFont="1" applyBorder="1" applyAlignment="1">
      <alignment vertical="center"/>
    </xf>
    <xf numFmtId="182" fontId="30" fillId="0" borderId="94" xfId="0" applyNumberFormat="1" applyFont="1" applyBorder="1" applyAlignment="1">
      <alignment vertical="center"/>
    </xf>
    <xf numFmtId="0" fontId="173" fillId="0" borderId="0" xfId="0" applyFont="1"/>
    <xf numFmtId="167" fontId="173" fillId="0" borderId="0" xfId="0" applyNumberFormat="1" applyFont="1"/>
    <xf numFmtId="182" fontId="22" fillId="0" borderId="119" xfId="0" applyNumberFormat="1" applyFont="1" applyBorder="1" applyAlignment="1">
      <alignment vertical="center"/>
    </xf>
    <xf numFmtId="182" fontId="22" fillId="0" borderId="120" xfId="0" applyNumberFormat="1" applyFont="1" applyBorder="1" applyAlignment="1">
      <alignment vertical="center"/>
    </xf>
    <xf numFmtId="0" fontId="193" fillId="75" borderId="102" xfId="0" applyFont="1" applyFill="1" applyBorder="1" applyAlignment="1">
      <alignment vertical="center" wrapText="1"/>
    </xf>
    <xf numFmtId="0" fontId="193" fillId="75" borderId="121" xfId="0" applyFont="1" applyFill="1" applyBorder="1" applyAlignment="1">
      <alignment vertical="center" wrapText="1"/>
    </xf>
    <xf numFmtId="0" fontId="21" fillId="0" borderId="102" xfId="0" applyFont="1" applyBorder="1" applyAlignment="1">
      <alignment vertical="center" wrapText="1"/>
    </xf>
    <xf numFmtId="0" fontId="21" fillId="0" borderId="103" xfId="0" applyFont="1" applyBorder="1" applyAlignment="1">
      <alignment vertical="center" wrapText="1"/>
    </xf>
    <xf numFmtId="0" fontId="11" fillId="0" borderId="102" xfId="0" applyFont="1" applyBorder="1" applyAlignment="1">
      <alignment vertical="center" wrapText="1"/>
    </xf>
    <xf numFmtId="0" fontId="30" fillId="0" borderId="102" xfId="0" applyFont="1" applyBorder="1" applyAlignment="1">
      <alignment vertical="center" wrapText="1"/>
    </xf>
    <xf numFmtId="0" fontId="190" fillId="83" borderId="102" xfId="0" applyFont="1" applyFill="1" applyBorder="1" applyAlignment="1">
      <alignment vertical="center" wrapText="1"/>
    </xf>
    <xf numFmtId="0" fontId="22" fillId="0" borderId="122" xfId="0" applyFont="1" applyBorder="1" applyAlignment="1">
      <alignment vertical="center" wrapText="1"/>
    </xf>
    <xf numFmtId="183" fontId="11" fillId="0" borderId="99" xfId="0" applyNumberFormat="1" applyFont="1" applyBorder="1" applyAlignment="1">
      <alignment vertical="center"/>
    </xf>
    <xf numFmtId="183" fontId="11" fillId="0" borderId="94" xfId="0" applyNumberFormat="1" applyFont="1" applyBorder="1" applyAlignment="1">
      <alignment vertical="center"/>
    </xf>
    <xf numFmtId="183" fontId="30" fillId="0" borderId="99" xfId="0" applyNumberFormat="1" applyFont="1" applyBorder="1" applyAlignment="1">
      <alignment vertical="center"/>
    </xf>
    <xf numFmtId="183" fontId="30" fillId="0" borderId="94" xfId="0" applyNumberFormat="1" applyFont="1" applyBorder="1" applyAlignment="1">
      <alignment vertical="center"/>
    </xf>
    <xf numFmtId="169" fontId="220" fillId="86" borderId="106" xfId="29659" applyNumberFormat="1" applyFont="1" applyFill="1" applyBorder="1" applyAlignment="1">
      <alignment horizontal="right" vertical="center" wrapText="1"/>
    </xf>
    <xf numFmtId="3" fontId="36" fillId="0" borderId="106" xfId="20233" applyNumberFormat="1" applyFont="1" applyBorder="1" applyAlignment="1">
      <alignment horizontal="right" vertical="center" wrapText="1"/>
    </xf>
    <xf numFmtId="216" fontId="8" fillId="0" borderId="106" xfId="42855" applyNumberFormat="1" applyFont="1" applyFill="1" applyBorder="1" applyAlignment="1">
      <alignment vertical="center"/>
    </xf>
    <xf numFmtId="170" fontId="19" fillId="0" borderId="106" xfId="20233" applyNumberFormat="1" applyFont="1" applyBorder="1" applyAlignment="1">
      <alignment horizontal="right" vertical="center" wrapText="1"/>
    </xf>
    <xf numFmtId="169" fontId="19" fillId="0" borderId="106" xfId="20233" applyNumberFormat="1" applyFont="1" applyBorder="1" applyAlignment="1">
      <alignment horizontal="right" vertical="center" wrapText="1"/>
    </xf>
    <xf numFmtId="2" fontId="19" fillId="0" borderId="106" xfId="20233" applyNumberFormat="1" applyFont="1" applyBorder="1" applyAlignment="1">
      <alignment horizontal="right" vertical="center" wrapText="1"/>
    </xf>
    <xf numFmtId="3" fontId="19" fillId="0" borderId="106" xfId="20233" applyNumberFormat="1" applyFont="1" applyBorder="1" applyAlignment="1">
      <alignment horizontal="right" vertical="center" wrapText="1"/>
    </xf>
    <xf numFmtId="170" fontId="19" fillId="0" borderId="124" xfId="20233" applyNumberFormat="1" applyFont="1" applyBorder="1" applyAlignment="1">
      <alignment horizontal="right" vertical="center" wrapText="1"/>
    </xf>
    <xf numFmtId="3" fontId="19" fillId="0" borderId="123" xfId="20233" applyNumberFormat="1" applyFont="1" applyBorder="1" applyAlignment="1">
      <alignment horizontal="right" vertical="center" wrapText="1"/>
    </xf>
    <xf numFmtId="169" fontId="33" fillId="0" borderId="3" xfId="2" applyNumberFormat="1" applyFont="1" applyFill="1" applyBorder="1" applyAlignment="1">
      <alignment vertical="center" wrapText="1"/>
    </xf>
    <xf numFmtId="181" fontId="191" fillId="87" borderId="9" xfId="0" applyNumberFormat="1" applyFont="1" applyFill="1" applyBorder="1" applyAlignment="1">
      <alignment vertical="center" wrapText="1"/>
    </xf>
    <xf numFmtId="186" fontId="46" fillId="85" borderId="9" xfId="0" applyNumberFormat="1" applyFont="1" applyFill="1" applyBorder="1" applyAlignment="1">
      <alignment vertical="center" wrapText="1"/>
    </xf>
    <xf numFmtId="170" fontId="191" fillId="87" borderId="9" xfId="0" applyNumberFormat="1" applyFont="1" applyFill="1" applyBorder="1" applyAlignment="1">
      <alignment vertical="center" wrapText="1"/>
    </xf>
    <xf numFmtId="182" fontId="46" fillId="85" borderId="9" xfId="0" applyNumberFormat="1" applyFont="1" applyFill="1" applyBorder="1" applyAlignment="1">
      <alignment vertical="center" wrapText="1"/>
    </xf>
    <xf numFmtId="0" fontId="45" fillId="2" borderId="0" xfId="0" applyFont="1" applyFill="1"/>
    <xf numFmtId="170" fontId="46" fillId="85" borderId="9" xfId="0" applyNumberFormat="1" applyFont="1" applyFill="1" applyBorder="1" applyAlignment="1">
      <alignment vertical="center" wrapText="1"/>
    </xf>
    <xf numFmtId="169" fontId="22" fillId="2" borderId="0" xfId="7" applyNumberFormat="1" applyFont="1" applyFill="1" applyAlignment="1">
      <alignment vertical="center"/>
    </xf>
    <xf numFmtId="0" fontId="22" fillId="2" borderId="0" xfId="0" applyFont="1" applyFill="1" applyAlignment="1">
      <alignment horizontal="left" vertical="center" wrapText="1"/>
    </xf>
    <xf numFmtId="0" fontId="22" fillId="2" borderId="0" xfId="0" applyFont="1" applyFill="1" applyAlignment="1">
      <alignment vertical="center"/>
    </xf>
    <xf numFmtId="0" fontId="22" fillId="0" borderId="0" xfId="0" applyFont="1" applyAlignment="1">
      <alignment vertical="center"/>
    </xf>
    <xf numFmtId="0" fontId="171" fillId="2" borderId="0" xfId="0" applyFont="1" applyFill="1"/>
    <xf numFmtId="169" fontId="33" fillId="2" borderId="0" xfId="7" applyNumberFormat="1" applyFont="1" applyFill="1" applyAlignment="1">
      <alignment vertical="center"/>
    </xf>
    <xf numFmtId="0" fontId="33" fillId="2" borderId="0" xfId="0" applyFont="1" applyFill="1" applyAlignment="1">
      <alignment horizontal="left" vertical="center" wrapText="1"/>
    </xf>
    <xf numFmtId="0" fontId="33" fillId="2" borderId="0" xfId="0" applyFont="1" applyFill="1" applyAlignment="1">
      <alignment vertical="center"/>
    </xf>
    <xf numFmtId="0" fontId="33" fillId="2" borderId="0" xfId="0" applyFont="1" applyFill="1"/>
    <xf numFmtId="0" fontId="33" fillId="0" borderId="0" xfId="0" applyFont="1" applyAlignment="1">
      <alignment vertical="center"/>
    </xf>
    <xf numFmtId="0" fontId="191" fillId="88" borderId="80" xfId="0" applyFont="1" applyFill="1" applyBorder="1" applyAlignment="1">
      <alignment horizontal="right" vertical="center"/>
    </xf>
    <xf numFmtId="170" fontId="33" fillId="85" borderId="9" xfId="0" applyNumberFormat="1" applyFont="1" applyFill="1" applyBorder="1" applyAlignment="1">
      <alignment vertical="center" wrapText="1"/>
    </xf>
    <xf numFmtId="182" fontId="33" fillId="85" borderId="9" xfId="0" applyNumberFormat="1" applyFont="1" applyFill="1" applyBorder="1" applyAlignment="1">
      <alignment vertical="center" wrapText="1"/>
    </xf>
    <xf numFmtId="0" fontId="11" fillId="0" borderId="3" xfId="0" applyFont="1" applyBorder="1" applyAlignment="1">
      <alignment horizontal="left" vertical="center"/>
    </xf>
    <xf numFmtId="0" fontId="28" fillId="0" borderId="53" xfId="0" applyFont="1" applyBorder="1" applyAlignment="1">
      <alignment horizontal="left" vertical="center" wrapText="1"/>
    </xf>
    <xf numFmtId="170" fontId="48" fillId="2" borderId="53" xfId="0" applyNumberFormat="1" applyFont="1" applyFill="1" applyBorder="1" applyAlignment="1">
      <alignment horizontal="right" vertical="center" wrapText="1"/>
    </xf>
    <xf numFmtId="3" fontId="48" fillId="2" borderId="53" xfId="0" applyNumberFormat="1" applyFont="1" applyFill="1" applyBorder="1" applyAlignment="1">
      <alignment horizontal="right" vertical="center" wrapText="1"/>
    </xf>
    <xf numFmtId="3" fontId="48" fillId="0" borderId="53" xfId="0" applyNumberFormat="1" applyFont="1" applyBorder="1" applyAlignment="1">
      <alignment horizontal="right" vertical="center" wrapText="1"/>
    </xf>
    <xf numFmtId="3" fontId="19" fillId="0" borderId="53" xfId="0" applyNumberFormat="1" applyFont="1" applyBorder="1" applyAlignment="1">
      <alignment horizontal="right" vertical="center" wrapText="1"/>
    </xf>
    <xf numFmtId="3" fontId="29" fillId="0" borderId="53" xfId="0" applyNumberFormat="1" applyFont="1" applyBorder="1" applyAlignment="1">
      <alignment horizontal="right" vertical="center" wrapText="1"/>
    </xf>
    <xf numFmtId="170" fontId="48" fillId="2" borderId="125" xfId="0" applyNumberFormat="1" applyFont="1" applyFill="1" applyBorder="1" applyAlignment="1">
      <alignment horizontal="right" vertical="center" wrapText="1"/>
    </xf>
    <xf numFmtId="3" fontId="48" fillId="2" borderId="125" xfId="0" applyNumberFormat="1" applyFont="1" applyFill="1" applyBorder="1" applyAlignment="1">
      <alignment horizontal="right" vertical="center" wrapText="1"/>
    </xf>
    <xf numFmtId="170" fontId="50" fillId="85" borderId="126" xfId="0" applyNumberFormat="1" applyFont="1" applyFill="1" applyBorder="1" applyAlignment="1">
      <alignment vertical="center" wrapText="1"/>
    </xf>
    <xf numFmtId="3" fontId="50" fillId="85" borderId="126" xfId="0" applyNumberFormat="1" applyFont="1" applyFill="1" applyBorder="1" applyAlignment="1">
      <alignment vertical="center" wrapText="1"/>
    </xf>
    <xf numFmtId="0" fontId="226" fillId="0" borderId="0" xfId="0" applyFont="1"/>
    <xf numFmtId="170" fontId="8" fillId="0" borderId="0" xfId="26619" applyNumberFormat="1" applyFont="1" applyFill="1" applyBorder="1" applyAlignment="1">
      <alignment vertical="center"/>
    </xf>
    <xf numFmtId="169" fontId="8" fillId="0" borderId="0" xfId="7" applyNumberFormat="1" applyFont="1" applyFill="1" applyBorder="1" applyAlignment="1">
      <alignment vertical="center"/>
    </xf>
    <xf numFmtId="180" fontId="47" fillId="0" borderId="0" xfId="0" applyNumberFormat="1" applyFont="1" applyAlignment="1">
      <alignment horizontal="right" vertical="center"/>
    </xf>
    <xf numFmtId="171" fontId="11" fillId="2" borderId="0" xfId="0" applyNumberFormat="1" applyFont="1" applyFill="1" applyAlignment="1">
      <alignment horizontal="right" vertical="center"/>
    </xf>
    <xf numFmtId="171" fontId="42" fillId="2" borderId="0" xfId="0" applyNumberFormat="1" applyFont="1" applyFill="1" applyAlignment="1">
      <alignment horizontal="right" vertical="center"/>
    </xf>
    <xf numFmtId="171" fontId="11" fillId="0" borderId="0" xfId="0" applyNumberFormat="1" applyFont="1"/>
    <xf numFmtId="215" fontId="209" fillId="78" borderId="0" xfId="0" applyNumberFormat="1" applyFont="1" applyFill="1"/>
    <xf numFmtId="0" fontId="191" fillId="83" borderId="128" xfId="0" applyFont="1" applyFill="1" applyBorder="1" applyAlignment="1">
      <alignment vertical="center" wrapText="1"/>
    </xf>
    <xf numFmtId="0" fontId="191" fillId="83" borderId="127" xfId="0" applyFont="1" applyFill="1" applyBorder="1" applyAlignment="1">
      <alignment vertical="center" wrapText="1"/>
    </xf>
    <xf numFmtId="171" fontId="191" fillId="83" borderId="129" xfId="0" applyNumberFormat="1" applyFont="1" applyFill="1" applyBorder="1" applyAlignment="1">
      <alignment vertical="center"/>
    </xf>
    <xf numFmtId="170" fontId="191" fillId="84" borderId="130" xfId="0" applyNumberFormat="1" applyFont="1" applyFill="1" applyBorder="1" applyAlignment="1">
      <alignment vertical="center" wrapText="1"/>
    </xf>
    <xf numFmtId="171" fontId="191" fillId="83" borderId="128" xfId="0" applyNumberFormat="1" applyFont="1" applyFill="1" applyBorder="1" applyAlignment="1">
      <alignment vertical="center"/>
    </xf>
    <xf numFmtId="171" fontId="193" fillId="83" borderId="129" xfId="0" applyNumberFormat="1" applyFont="1" applyFill="1" applyBorder="1" applyAlignment="1">
      <alignment vertical="center"/>
    </xf>
    <xf numFmtId="182" fontId="191" fillId="83" borderId="129" xfId="0" applyNumberFormat="1" applyFont="1" applyFill="1" applyBorder="1" applyAlignment="1">
      <alignment vertical="center"/>
    </xf>
    <xf numFmtId="171" fontId="209" fillId="0" borderId="129" xfId="0" applyNumberFormat="1" applyFont="1" applyBorder="1"/>
    <xf numFmtId="170" fontId="191" fillId="87" borderId="130" xfId="0" applyNumberFormat="1" applyFont="1" applyFill="1" applyBorder="1" applyAlignment="1">
      <alignment vertical="center" wrapText="1"/>
    </xf>
    <xf numFmtId="215" fontId="191" fillId="83" borderId="128" xfId="0" applyNumberFormat="1" applyFont="1" applyFill="1" applyBorder="1" applyAlignment="1">
      <alignment vertical="center" wrapText="1"/>
    </xf>
    <xf numFmtId="215" fontId="191" fillId="83" borderId="127" xfId="0" applyNumberFormat="1" applyFont="1" applyFill="1" applyBorder="1" applyAlignment="1">
      <alignment vertical="center" wrapText="1"/>
    </xf>
    <xf numFmtId="215" fontId="191" fillId="83" borderId="129" xfId="0" applyNumberFormat="1" applyFont="1" applyFill="1" applyBorder="1" applyAlignment="1">
      <alignment vertical="center"/>
    </xf>
    <xf numFmtId="215" fontId="191" fillId="84" borderId="130" xfId="0" applyNumberFormat="1" applyFont="1" applyFill="1" applyBorder="1" applyAlignment="1">
      <alignment vertical="center" wrapText="1"/>
    </xf>
    <xf numFmtId="215" fontId="191" fillId="83" borderId="128" xfId="0" applyNumberFormat="1" applyFont="1" applyFill="1" applyBorder="1" applyAlignment="1">
      <alignment vertical="center"/>
    </xf>
    <xf numFmtId="215" fontId="193" fillId="83" borderId="129" xfId="0" applyNumberFormat="1" applyFont="1" applyFill="1" applyBorder="1" applyAlignment="1">
      <alignment vertical="center"/>
    </xf>
    <xf numFmtId="215" fontId="209" fillId="0" borderId="129" xfId="0" applyNumberFormat="1" applyFont="1" applyBorder="1"/>
    <xf numFmtId="215" fontId="191" fillId="87" borderId="130" xfId="0" applyNumberFormat="1" applyFont="1" applyFill="1" applyBorder="1" applyAlignment="1">
      <alignment vertical="center" wrapText="1"/>
    </xf>
    <xf numFmtId="181" fontId="191" fillId="83" borderId="3" xfId="0" applyNumberFormat="1" applyFont="1" applyFill="1" applyBorder="1" applyAlignment="1">
      <alignment vertical="center"/>
    </xf>
    <xf numFmtId="181" fontId="191" fillId="83" borderId="0" xfId="0" applyNumberFormat="1" applyFont="1" applyFill="1" applyAlignment="1">
      <alignment vertical="center"/>
    </xf>
    <xf numFmtId="182" fontId="176" fillId="80" borderId="0" xfId="0" applyNumberFormat="1" applyFont="1" applyFill="1" applyAlignment="1">
      <alignment vertical="center" wrapText="1"/>
    </xf>
    <xf numFmtId="170" fontId="11" fillId="0" borderId="0" xfId="0" applyNumberFormat="1" applyFont="1"/>
    <xf numFmtId="182" fontId="22" fillId="0" borderId="131" xfId="0" applyNumberFormat="1" applyFont="1" applyBorder="1" applyAlignment="1">
      <alignment vertical="center"/>
    </xf>
    <xf numFmtId="182" fontId="46" fillId="0" borderId="66" xfId="0" applyNumberFormat="1" applyFont="1" applyBorder="1" applyAlignment="1">
      <alignment vertical="center"/>
    </xf>
    <xf numFmtId="181" fontId="30" fillId="2" borderId="0" xfId="0" applyNumberFormat="1" applyFont="1" applyFill="1" applyAlignment="1">
      <alignment vertical="center"/>
    </xf>
    <xf numFmtId="181" fontId="227" fillId="0" borderId="0" xfId="0" applyNumberFormat="1" applyFont="1" applyAlignment="1">
      <alignment vertical="center"/>
    </xf>
    <xf numFmtId="177" fontId="171" fillId="0" borderId="66" xfId="0" applyNumberFormat="1" applyFont="1" applyBorder="1" applyAlignment="1">
      <alignment vertical="center"/>
    </xf>
    <xf numFmtId="181" fontId="227" fillId="2" borderId="0" xfId="0" applyNumberFormat="1" applyFont="1" applyFill="1" applyAlignment="1">
      <alignment vertical="center"/>
    </xf>
    <xf numFmtId="181" fontId="30" fillId="0" borderId="0" xfId="0" applyNumberFormat="1" applyFont="1" applyAlignment="1">
      <alignment vertical="center"/>
    </xf>
    <xf numFmtId="181" fontId="227" fillId="0" borderId="0" xfId="0" applyNumberFormat="1" applyFont="1" applyAlignment="1">
      <alignment horizontal="right" vertical="center"/>
    </xf>
    <xf numFmtId="181" fontId="34" fillId="0" borderId="0" xfId="0" applyNumberFormat="1" applyFont="1" applyAlignment="1">
      <alignment horizontal="right" vertical="center"/>
    </xf>
    <xf numFmtId="184" fontId="49" fillId="2" borderId="0" xfId="0" applyNumberFormat="1" applyFont="1" applyFill="1" applyAlignment="1">
      <alignment vertical="center"/>
    </xf>
    <xf numFmtId="170" fontId="179" fillId="2" borderId="66" xfId="0" applyNumberFormat="1" applyFont="1" applyFill="1" applyBorder="1" applyAlignment="1">
      <alignment vertical="center"/>
    </xf>
    <xf numFmtId="170" fontId="30" fillId="80" borderId="0" xfId="0" applyNumberFormat="1" applyFont="1" applyFill="1" applyAlignment="1">
      <alignment vertical="center" wrapText="1"/>
    </xf>
    <xf numFmtId="182" fontId="30" fillId="80" borderId="0" xfId="0" applyNumberFormat="1" applyFont="1" applyFill="1" applyAlignment="1">
      <alignment vertical="center" wrapText="1"/>
    </xf>
    <xf numFmtId="182" fontId="33" fillId="80" borderId="0" xfId="0" applyNumberFormat="1" applyFont="1" applyFill="1" applyAlignment="1">
      <alignment vertical="center" wrapText="1"/>
    </xf>
    <xf numFmtId="171" fontId="30" fillId="0" borderId="0" xfId="0" applyNumberFormat="1" applyFont="1" applyAlignment="1">
      <alignment horizontal="right" vertical="center"/>
    </xf>
    <xf numFmtId="186" fontId="203" fillId="2" borderId="0" xfId="0" applyNumberFormat="1" applyFont="1" applyFill="1" applyAlignment="1">
      <alignment horizontal="right" vertical="center"/>
    </xf>
    <xf numFmtId="182" fontId="33" fillId="0" borderId="0" xfId="0" applyNumberFormat="1" applyFont="1" applyAlignment="1">
      <alignment vertical="center"/>
    </xf>
    <xf numFmtId="182" fontId="33" fillId="0" borderId="66" xfId="0" applyNumberFormat="1" applyFont="1" applyBorder="1" applyAlignment="1">
      <alignment vertical="center"/>
    </xf>
    <xf numFmtId="169" fontId="0" fillId="0" borderId="0" xfId="7" applyNumberFormat="1" applyFont="1"/>
    <xf numFmtId="0" fontId="228" fillId="0" borderId="0" xfId="0" applyFont="1" applyAlignment="1">
      <alignment horizontal="right" vertical="center"/>
    </xf>
    <xf numFmtId="170" fontId="228" fillId="0" borderId="0" xfId="0" applyNumberFormat="1" applyFont="1" applyAlignment="1">
      <alignment horizontal="right" vertical="center"/>
    </xf>
    <xf numFmtId="0" fontId="230" fillId="0" borderId="0" xfId="0" applyFont="1" applyAlignment="1">
      <alignment horizontal="right" vertical="center"/>
    </xf>
    <xf numFmtId="170" fontId="230" fillId="0" borderId="0" xfId="0" applyNumberFormat="1" applyFont="1"/>
    <xf numFmtId="170" fontId="219" fillId="0" borderId="132" xfId="0" applyNumberFormat="1" applyFont="1" applyBorder="1" applyAlignment="1">
      <alignment horizontal="right" vertical="center"/>
    </xf>
    <xf numFmtId="186" fontId="203" fillId="0" borderId="0" xfId="0" applyNumberFormat="1" applyFont="1" applyAlignment="1">
      <alignment horizontal="right" vertical="center"/>
    </xf>
    <xf numFmtId="0" fontId="229" fillId="0" borderId="0" xfId="0" applyFont="1" applyAlignment="1">
      <alignment horizontal="right" vertical="center"/>
    </xf>
    <xf numFmtId="0" fontId="232" fillId="0" borderId="0" xfId="0" applyFont="1" applyAlignment="1">
      <alignment vertical="top"/>
    </xf>
    <xf numFmtId="167" fontId="173" fillId="0" borderId="0" xfId="0" applyNumberFormat="1" applyFont="1" applyAlignment="1">
      <alignment vertical="center"/>
    </xf>
    <xf numFmtId="0" fontId="231" fillId="0" borderId="0" xfId="20233" applyFont="1" applyAlignment="1">
      <alignment vertical="center"/>
    </xf>
    <xf numFmtId="182" fontId="227" fillId="0" borderId="9" xfId="0" applyNumberFormat="1" applyFont="1" applyBorder="1" applyAlignment="1">
      <alignment vertical="center"/>
    </xf>
    <xf numFmtId="177" fontId="171" fillId="0" borderId="67" xfId="0" applyNumberFormat="1" applyFont="1" applyBorder="1" applyAlignment="1">
      <alignment vertical="center"/>
    </xf>
    <xf numFmtId="182" fontId="30" fillId="0" borderId="9" xfId="0" applyNumberFormat="1" applyFont="1" applyBorder="1" applyAlignment="1">
      <alignment vertical="center"/>
    </xf>
    <xf numFmtId="181" fontId="30" fillId="0" borderId="9" xfId="0" applyNumberFormat="1" applyFont="1" applyBorder="1" applyAlignment="1">
      <alignment vertical="center"/>
    </xf>
    <xf numFmtId="173" fontId="30" fillId="2" borderId="9" xfId="0" applyNumberFormat="1" applyFont="1" applyFill="1" applyBorder="1" applyAlignment="1">
      <alignment horizontal="right" vertical="center"/>
    </xf>
    <xf numFmtId="181" fontId="227" fillId="2" borderId="9" xfId="0" applyNumberFormat="1" applyFont="1" applyFill="1" applyBorder="1" applyAlignment="1">
      <alignment vertical="center"/>
    </xf>
    <xf numFmtId="182" fontId="33" fillId="0" borderId="101" xfId="0" applyNumberFormat="1" applyFont="1" applyBorder="1" applyAlignment="1">
      <alignment vertical="center"/>
    </xf>
    <xf numFmtId="217" fontId="30" fillId="0" borderId="9" xfId="0" applyNumberFormat="1" applyFont="1" applyBorder="1" applyAlignment="1">
      <alignment horizontal="right" vertical="center"/>
    </xf>
    <xf numFmtId="172" fontId="11" fillId="0" borderId="0" xfId="0" applyNumberFormat="1" applyFont="1" applyAlignment="1">
      <alignment vertical="center"/>
    </xf>
    <xf numFmtId="173" fontId="30" fillId="0" borderId="9" xfId="0" applyNumberFormat="1" applyFont="1" applyBorder="1" applyAlignment="1">
      <alignment horizontal="right" vertical="center"/>
    </xf>
    <xf numFmtId="0" fontId="233" fillId="0" borderId="3" xfId="0" applyFont="1" applyBorder="1" applyAlignment="1">
      <alignment horizontal="left" vertical="center" wrapText="1" indent="2"/>
    </xf>
    <xf numFmtId="173" fontId="32" fillId="0" borderId="9" xfId="0" applyNumberFormat="1" applyFont="1" applyBorder="1" applyAlignment="1">
      <alignment horizontal="right" vertical="center"/>
    </xf>
    <xf numFmtId="181" fontId="227" fillId="0" borderId="9" xfId="0" applyNumberFormat="1" applyFont="1" applyBorder="1" applyAlignment="1">
      <alignment vertical="center"/>
    </xf>
    <xf numFmtId="170" fontId="228" fillId="0" borderId="0" xfId="1" applyNumberFormat="1" applyFont="1" applyFill="1" applyAlignment="1">
      <alignment horizontal="right" vertical="center"/>
    </xf>
    <xf numFmtId="181" fontId="30" fillId="0" borderId="0" xfId="1" applyNumberFormat="1" applyFont="1" applyFill="1" applyBorder="1" applyAlignment="1">
      <alignment horizontal="right" vertical="center"/>
    </xf>
    <xf numFmtId="181" fontId="30" fillId="0" borderId="0" xfId="8" applyNumberFormat="1" applyFont="1" applyFill="1" applyBorder="1" applyAlignment="1">
      <alignment horizontal="right" vertical="center"/>
    </xf>
    <xf numFmtId="218" fontId="11" fillId="0" borderId="0" xfId="1" applyNumberFormat="1" applyFont="1" applyFill="1" applyAlignment="1">
      <alignment vertical="center"/>
    </xf>
    <xf numFmtId="218" fontId="30" fillId="0" borderId="0" xfId="1" applyNumberFormat="1" applyFont="1" applyFill="1" applyAlignment="1">
      <alignment vertical="center"/>
    </xf>
    <xf numFmtId="170" fontId="171" fillId="85" borderId="9" xfId="0" applyNumberFormat="1" applyFont="1" applyFill="1" applyBorder="1" applyAlignment="1">
      <alignment vertical="center" wrapText="1"/>
    </xf>
    <xf numFmtId="0" fontId="11" fillId="0" borderId="134" xfId="0" applyFont="1" applyBorder="1" applyAlignment="1">
      <alignment horizontal="left" vertical="center" wrapText="1"/>
    </xf>
    <xf numFmtId="185" fontId="173" fillId="2" borderId="133" xfId="0" applyNumberFormat="1" applyFont="1" applyFill="1" applyBorder="1" applyAlignment="1">
      <alignment vertical="center" wrapText="1"/>
    </xf>
    <xf numFmtId="177" fontId="11" fillId="0" borderId="135" xfId="0" applyNumberFormat="1" applyFont="1" applyBorder="1" applyAlignment="1">
      <alignment horizontal="right" vertical="center"/>
    </xf>
    <xf numFmtId="182" fontId="176" fillId="80" borderId="136" xfId="0" applyNumberFormat="1" applyFont="1" applyFill="1" applyBorder="1" applyAlignment="1">
      <alignment vertical="center" wrapText="1"/>
    </xf>
    <xf numFmtId="177" fontId="11" fillId="0" borderId="134" xfId="0" applyNumberFormat="1" applyFont="1" applyBorder="1" applyAlignment="1">
      <alignment horizontal="right" vertical="center"/>
    </xf>
    <xf numFmtId="176" fontId="47" fillId="0" borderId="135" xfId="0" applyNumberFormat="1" applyFont="1" applyBorder="1" applyAlignment="1">
      <alignment horizontal="right" vertical="center"/>
    </xf>
    <xf numFmtId="177" fontId="11" fillId="2" borderId="135" xfId="0" applyNumberFormat="1" applyFont="1" applyFill="1" applyBorder="1" applyAlignment="1">
      <alignment horizontal="right" vertical="center"/>
    </xf>
    <xf numFmtId="177" fontId="42" fillId="2" borderId="135" xfId="0" applyNumberFormat="1" applyFont="1" applyFill="1" applyBorder="1" applyAlignment="1">
      <alignment horizontal="right" vertical="center"/>
    </xf>
    <xf numFmtId="185" fontId="11" fillId="0" borderId="135" xfId="0" applyNumberFormat="1" applyFont="1" applyBorder="1"/>
    <xf numFmtId="177" fontId="11" fillId="2" borderId="134" xfId="0" applyNumberFormat="1" applyFont="1" applyFill="1" applyBorder="1" applyAlignment="1">
      <alignment horizontal="right" vertical="center"/>
    </xf>
    <xf numFmtId="182" fontId="33" fillId="85" borderId="136" xfId="0" applyNumberFormat="1" applyFont="1" applyFill="1" applyBorder="1" applyAlignment="1">
      <alignment vertical="center" wrapText="1"/>
    </xf>
    <xf numFmtId="182" fontId="46" fillId="85" borderId="136" xfId="0" applyNumberFormat="1" applyFont="1" applyFill="1" applyBorder="1" applyAlignment="1">
      <alignment vertical="center" wrapText="1"/>
    </xf>
    <xf numFmtId="185" fontId="42" fillId="2" borderId="0" xfId="0" applyNumberFormat="1" applyFont="1" applyFill="1" applyAlignment="1">
      <alignment vertical="center"/>
    </xf>
    <xf numFmtId="169" fontId="191" fillId="83" borderId="3" xfId="0" applyNumberFormat="1" applyFont="1" applyFill="1" applyBorder="1" applyAlignment="1">
      <alignment vertical="center" wrapText="1"/>
    </xf>
    <xf numFmtId="169" fontId="191" fillId="83" borderId="16" xfId="0" applyNumberFormat="1" applyFont="1" applyFill="1" applyBorder="1" applyAlignment="1">
      <alignment vertical="center" wrapText="1"/>
    </xf>
    <xf numFmtId="169" fontId="191" fillId="83" borderId="0" xfId="0" applyNumberFormat="1" applyFont="1" applyFill="1" applyAlignment="1">
      <alignment vertical="center"/>
    </xf>
    <xf numFmtId="169" fontId="191" fillId="84" borderId="9" xfId="0" applyNumberFormat="1" applyFont="1" applyFill="1" applyBorder="1" applyAlignment="1">
      <alignment vertical="center" wrapText="1"/>
    </xf>
    <xf numFmtId="169" fontId="191" fillId="83" borderId="3" xfId="0" applyNumberFormat="1" applyFont="1" applyFill="1" applyBorder="1" applyAlignment="1">
      <alignment vertical="center"/>
    </xf>
    <xf numFmtId="169" fontId="193" fillId="83" borderId="0" xfId="0" applyNumberFormat="1" applyFont="1" applyFill="1" applyAlignment="1">
      <alignment vertical="center"/>
    </xf>
    <xf numFmtId="169" fontId="191" fillId="87" borderId="9" xfId="0" applyNumberFormat="1" applyFont="1" applyFill="1" applyBorder="1" applyAlignment="1">
      <alignment vertical="center" wrapText="1"/>
    </xf>
    <xf numFmtId="169" fontId="191" fillId="83" borderId="0" xfId="7" applyNumberFormat="1" applyFont="1" applyFill="1" applyBorder="1" applyAlignment="1">
      <alignment vertical="center"/>
    </xf>
    <xf numFmtId="169" fontId="191" fillId="87" borderId="9" xfId="7" applyNumberFormat="1" applyFont="1" applyFill="1" applyBorder="1" applyAlignment="1">
      <alignment vertical="center" wrapText="1"/>
    </xf>
    <xf numFmtId="170" fontId="191" fillId="87" borderId="129" xfId="0" applyNumberFormat="1" applyFont="1" applyFill="1" applyBorder="1" applyAlignment="1">
      <alignment vertical="center" wrapText="1"/>
    </xf>
    <xf numFmtId="182" fontId="46" fillId="85" borderId="0" xfId="0" applyNumberFormat="1" applyFont="1" applyFill="1" applyAlignment="1">
      <alignment vertical="center" wrapText="1"/>
    </xf>
    <xf numFmtId="215" fontId="191" fillId="87" borderId="129" xfId="0" applyNumberFormat="1" applyFont="1" applyFill="1" applyBorder="1" applyAlignment="1">
      <alignment vertical="center" wrapText="1"/>
    </xf>
    <xf numFmtId="182" fontId="33" fillId="85" borderId="0" xfId="0" applyNumberFormat="1" applyFont="1" applyFill="1" applyAlignment="1">
      <alignment vertical="center" wrapText="1"/>
    </xf>
    <xf numFmtId="181" fontId="191" fillId="87" borderId="0" xfId="0" applyNumberFormat="1" applyFont="1" applyFill="1" applyAlignment="1">
      <alignment vertical="center" wrapText="1"/>
    </xf>
    <xf numFmtId="170" fontId="191" fillId="87" borderId="0" xfId="0" applyNumberFormat="1" applyFont="1" applyFill="1" applyAlignment="1">
      <alignment vertical="center" wrapText="1"/>
    </xf>
    <xf numFmtId="186" fontId="33" fillId="85" borderId="0" xfId="0" applyNumberFormat="1" applyFont="1" applyFill="1" applyAlignment="1">
      <alignment vertical="center" wrapText="1"/>
    </xf>
    <xf numFmtId="169" fontId="191" fillId="87" borderId="0" xfId="0" applyNumberFormat="1" applyFont="1" applyFill="1" applyAlignment="1">
      <alignment vertical="center" wrapText="1"/>
    </xf>
    <xf numFmtId="169" fontId="191" fillId="87" borderId="0" xfId="7" applyNumberFormat="1" applyFont="1" applyFill="1" applyBorder="1" applyAlignment="1">
      <alignment vertical="center" wrapText="1"/>
    </xf>
    <xf numFmtId="0" fontId="191" fillId="75" borderId="138" xfId="0" applyFont="1" applyFill="1" applyBorder="1" applyAlignment="1">
      <alignment horizontal="right" vertical="center"/>
    </xf>
    <xf numFmtId="171" fontId="191" fillId="83" borderId="140" xfId="0" applyNumberFormat="1" applyFont="1" applyFill="1" applyBorder="1" applyAlignment="1">
      <alignment vertical="center"/>
    </xf>
    <xf numFmtId="171" fontId="42" fillId="2" borderId="142" xfId="0" applyNumberFormat="1" applyFont="1" applyFill="1" applyBorder="1" applyAlignment="1">
      <alignment horizontal="right" vertical="center"/>
    </xf>
    <xf numFmtId="215" fontId="191" fillId="83" borderId="140" xfId="0" applyNumberFormat="1" applyFont="1" applyFill="1" applyBorder="1" applyAlignment="1">
      <alignment vertical="center"/>
    </xf>
    <xf numFmtId="177" fontId="11" fillId="2" borderId="142" xfId="0" applyNumberFormat="1" applyFont="1" applyFill="1" applyBorder="1" applyAlignment="1">
      <alignment horizontal="right" vertical="center"/>
    </xf>
    <xf numFmtId="181" fontId="191" fillId="83" borderId="142" xfId="0" applyNumberFormat="1" applyFont="1" applyFill="1" applyBorder="1" applyAlignment="1">
      <alignment vertical="center"/>
    </xf>
    <xf numFmtId="214" fontId="191" fillId="83" borderId="142" xfId="0" applyNumberFormat="1" applyFont="1" applyFill="1" applyBorder="1" applyAlignment="1">
      <alignment vertical="center"/>
    </xf>
    <xf numFmtId="182" fontId="42" fillId="2" borderId="142" xfId="0" applyNumberFormat="1" applyFont="1" applyFill="1" applyBorder="1" applyAlignment="1">
      <alignment horizontal="right" vertical="center"/>
    </xf>
    <xf numFmtId="171" fontId="191" fillId="83" borderId="142" xfId="0" applyNumberFormat="1" applyFont="1" applyFill="1" applyBorder="1" applyAlignment="1">
      <alignment vertical="center"/>
    </xf>
    <xf numFmtId="177" fontId="42" fillId="2" borderId="142" xfId="0" applyNumberFormat="1" applyFont="1" applyFill="1" applyBorder="1" applyAlignment="1">
      <alignment horizontal="right" vertical="center"/>
    </xf>
    <xf numFmtId="169" fontId="191" fillId="83" borderId="142" xfId="0" applyNumberFormat="1" applyFont="1" applyFill="1" applyBorder="1" applyAlignment="1">
      <alignment vertical="center"/>
    </xf>
    <xf numFmtId="169" fontId="191" fillId="83" borderId="142" xfId="7" applyNumberFormat="1" applyFont="1" applyFill="1" applyBorder="1" applyAlignment="1">
      <alignment vertical="center"/>
    </xf>
    <xf numFmtId="219" fontId="30" fillId="78" borderId="0" xfId="0" applyNumberFormat="1" applyFont="1" applyFill="1"/>
    <xf numFmtId="169" fontId="30" fillId="78" borderId="0" xfId="7" applyNumberFormat="1" applyFont="1" applyFill="1"/>
    <xf numFmtId="170" fontId="11" fillId="2" borderId="0" xfId="0" applyNumberFormat="1" applyFont="1" applyFill="1"/>
    <xf numFmtId="169" fontId="11" fillId="2" borderId="0" xfId="7" applyNumberFormat="1" applyFont="1" applyFill="1"/>
    <xf numFmtId="167" fontId="11" fillId="2" borderId="0" xfId="0" applyNumberFormat="1" applyFont="1" applyFill="1"/>
    <xf numFmtId="169" fontId="8" fillId="0" borderId="0" xfId="7" applyNumberFormat="1" applyFont="1" applyAlignment="1">
      <alignment vertical="center"/>
    </xf>
    <xf numFmtId="170" fontId="78" fillId="0" borderId="0" xfId="0" applyNumberFormat="1" applyFont="1" applyAlignment="1">
      <alignment vertical="center"/>
    </xf>
    <xf numFmtId="167" fontId="11" fillId="0" borderId="0" xfId="0" applyNumberFormat="1" applyFont="1"/>
    <xf numFmtId="220" fontId="11" fillId="2" borderId="0" xfId="0" applyNumberFormat="1" applyFont="1" applyFill="1"/>
    <xf numFmtId="0" fontId="3" fillId="0" borderId="0" xfId="0" applyFont="1"/>
    <xf numFmtId="0" fontId="3" fillId="0" borderId="16" xfId="0" applyFont="1" applyBorder="1" applyAlignment="1">
      <alignment vertical="center"/>
    </xf>
    <xf numFmtId="0" fontId="3" fillId="0" borderId="0" xfId="0" applyFont="1" applyAlignment="1">
      <alignment vertical="center"/>
    </xf>
    <xf numFmtId="170" fontId="3" fillId="2" borderId="0" xfId="0" applyNumberFormat="1" applyFont="1" applyFill="1" applyAlignment="1">
      <alignment vertical="center"/>
    </xf>
    <xf numFmtId="0" fontId="3" fillId="0" borderId="17" xfId="0" applyFont="1" applyBorder="1" applyAlignment="1">
      <alignment vertical="center"/>
    </xf>
    <xf numFmtId="0" fontId="3" fillId="0" borderId="53" xfId="0" applyFont="1" applyBorder="1" applyAlignment="1">
      <alignment vertical="center"/>
    </xf>
    <xf numFmtId="170" fontId="3" fillId="2" borderId="53" xfId="0" applyNumberFormat="1" applyFont="1" applyFill="1" applyBorder="1" applyAlignment="1">
      <alignment vertical="center"/>
    </xf>
    <xf numFmtId="3" fontId="3" fillId="2" borderId="0" xfId="0" applyNumberFormat="1" applyFont="1" applyFill="1" applyAlignment="1">
      <alignment vertical="center"/>
    </xf>
    <xf numFmtId="3" fontId="3" fillId="2" borderId="53" xfId="0" applyNumberFormat="1" applyFont="1" applyFill="1" applyBorder="1" applyAlignment="1">
      <alignment vertical="center"/>
    </xf>
    <xf numFmtId="4" fontId="234" fillId="0" borderId="0" xfId="20233" applyNumberFormat="1" applyFont="1" applyAlignment="1">
      <alignment vertical="center"/>
    </xf>
    <xf numFmtId="186" fontId="25" fillId="2" borderId="142" xfId="0" applyNumberFormat="1" applyFont="1" applyFill="1" applyBorder="1" applyAlignment="1">
      <alignment horizontal="right" vertical="center"/>
    </xf>
    <xf numFmtId="0" fontId="219" fillId="0" borderId="132" xfId="0" applyFont="1" applyBorder="1" applyAlignment="1">
      <alignment horizontal="right" vertical="center"/>
    </xf>
    <xf numFmtId="0" fontId="231" fillId="2" borderId="0" xfId="0" applyFont="1" applyFill="1" applyAlignment="1">
      <alignment vertical="center"/>
    </xf>
    <xf numFmtId="184" fontId="49" fillId="0" borderId="0" xfId="0" applyNumberFormat="1" applyFont="1" applyAlignment="1">
      <alignment vertical="center"/>
    </xf>
    <xf numFmtId="170" fontId="171" fillId="80" borderId="101" xfId="0" applyNumberFormat="1" applyFont="1" applyFill="1" applyBorder="1" applyAlignment="1">
      <alignment vertical="center" wrapText="1"/>
    </xf>
    <xf numFmtId="0" fontId="3" fillId="2" borderId="0" xfId="0" applyFont="1" applyFill="1"/>
    <xf numFmtId="0" fontId="3" fillId="2" borderId="0" xfId="0" applyFont="1" applyFill="1" applyAlignment="1">
      <alignment vertical="center" wrapText="1"/>
    </xf>
    <xf numFmtId="169" fontId="3" fillId="0" borderId="0" xfId="0" applyNumberFormat="1" applyFont="1"/>
    <xf numFmtId="170" fontId="3" fillId="0" borderId="0" xfId="0" applyNumberFormat="1" applyFont="1" applyAlignment="1">
      <alignment vertical="center"/>
    </xf>
    <xf numFmtId="169" fontId="3" fillId="0" borderId="0" xfId="0" applyNumberFormat="1" applyFont="1" applyAlignment="1">
      <alignment vertical="center"/>
    </xf>
    <xf numFmtId="0" fontId="3" fillId="2" borderId="0" xfId="0" applyFont="1" applyFill="1" applyAlignment="1">
      <alignment vertical="center"/>
    </xf>
    <xf numFmtId="170" fontId="3" fillId="0" borderId="0" xfId="0" applyNumberFormat="1" applyFont="1"/>
    <xf numFmtId="0" fontId="3" fillId="0" borderId="0" xfId="0" quotePrefix="1" applyFont="1"/>
    <xf numFmtId="182" fontId="11" fillId="0" borderId="0" xfId="0" applyNumberFormat="1" applyFont="1" applyFill="1" applyAlignment="1">
      <alignment vertical="center"/>
    </xf>
    <xf numFmtId="171" fontId="42" fillId="2" borderId="144" xfId="0" applyNumberFormat="1" applyFont="1" applyFill="1" applyBorder="1" applyAlignment="1">
      <alignment horizontal="right" vertical="center"/>
    </xf>
    <xf numFmtId="171" fontId="42" fillId="2" borderId="145" xfId="0" applyNumberFormat="1" applyFont="1" applyFill="1" applyBorder="1" applyAlignment="1">
      <alignment horizontal="right" vertical="center"/>
    </xf>
    <xf numFmtId="171" fontId="42" fillId="2" borderId="0" xfId="0" applyNumberFormat="1" applyFont="1" applyFill="1" applyBorder="1" applyAlignment="1">
      <alignment horizontal="right" vertical="center"/>
    </xf>
    <xf numFmtId="171" fontId="42" fillId="2" borderId="146" xfId="0" applyNumberFormat="1" applyFont="1" applyFill="1" applyBorder="1" applyAlignment="1">
      <alignment horizontal="right" vertical="center"/>
    </xf>
    <xf numFmtId="171" fontId="42" fillId="2" borderId="73" xfId="0" applyNumberFormat="1" applyFont="1" applyFill="1" applyBorder="1" applyAlignment="1">
      <alignment horizontal="right" vertical="center"/>
    </xf>
    <xf numFmtId="0" fontId="193" fillId="75" borderId="0" xfId="0" applyFont="1" applyFill="1" applyAlignment="1">
      <alignment horizontal="right" vertical="center" wrapText="1"/>
    </xf>
    <xf numFmtId="0" fontId="228" fillId="0" borderId="132" xfId="0" applyFont="1" applyBorder="1" applyAlignment="1">
      <alignment horizontal="right" vertical="center"/>
    </xf>
    <xf numFmtId="167" fontId="228" fillId="0" borderId="0" xfId="0" applyNumberFormat="1" applyFont="1" applyAlignment="1">
      <alignment horizontal="right" vertical="center"/>
    </xf>
    <xf numFmtId="170" fontId="229" fillId="0" borderId="0" xfId="0" applyNumberFormat="1" applyFont="1" applyAlignment="1">
      <alignment horizontal="right" vertical="center"/>
    </xf>
    <xf numFmtId="0" fontId="228" fillId="0" borderId="71" xfId="0" applyFont="1" applyBorder="1" applyAlignment="1">
      <alignment horizontal="right" vertical="center"/>
    </xf>
    <xf numFmtId="181" fontId="11" fillId="0" borderId="3" xfId="0" applyNumberFormat="1" applyFont="1" applyBorder="1" applyAlignment="1">
      <alignment vertical="center"/>
    </xf>
    <xf numFmtId="181" fontId="30" fillId="0" borderId="0" xfId="0" applyNumberFormat="1" applyFont="1" applyBorder="1" applyAlignment="1">
      <alignment vertical="center"/>
    </xf>
    <xf numFmtId="181" fontId="32" fillId="0" borderId="3" xfId="0" applyNumberFormat="1" applyFont="1" applyBorder="1" applyAlignment="1">
      <alignment vertical="center"/>
    </xf>
    <xf numFmtId="181" fontId="227" fillId="0" borderId="0" xfId="0" applyNumberFormat="1" applyFont="1" applyBorder="1" applyAlignment="1">
      <alignment vertical="center"/>
    </xf>
    <xf numFmtId="177" fontId="213" fillId="83" borderId="0" xfId="0" applyNumberFormat="1" applyFont="1" applyFill="1" applyBorder="1" applyAlignment="1">
      <alignment vertical="center"/>
    </xf>
    <xf numFmtId="0" fontId="229" fillId="0" borderId="0" xfId="0" applyFont="1" applyFill="1" applyAlignment="1">
      <alignment horizontal="right" vertical="center"/>
    </xf>
    <xf numFmtId="170" fontId="228" fillId="0" borderId="0" xfId="0" applyNumberFormat="1" applyFont="1" applyFill="1" applyAlignment="1">
      <alignment horizontal="right" vertical="center"/>
    </xf>
    <xf numFmtId="181" fontId="227" fillId="0" borderId="0" xfId="0" applyNumberFormat="1" applyFont="1" applyFill="1" applyAlignment="1">
      <alignment vertical="center"/>
    </xf>
    <xf numFmtId="181" fontId="30" fillId="0" borderId="0" xfId="0" applyNumberFormat="1" applyFont="1" applyFill="1" applyAlignment="1">
      <alignment horizontal="right" vertical="center"/>
    </xf>
    <xf numFmtId="181" fontId="227" fillId="0" borderId="0" xfId="0" applyNumberFormat="1" applyFont="1" applyFill="1" applyAlignment="1">
      <alignment horizontal="right" vertical="center"/>
    </xf>
    <xf numFmtId="170" fontId="49" fillId="0" borderId="0" xfId="0" applyNumberFormat="1" applyFont="1" applyFill="1" applyAlignment="1">
      <alignment vertical="center"/>
    </xf>
    <xf numFmtId="170" fontId="49" fillId="0" borderId="0" xfId="0" applyNumberFormat="1" applyFont="1" applyFill="1" applyAlignment="1">
      <alignment horizontal="right" vertical="center"/>
    </xf>
    <xf numFmtId="170" fontId="186" fillId="0" borderId="0" xfId="0" applyNumberFormat="1" applyFont="1"/>
    <xf numFmtId="3" fontId="2" fillId="2" borderId="0" xfId="0" applyNumberFormat="1" applyFont="1" applyFill="1" applyAlignment="1">
      <alignment vertical="center"/>
    </xf>
    <xf numFmtId="181" fontId="11" fillId="2" borderId="142" xfId="0" applyNumberFormat="1" applyFont="1" applyFill="1" applyBorder="1" applyAlignment="1">
      <alignment horizontal="right" vertical="center"/>
    </xf>
    <xf numFmtId="170" fontId="220" fillId="86" borderId="0" xfId="29659" applyNumberFormat="1" applyFont="1" applyFill="1" applyBorder="1" applyAlignment="1">
      <alignment horizontal="right" vertical="center" wrapText="1"/>
    </xf>
    <xf numFmtId="4" fontId="19" fillId="0" borderId="0" xfId="20233" applyNumberFormat="1" applyFont="1" applyAlignment="1">
      <alignment horizontal="right" vertical="center" wrapText="1"/>
    </xf>
    <xf numFmtId="169" fontId="19" fillId="0" borderId="0" xfId="7" applyNumberFormat="1" applyFont="1" applyAlignment="1">
      <alignment horizontal="right" vertical="center" wrapText="1"/>
    </xf>
    <xf numFmtId="3" fontId="220" fillId="86" borderId="0" xfId="29659" applyNumberFormat="1" applyFont="1" applyFill="1" applyBorder="1" applyAlignment="1">
      <alignment horizontal="right" vertical="center" wrapText="1"/>
    </xf>
    <xf numFmtId="3" fontId="8" fillId="0" borderId="0" xfId="42855" applyNumberFormat="1" applyFont="1" applyFill="1" applyBorder="1" applyAlignment="1">
      <alignment vertical="center"/>
    </xf>
    <xf numFmtId="0" fontId="11" fillId="2" borderId="0" xfId="0" applyFont="1" applyFill="1" applyAlignment="1">
      <alignment horizontal="left" vertical="center" wrapText="1"/>
    </xf>
    <xf numFmtId="2" fontId="62" fillId="0" borderId="0" xfId="0" applyNumberFormat="1" applyFont="1"/>
    <xf numFmtId="167" fontId="228" fillId="0" borderId="132" xfId="0" applyNumberFormat="1" applyFont="1" applyBorder="1" applyAlignment="1">
      <alignment horizontal="right" vertical="center"/>
    </xf>
    <xf numFmtId="169" fontId="11" fillId="0" borderId="0" xfId="7" applyNumberFormat="1" applyFont="1" applyAlignment="1">
      <alignment vertical="center"/>
    </xf>
    <xf numFmtId="0" fontId="32" fillId="0" borderId="3" xfId="0" applyFont="1" applyBorder="1" applyAlignment="1">
      <alignment horizontal="left" vertical="center" wrapText="1" indent="1"/>
    </xf>
    <xf numFmtId="177" fontId="32" fillId="0" borderId="0" xfId="0" applyNumberFormat="1" applyFont="1" applyAlignment="1">
      <alignment horizontal="right" vertical="center"/>
    </xf>
    <xf numFmtId="182" fontId="189" fillId="80" borderId="9" xfId="0" applyNumberFormat="1" applyFont="1" applyFill="1" applyBorder="1" applyAlignment="1">
      <alignment vertical="center" wrapText="1"/>
    </xf>
    <xf numFmtId="177" fontId="32" fillId="0" borderId="3" xfId="0" applyNumberFormat="1" applyFont="1" applyBorder="1" applyAlignment="1">
      <alignment horizontal="right" vertical="center"/>
    </xf>
    <xf numFmtId="176" fontId="235" fillId="0" borderId="0" xfId="0" applyNumberFormat="1" applyFont="1" applyAlignment="1">
      <alignment horizontal="right" vertical="center"/>
    </xf>
    <xf numFmtId="177" fontId="32" fillId="2" borderId="0" xfId="0" applyNumberFormat="1" applyFont="1" applyFill="1" applyAlignment="1">
      <alignment horizontal="right" vertical="center"/>
    </xf>
    <xf numFmtId="177" fontId="236" fillId="2" borderId="0" xfId="0" applyNumberFormat="1" applyFont="1" applyFill="1" applyAlignment="1">
      <alignment horizontal="right" vertical="center"/>
    </xf>
    <xf numFmtId="185" fontId="32" fillId="0" borderId="0" xfId="0" applyNumberFormat="1" applyFont="1"/>
    <xf numFmtId="177" fontId="32" fillId="2" borderId="3" xfId="0" applyNumberFormat="1" applyFont="1" applyFill="1" applyBorder="1" applyAlignment="1">
      <alignment horizontal="right" vertical="center"/>
    </xf>
    <xf numFmtId="182" fontId="237" fillId="85" borderId="9" xfId="0" applyNumberFormat="1" applyFont="1" applyFill="1" applyBorder="1" applyAlignment="1">
      <alignment vertical="center" wrapText="1"/>
    </xf>
    <xf numFmtId="182" fontId="238" fillId="85" borderId="9" xfId="0" applyNumberFormat="1" applyFont="1" applyFill="1" applyBorder="1" applyAlignment="1">
      <alignment vertical="center" wrapText="1"/>
    </xf>
    <xf numFmtId="182" fontId="238" fillId="85" borderId="0" xfId="0" applyNumberFormat="1" applyFont="1" applyFill="1" applyAlignment="1">
      <alignment vertical="center" wrapText="1"/>
    </xf>
    <xf numFmtId="177" fontId="32" fillId="2" borderId="142" xfId="0" applyNumberFormat="1" applyFont="1" applyFill="1" applyBorder="1" applyAlignment="1">
      <alignment horizontal="right" vertical="center"/>
    </xf>
    <xf numFmtId="219" fontId="227" fillId="78" borderId="0" xfId="0" applyNumberFormat="1" applyFont="1" applyFill="1"/>
    <xf numFmtId="0" fontId="215" fillId="78" borderId="0" xfId="0" applyFont="1" applyFill="1"/>
    <xf numFmtId="0" fontId="32" fillId="0" borderId="0" xfId="0" applyFont="1"/>
    <xf numFmtId="177" fontId="227" fillId="0" borderId="0" xfId="0" applyNumberFormat="1" applyFont="1" applyAlignment="1">
      <alignment horizontal="right" vertical="center"/>
    </xf>
    <xf numFmtId="177" fontId="227" fillId="2" borderId="0" xfId="0" applyNumberFormat="1" applyFont="1" applyFill="1" applyAlignment="1">
      <alignment horizontal="right" vertical="center"/>
    </xf>
    <xf numFmtId="177" fontId="233" fillId="2" borderId="0" xfId="0" applyNumberFormat="1" applyFont="1" applyFill="1" applyAlignment="1">
      <alignment horizontal="right" vertical="center"/>
    </xf>
    <xf numFmtId="182" fontId="237" fillId="85" borderId="0" xfId="0" applyNumberFormat="1" applyFont="1" applyFill="1" applyAlignment="1">
      <alignment vertical="center" wrapText="1"/>
    </xf>
    <xf numFmtId="221" fontId="191" fillId="83" borderId="142" xfId="0" applyNumberFormat="1" applyFont="1" applyFill="1" applyBorder="1" applyAlignment="1">
      <alignment vertical="center"/>
    </xf>
    <xf numFmtId="170" fontId="49" fillId="2" borderId="0" xfId="0" applyNumberFormat="1" applyFont="1" applyFill="1"/>
    <xf numFmtId="10" fontId="49" fillId="2" borderId="0" xfId="7" applyNumberFormat="1" applyFont="1" applyFill="1"/>
    <xf numFmtId="222" fontId="30" fillId="78" borderId="0" xfId="0" applyNumberFormat="1" applyFont="1" applyFill="1"/>
    <xf numFmtId="222" fontId="209" fillId="78" borderId="0" xfId="0" applyNumberFormat="1" applyFont="1" applyFill="1"/>
    <xf numFmtId="181" fontId="11" fillId="0" borderId="0" xfId="0" applyNumberFormat="1" applyFont="1" applyFill="1" applyAlignment="1">
      <alignment vertical="center"/>
    </xf>
    <xf numFmtId="170" fontId="229" fillId="0" borderId="0" xfId="0" applyNumberFormat="1" applyFont="1" applyFill="1" applyAlignment="1">
      <alignment horizontal="right" vertical="center"/>
    </xf>
    <xf numFmtId="171" fontId="11" fillId="0" borderId="0" xfId="0" applyNumberFormat="1" applyFont="1" applyFill="1" applyAlignment="1">
      <alignment horizontal="right" vertical="center"/>
    </xf>
    <xf numFmtId="177" fontId="11" fillId="0" borderId="0" xfId="0" applyNumberFormat="1" applyFont="1" applyFill="1" applyAlignment="1">
      <alignment horizontal="right" vertical="center"/>
    </xf>
    <xf numFmtId="167" fontId="229" fillId="0" borderId="0" xfId="0" applyNumberFormat="1" applyFont="1" applyFill="1" applyAlignment="1">
      <alignment horizontal="right" vertical="center"/>
    </xf>
    <xf numFmtId="0" fontId="11" fillId="0" borderId="3" xfId="0" applyFont="1" applyFill="1" applyBorder="1" applyAlignment="1">
      <alignment vertical="center" wrapText="1"/>
    </xf>
    <xf numFmtId="0" fontId="11" fillId="0" borderId="102" xfId="0" applyFont="1" applyFill="1" applyBorder="1" applyAlignment="1">
      <alignment vertical="center" wrapText="1"/>
    </xf>
    <xf numFmtId="183" fontId="11" fillId="0" borderId="0" xfId="0" applyNumberFormat="1" applyFont="1" applyFill="1" applyAlignment="1">
      <alignment vertical="center"/>
    </xf>
    <xf numFmtId="183" fontId="11" fillId="0" borderId="99" xfId="0" applyNumberFormat="1" applyFont="1" applyFill="1" applyBorder="1" applyAlignment="1">
      <alignment vertical="center"/>
    </xf>
    <xf numFmtId="183" fontId="11" fillId="0" borderId="94" xfId="0" applyNumberFormat="1" applyFont="1" applyFill="1" applyBorder="1" applyAlignment="1">
      <alignment vertical="center"/>
    </xf>
    <xf numFmtId="182" fontId="11" fillId="0" borderId="99" xfId="0" applyNumberFormat="1" applyFont="1" applyFill="1" applyBorder="1" applyAlignment="1">
      <alignment vertical="center"/>
    </xf>
    <xf numFmtId="182" fontId="11" fillId="0" borderId="94" xfId="0" applyNumberFormat="1" applyFont="1" applyFill="1" applyBorder="1" applyAlignment="1">
      <alignment vertical="center"/>
    </xf>
    <xf numFmtId="182" fontId="24" fillId="0" borderId="0" xfId="0" applyNumberFormat="1" applyFont="1" applyFill="1" applyAlignment="1">
      <alignment horizontal="right" vertical="center"/>
    </xf>
    <xf numFmtId="182" fontId="24" fillId="0" borderId="99" xfId="0" applyNumberFormat="1" applyFont="1" applyFill="1" applyBorder="1" applyAlignment="1">
      <alignment horizontal="right" vertical="center"/>
    </xf>
    <xf numFmtId="182" fontId="24" fillId="0" borderId="94" xfId="0" applyNumberFormat="1" applyFont="1" applyFill="1" applyBorder="1" applyAlignment="1">
      <alignment horizontal="right" vertical="center"/>
    </xf>
    <xf numFmtId="182" fontId="11" fillId="0" borderId="94" xfId="0" applyNumberFormat="1" applyFont="1" applyFill="1" applyBorder="1" applyAlignment="1">
      <alignment horizontal="right" vertical="center"/>
    </xf>
    <xf numFmtId="0" fontId="11" fillId="0" borderId="0" xfId="0" applyFont="1" applyFill="1" applyAlignment="1">
      <alignment vertical="center"/>
    </xf>
    <xf numFmtId="170" fontId="14" fillId="2" borderId="66" xfId="0" applyNumberFormat="1" applyFont="1" applyFill="1" applyBorder="1" applyAlignment="1">
      <alignment horizontal="right" vertical="center"/>
    </xf>
    <xf numFmtId="0" fontId="78" fillId="0" borderId="0" xfId="0" applyFont="1"/>
    <xf numFmtId="0" fontId="1" fillId="2" borderId="92" xfId="0" applyFont="1" applyFill="1" applyBorder="1" applyAlignment="1">
      <alignment horizontal="left" vertical="center" wrapText="1" indent="4"/>
    </xf>
    <xf numFmtId="0" fontId="1" fillId="2" borderId="102" xfId="0" applyFont="1" applyFill="1" applyBorder="1" applyAlignment="1">
      <alignment horizontal="left" vertical="center" wrapText="1" indent="3"/>
    </xf>
    <xf numFmtId="170" fontId="1" fillId="2" borderId="0" xfId="0" applyNumberFormat="1" applyFont="1" applyFill="1" applyAlignment="1">
      <alignment vertical="center"/>
    </xf>
    <xf numFmtId="170" fontId="48" fillId="2" borderId="0" xfId="0" applyNumberFormat="1" applyFont="1" applyFill="1" applyAlignment="1">
      <alignment vertical="center"/>
    </xf>
    <xf numFmtId="170" fontId="44" fillId="80" borderId="94" xfId="0" applyNumberFormat="1" applyFont="1" applyFill="1" applyBorder="1" applyAlignment="1">
      <alignment vertical="center" wrapText="1"/>
    </xf>
    <xf numFmtId="0" fontId="1" fillId="2" borderId="0" xfId="0" applyFont="1" applyFill="1" applyAlignment="1">
      <alignment vertical="center"/>
    </xf>
    <xf numFmtId="0" fontId="1" fillId="0" borderId="0" xfId="0" applyFont="1" applyAlignment="1">
      <alignment vertical="center"/>
    </xf>
    <xf numFmtId="170" fontId="1" fillId="2" borderId="0" xfId="0" applyNumberFormat="1" applyFont="1" applyFill="1" applyAlignment="1">
      <alignment horizontal="right" vertical="center"/>
    </xf>
    <xf numFmtId="170" fontId="48" fillId="2" borderId="0" xfId="0" applyNumberFormat="1" applyFont="1" applyFill="1" applyAlignment="1">
      <alignment horizontal="right" vertical="center"/>
    </xf>
    <xf numFmtId="170" fontId="14" fillId="2" borderId="0" xfId="0" applyNumberFormat="1" applyFont="1" applyFill="1" applyAlignment="1">
      <alignment vertical="center"/>
    </xf>
    <xf numFmtId="9" fontId="26" fillId="2" borderId="0" xfId="7" applyFont="1" applyFill="1" applyAlignment="1">
      <alignment vertical="center"/>
    </xf>
    <xf numFmtId="0" fontId="31" fillId="0" borderId="16" xfId="0" applyFont="1" applyFill="1" applyBorder="1" applyAlignment="1">
      <alignment horizontal="left" vertical="center" indent="3"/>
    </xf>
    <xf numFmtId="0" fontId="191" fillId="79" borderId="139" xfId="0" applyFont="1" applyFill="1" applyBorder="1" applyAlignment="1">
      <alignment horizontal="right" vertical="center"/>
    </xf>
    <xf numFmtId="170" fontId="191" fillId="87" borderId="141" xfId="0" applyNumberFormat="1" applyFont="1" applyFill="1" applyBorder="1" applyAlignment="1">
      <alignment vertical="center" wrapText="1"/>
    </xf>
    <xf numFmtId="182" fontId="46" fillId="85" borderId="143" xfId="0" applyNumberFormat="1" applyFont="1" applyFill="1" applyBorder="1" applyAlignment="1">
      <alignment vertical="center" wrapText="1"/>
    </xf>
    <xf numFmtId="215" fontId="191" fillId="87" borderId="141" xfId="0" applyNumberFormat="1" applyFont="1" applyFill="1" applyBorder="1" applyAlignment="1">
      <alignment vertical="center" wrapText="1"/>
    </xf>
    <xf numFmtId="182" fontId="33" fillId="85" borderId="143" xfId="0" applyNumberFormat="1" applyFont="1" applyFill="1" applyBorder="1" applyAlignment="1">
      <alignment vertical="center" wrapText="1"/>
    </xf>
    <xf numFmtId="182" fontId="237" fillId="85" borderId="143" xfId="0" applyNumberFormat="1" applyFont="1" applyFill="1" applyBorder="1" applyAlignment="1">
      <alignment vertical="center" wrapText="1"/>
    </xf>
    <xf numFmtId="181" fontId="191" fillId="87" borderId="143" xfId="0" applyNumberFormat="1" applyFont="1" applyFill="1" applyBorder="1" applyAlignment="1">
      <alignment vertical="center" wrapText="1"/>
    </xf>
    <xf numFmtId="170" fontId="191" fillId="87" borderId="143" xfId="0" applyNumberFormat="1" applyFont="1" applyFill="1" applyBorder="1" applyAlignment="1">
      <alignment vertical="center" wrapText="1"/>
    </xf>
    <xf numFmtId="186" fontId="33" fillId="85" borderId="143" xfId="0" applyNumberFormat="1" applyFont="1" applyFill="1" applyBorder="1" applyAlignment="1">
      <alignment vertical="center" wrapText="1"/>
    </xf>
    <xf numFmtId="169" fontId="191" fillId="87" borderId="143" xfId="0" applyNumberFormat="1" applyFont="1" applyFill="1" applyBorder="1" applyAlignment="1">
      <alignment vertical="center" wrapText="1"/>
    </xf>
    <xf numFmtId="169" fontId="191" fillId="87" borderId="143" xfId="7" applyNumberFormat="1" applyFont="1" applyFill="1" applyBorder="1" applyAlignment="1">
      <alignment vertical="center" wrapText="1"/>
    </xf>
    <xf numFmtId="216" fontId="222" fillId="0" borderId="108" xfId="42855" applyNumberFormat="1" applyFont="1" applyFill="1" applyBorder="1" applyAlignment="1">
      <alignment vertical="center"/>
    </xf>
    <xf numFmtId="216" fontId="222" fillId="0" borderId="0" xfId="42855" applyNumberFormat="1" applyFont="1" applyFill="1" applyBorder="1" applyAlignment="1">
      <alignment vertical="center"/>
    </xf>
    <xf numFmtId="3" fontId="222" fillId="0" borderId="0" xfId="42855" applyNumberFormat="1" applyFont="1" applyFill="1" applyBorder="1" applyAlignment="1">
      <alignment vertical="center"/>
    </xf>
    <xf numFmtId="173" fontId="11" fillId="0" borderId="9" xfId="0" applyNumberFormat="1" applyFont="1" applyFill="1" applyBorder="1" applyAlignment="1">
      <alignment horizontal="right" vertical="center"/>
    </xf>
    <xf numFmtId="0" fontId="201" fillId="0" borderId="0" xfId="0" applyFont="1" applyBorder="1"/>
    <xf numFmtId="0" fontId="26" fillId="2" borderId="0" xfId="7" applyNumberFormat="1" applyFont="1" applyFill="1" applyAlignment="1">
      <alignment vertical="center"/>
    </xf>
    <xf numFmtId="170" fontId="26" fillId="2" borderId="0" xfId="7" applyNumberFormat="1" applyFont="1" applyFill="1" applyAlignment="1">
      <alignment vertical="center"/>
    </xf>
    <xf numFmtId="9" fontId="42" fillId="2" borderId="0" xfId="7" applyFont="1" applyFill="1" applyAlignment="1">
      <alignment vertical="center"/>
    </xf>
    <xf numFmtId="169" fontId="11" fillId="0" borderId="0" xfId="7" applyNumberFormat="1" applyFont="1" applyAlignment="1">
      <alignment horizontal="right" vertical="center"/>
    </xf>
    <xf numFmtId="0" fontId="8" fillId="0" borderId="0" xfId="7" applyNumberFormat="1" applyFont="1" applyAlignment="1">
      <alignment vertical="center"/>
    </xf>
    <xf numFmtId="177" fontId="186" fillId="0" borderId="67" xfId="0" applyNumberFormat="1" applyFont="1" applyFill="1" applyBorder="1" applyAlignment="1">
      <alignment vertical="center"/>
    </xf>
    <xf numFmtId="170" fontId="228" fillId="0" borderId="0" xfId="0" applyNumberFormat="1" applyFont="1" applyBorder="1" applyAlignment="1">
      <alignment horizontal="right" vertical="center"/>
    </xf>
    <xf numFmtId="0" fontId="11" fillId="2" borderId="0" xfId="0" applyFont="1" applyFill="1" applyAlignment="1">
      <alignment horizontal="left" vertical="center" wrapText="1"/>
    </xf>
    <xf numFmtId="170" fontId="219" fillId="0" borderId="0" xfId="0" applyNumberFormat="1" applyFont="1" applyBorder="1" applyAlignment="1">
      <alignment horizontal="right" vertical="center" wrapText="1"/>
    </xf>
    <xf numFmtId="173" fontId="32" fillId="0" borderId="9" xfId="0" applyNumberFormat="1" applyFont="1" applyFill="1" applyBorder="1" applyAlignment="1">
      <alignment horizontal="right" vertical="center"/>
    </xf>
    <xf numFmtId="181" fontId="32" fillId="0" borderId="0" xfId="0" applyNumberFormat="1" applyFont="1" applyFill="1" applyAlignment="1">
      <alignment vertical="center"/>
    </xf>
    <xf numFmtId="4" fontId="11" fillId="0" borderId="0" xfId="0" applyNumberFormat="1" applyFont="1" applyAlignment="1">
      <alignment vertical="center"/>
    </xf>
    <xf numFmtId="181" fontId="11" fillId="0" borderId="9" xfId="0" applyNumberFormat="1" applyFont="1" applyFill="1" applyBorder="1" applyAlignment="1">
      <alignment horizontal="right" vertical="center"/>
    </xf>
    <xf numFmtId="170" fontId="19" fillId="2" borderId="106" xfId="20233" applyNumberFormat="1" applyFont="1" applyFill="1" applyBorder="1" applyAlignment="1">
      <alignment horizontal="right" vertical="center" wrapText="1"/>
    </xf>
    <xf numFmtId="170" fontId="23" fillId="2" borderId="0" xfId="0" applyNumberFormat="1" applyFont="1" applyFill="1" applyAlignment="1">
      <alignment vertical="center"/>
    </xf>
    <xf numFmtId="9" fontId="242" fillId="0" borderId="0" xfId="7" applyFont="1" applyAlignment="1">
      <alignment vertical="center"/>
    </xf>
    <xf numFmtId="170" fontId="19" fillId="0" borderId="110" xfId="20233" applyNumberFormat="1" applyFont="1" applyFill="1" applyBorder="1" applyAlignment="1">
      <alignment horizontal="right" vertical="center" wrapText="1"/>
    </xf>
    <xf numFmtId="173" fontId="30" fillId="0" borderId="9" xfId="0" applyNumberFormat="1" applyFont="1" applyFill="1" applyBorder="1" applyAlignment="1">
      <alignment horizontal="right" vertical="center"/>
    </xf>
    <xf numFmtId="173" fontId="227" fillId="0" borderId="9" xfId="0" applyNumberFormat="1" applyFont="1" applyFill="1" applyBorder="1" applyAlignment="1">
      <alignment vertical="center"/>
    </xf>
    <xf numFmtId="181" fontId="30" fillId="0" borderId="9" xfId="0" applyNumberFormat="1" applyFont="1" applyFill="1" applyBorder="1" applyAlignment="1">
      <alignment vertical="center"/>
    </xf>
    <xf numFmtId="177" fontId="171" fillId="0" borderId="67" xfId="0" applyNumberFormat="1" applyFont="1" applyFill="1" applyBorder="1" applyAlignment="1">
      <alignment vertical="center"/>
    </xf>
    <xf numFmtId="182" fontId="30" fillId="0" borderId="9" xfId="0" applyNumberFormat="1" applyFont="1" applyFill="1" applyBorder="1" applyAlignment="1">
      <alignment vertical="center"/>
    </xf>
    <xf numFmtId="181" fontId="227" fillId="0" borderId="9" xfId="0" applyNumberFormat="1" applyFont="1" applyFill="1" applyBorder="1" applyAlignment="1">
      <alignment vertical="center"/>
    </xf>
    <xf numFmtId="182" fontId="11" fillId="0" borderId="9" xfId="0" applyNumberFormat="1" applyFont="1" applyFill="1" applyBorder="1" applyAlignment="1">
      <alignment vertical="center"/>
    </xf>
    <xf numFmtId="182" fontId="32" fillId="0" borderId="9" xfId="0" applyNumberFormat="1" applyFont="1" applyFill="1" applyBorder="1" applyAlignment="1">
      <alignment vertical="center"/>
    </xf>
    <xf numFmtId="182" fontId="24" fillId="0" borderId="9" xfId="0" applyNumberFormat="1" applyFont="1" applyFill="1" applyBorder="1" applyAlignment="1">
      <alignment horizontal="right" vertical="center"/>
    </xf>
    <xf numFmtId="182" fontId="30" fillId="0" borderId="94" xfId="0" applyNumberFormat="1" applyFont="1" applyFill="1" applyBorder="1" applyAlignment="1">
      <alignment vertical="center"/>
    </xf>
    <xf numFmtId="223" fontId="176" fillId="80" borderId="94" xfId="0" applyNumberFormat="1" applyFont="1" applyFill="1" applyBorder="1" applyAlignment="1">
      <alignment vertical="center" wrapText="1"/>
    </xf>
    <xf numFmtId="182" fontId="33" fillId="0" borderId="101" xfId="0" applyNumberFormat="1" applyFont="1" applyFill="1" applyBorder="1" applyAlignment="1">
      <alignment vertical="center"/>
    </xf>
    <xf numFmtId="169" fontId="30" fillId="78" borderId="0" xfId="7" applyNumberFormat="1" applyFont="1" applyFill="1" applyAlignment="1">
      <alignment vertical="center"/>
    </xf>
    <xf numFmtId="219" fontId="30" fillId="78" borderId="0" xfId="0" applyNumberFormat="1" applyFont="1" applyFill="1" applyBorder="1"/>
    <xf numFmtId="0" fontId="209" fillId="78" borderId="0" xfId="0" applyFont="1" applyFill="1" applyBorder="1"/>
    <xf numFmtId="2" fontId="230" fillId="0" borderId="0" xfId="0" applyNumberFormat="1" applyFont="1" applyBorder="1" applyAlignment="1">
      <alignment horizontal="right" vertical="center" wrapText="1"/>
    </xf>
    <xf numFmtId="0" fontId="230" fillId="0" borderId="0" xfId="0" applyFont="1" applyBorder="1" applyAlignment="1">
      <alignment horizontal="right" vertical="center" wrapText="1"/>
    </xf>
    <xf numFmtId="0" fontId="11" fillId="0" borderId="0" xfId="0" applyFont="1" applyBorder="1"/>
    <xf numFmtId="0" fontId="30" fillId="0" borderId="0" xfId="0" applyFont="1" applyBorder="1"/>
    <xf numFmtId="0" fontId="243" fillId="0" borderId="0" xfId="0" applyFont="1" applyBorder="1" applyAlignment="1">
      <alignment vertical="center"/>
    </xf>
    <xf numFmtId="0" fontId="11" fillId="0" borderId="0" xfId="0" applyFont="1" applyFill="1" applyAlignment="1">
      <alignment vertical="center" wrapText="1"/>
    </xf>
    <xf numFmtId="170" fontId="242" fillId="2" borderId="0" xfId="0" applyNumberFormat="1" applyFont="1" applyFill="1" applyAlignment="1">
      <alignment vertical="center"/>
    </xf>
    <xf numFmtId="9" fontId="244" fillId="2" borderId="0" xfId="7" applyFont="1" applyFill="1" applyAlignment="1">
      <alignment vertical="center"/>
    </xf>
    <xf numFmtId="0" fontId="242" fillId="2" borderId="0" xfId="0" applyFont="1" applyFill="1" applyAlignment="1">
      <alignment vertical="center"/>
    </xf>
    <xf numFmtId="4" fontId="219" fillId="0" borderId="0" xfId="0" applyNumberFormat="1" applyFont="1" applyBorder="1" applyAlignment="1">
      <alignment horizontal="right" vertical="center" wrapText="1"/>
    </xf>
    <xf numFmtId="177" fontId="32" fillId="0" borderId="0" xfId="0" applyNumberFormat="1" applyFont="1" applyFill="1" applyAlignment="1">
      <alignment horizontal="right" vertical="center"/>
    </xf>
    <xf numFmtId="177" fontId="227" fillId="0" borderId="0" xfId="0" applyNumberFormat="1" applyFont="1" applyFill="1" applyAlignment="1">
      <alignment horizontal="right" vertical="center"/>
    </xf>
    <xf numFmtId="0" fontId="11" fillId="0" borderId="70" xfId="0" applyFont="1" applyBorder="1" applyAlignment="1">
      <alignment vertical="center"/>
    </xf>
    <xf numFmtId="0" fontId="11" fillId="0" borderId="0" xfId="0" applyFont="1" applyFill="1" applyBorder="1" applyAlignment="1">
      <alignment vertical="center"/>
    </xf>
    <xf numFmtId="4" fontId="11" fillId="0" borderId="0" xfId="0" applyNumberFormat="1" applyFont="1" applyFill="1" applyBorder="1" applyAlignment="1">
      <alignment vertical="center"/>
    </xf>
    <xf numFmtId="0" fontId="240" fillId="0" borderId="0" xfId="0" applyFont="1" applyFill="1" applyBorder="1" applyAlignment="1">
      <alignment vertical="center"/>
    </xf>
    <xf numFmtId="0" fontId="240" fillId="0" borderId="0" xfId="0" applyFont="1" applyFill="1" applyBorder="1" applyAlignment="1">
      <alignment horizontal="center" vertical="center" wrapText="1"/>
    </xf>
    <xf numFmtId="0" fontId="240" fillId="0" borderId="0" xfId="0" applyFont="1" applyFill="1" applyBorder="1" applyAlignment="1">
      <alignment horizontal="right" vertical="center"/>
    </xf>
    <xf numFmtId="4" fontId="241" fillId="0" borderId="0" xfId="0" applyNumberFormat="1" applyFont="1" applyFill="1" applyBorder="1" applyAlignment="1">
      <alignment horizontal="right" vertical="center"/>
    </xf>
    <xf numFmtId="0" fontId="219" fillId="0" borderId="0" xfId="0" applyFont="1" applyFill="1" applyBorder="1" applyAlignment="1">
      <alignment vertical="center"/>
    </xf>
    <xf numFmtId="0" fontId="219" fillId="0" borderId="0" xfId="0" applyFont="1" applyFill="1" applyBorder="1" applyAlignment="1">
      <alignment horizontal="center" vertical="center" wrapText="1"/>
    </xf>
    <xf numFmtId="0" fontId="219" fillId="0" borderId="0" xfId="0" applyFont="1" applyFill="1" applyBorder="1" applyAlignment="1">
      <alignment horizontal="right" vertical="center"/>
    </xf>
    <xf numFmtId="0" fontId="241" fillId="0" borderId="0" xfId="0" applyFont="1" applyFill="1" applyBorder="1" applyAlignment="1">
      <alignment horizontal="right" vertical="center"/>
    </xf>
    <xf numFmtId="0" fontId="219" fillId="0" borderId="0" xfId="0" applyFont="1" applyFill="1" applyBorder="1" applyAlignment="1">
      <alignment vertical="center" wrapText="1"/>
    </xf>
    <xf numFmtId="170" fontId="11" fillId="0" borderId="0" xfId="0" applyNumberFormat="1" applyFont="1" applyFill="1" applyBorder="1" applyAlignment="1">
      <alignment vertical="center"/>
    </xf>
    <xf numFmtId="169" fontId="11" fillId="0" borderId="0" xfId="7" applyNumberFormat="1" applyFont="1" applyFill="1" applyBorder="1" applyAlignment="1">
      <alignment vertical="center"/>
    </xf>
    <xf numFmtId="167" fontId="78" fillId="0" borderId="0" xfId="0" applyNumberFormat="1" applyFont="1" applyFill="1" applyBorder="1" applyAlignment="1">
      <alignment vertical="center"/>
    </xf>
    <xf numFmtId="0" fontId="78" fillId="0" borderId="0" xfId="0" applyFont="1" applyFill="1" applyBorder="1" applyAlignment="1">
      <alignment vertical="center"/>
    </xf>
    <xf numFmtId="169" fontId="78" fillId="0" borderId="0" xfId="7" applyNumberFormat="1" applyFont="1" applyFill="1" applyBorder="1" applyAlignment="1">
      <alignment vertical="center"/>
    </xf>
    <xf numFmtId="0" fontId="30" fillId="0" borderId="0" xfId="0" applyFont="1" applyFill="1" applyBorder="1" applyAlignment="1">
      <alignment vertical="center"/>
    </xf>
    <xf numFmtId="1" fontId="74" fillId="0" borderId="0" xfId="29" applyFill="1" applyBorder="1"/>
    <xf numFmtId="170" fontId="78" fillId="0" borderId="0" xfId="0" applyNumberFormat="1" applyFont="1" applyFill="1" applyBorder="1" applyAlignment="1">
      <alignment vertical="center"/>
    </xf>
    <xf numFmtId="0" fontId="11" fillId="2" borderId="0" xfId="0" applyFont="1" applyFill="1" applyAlignment="1">
      <alignment horizontal="left" vertical="center" wrapText="1"/>
    </xf>
    <xf numFmtId="0" fontId="190" fillId="75" borderId="77" xfId="0" applyFont="1" applyFill="1" applyBorder="1" applyAlignment="1">
      <alignment horizontal="center" vertical="center" wrapText="1"/>
    </xf>
    <xf numFmtId="0" fontId="190" fillId="75" borderId="69" xfId="0" applyFont="1" applyFill="1" applyBorder="1" applyAlignment="1">
      <alignment horizontal="center" vertical="center" wrapText="1"/>
    </xf>
    <xf numFmtId="0" fontId="190" fillId="75" borderId="78" xfId="0" applyFont="1" applyFill="1" applyBorder="1" applyAlignment="1">
      <alignment horizontal="center" vertical="center" wrapText="1"/>
    </xf>
    <xf numFmtId="0" fontId="190" fillId="75" borderId="137" xfId="0" applyFont="1" applyFill="1" applyBorder="1" applyAlignment="1">
      <alignment horizontal="center" vertical="center" wrapText="1"/>
    </xf>
    <xf numFmtId="0" fontId="190" fillId="75" borderId="147" xfId="0" applyFont="1" applyFill="1" applyBorder="1" applyAlignment="1">
      <alignment horizontal="center" vertical="center" wrapText="1"/>
    </xf>
    <xf numFmtId="0" fontId="11" fillId="0" borderId="0" xfId="0" applyFont="1" applyAlignment="1">
      <alignment horizontal="left" vertical="center" wrapText="1"/>
    </xf>
    <xf numFmtId="0" fontId="193" fillId="75" borderId="74" xfId="0" applyFont="1" applyFill="1" applyBorder="1" applyAlignment="1">
      <alignment horizontal="center" vertical="center" wrapText="1"/>
    </xf>
    <xf numFmtId="0" fontId="193" fillId="75" borderId="68" xfId="0" applyFont="1" applyFill="1" applyBorder="1" applyAlignment="1">
      <alignment horizontal="center" vertical="center"/>
    </xf>
    <xf numFmtId="0" fontId="193" fillId="75" borderId="76" xfId="0" applyFont="1" applyFill="1" applyBorder="1" applyAlignment="1">
      <alignment horizontal="center" vertical="center"/>
    </xf>
    <xf numFmtId="0" fontId="193" fillId="75" borderId="68" xfId="0" applyFont="1" applyFill="1" applyBorder="1" applyAlignment="1">
      <alignment horizontal="center" vertical="center" wrapText="1"/>
    </xf>
    <xf numFmtId="0" fontId="193" fillId="75" borderId="76" xfId="0" applyFont="1" applyFill="1" applyBorder="1" applyAlignment="1">
      <alignment horizontal="center" vertical="center" wrapText="1"/>
    </xf>
    <xf numFmtId="0" fontId="219" fillId="0" borderId="0" xfId="0" applyFont="1" applyFill="1" applyBorder="1" applyAlignment="1">
      <alignment horizontal="center" vertical="center" wrapText="1"/>
    </xf>
    <xf numFmtId="0" fontId="219" fillId="0" borderId="0" xfId="0" applyFont="1" applyFill="1" applyBorder="1" applyAlignment="1">
      <alignment horizontal="right" vertical="center"/>
    </xf>
    <xf numFmtId="0" fontId="193" fillId="75" borderId="0" xfId="0" applyFont="1" applyFill="1" applyAlignment="1">
      <alignment horizontal="center" vertical="center" wrapText="1"/>
    </xf>
    <xf numFmtId="0" fontId="193" fillId="75" borderId="0" xfId="0" applyFont="1" applyFill="1" applyAlignment="1">
      <alignment horizontal="center" vertical="center"/>
    </xf>
    <xf numFmtId="0" fontId="193" fillId="75" borderId="94" xfId="0" applyFont="1" applyFill="1" applyBorder="1" applyAlignment="1">
      <alignment horizontal="center" vertical="center"/>
    </xf>
    <xf numFmtId="0" fontId="193" fillId="75" borderId="99" xfId="0" applyFont="1" applyFill="1" applyBorder="1" applyAlignment="1">
      <alignment horizontal="center" vertical="center" wrapText="1"/>
    </xf>
    <xf numFmtId="0" fontId="193" fillId="75" borderId="94" xfId="0" applyFont="1" applyFill="1" applyBorder="1" applyAlignment="1">
      <alignment horizontal="center" vertical="center" wrapText="1"/>
    </xf>
    <xf numFmtId="0" fontId="190" fillId="75" borderId="68" xfId="0" applyFont="1" applyFill="1" applyBorder="1" applyAlignment="1">
      <alignment horizontal="center" vertical="center" wrapText="1"/>
    </xf>
    <xf numFmtId="0" fontId="193" fillId="75" borderId="105" xfId="20233" applyFont="1" applyFill="1" applyBorder="1" applyAlignment="1">
      <alignment horizontal="center" vertical="center" wrapText="1"/>
    </xf>
    <xf numFmtId="0" fontId="193" fillId="75" borderId="0" xfId="20233" applyFont="1" applyFill="1" applyAlignment="1">
      <alignment horizontal="center" vertical="center" wrapText="1"/>
    </xf>
    <xf numFmtId="0" fontId="193" fillId="75" borderId="106" xfId="20233" applyFont="1" applyFill="1" applyBorder="1" applyAlignment="1">
      <alignment horizontal="center" vertical="center" wrapText="1"/>
    </xf>
    <xf numFmtId="0" fontId="18" fillId="0" borderId="0" xfId="20233" applyFont="1" applyAlignment="1">
      <alignment horizontal="left" vertical="top" wrapText="1"/>
    </xf>
    <xf numFmtId="0" fontId="61" fillId="81" borderId="50" xfId="0" applyFont="1" applyFill="1" applyBorder="1" applyAlignment="1">
      <alignment horizontal="center" vertical="center" wrapText="1"/>
    </xf>
    <xf numFmtId="0" fontId="61" fillId="81" borderId="13" xfId="0" applyFont="1" applyFill="1" applyBorder="1" applyAlignment="1">
      <alignment horizontal="center" vertical="center" wrapText="1"/>
    </xf>
    <xf numFmtId="0" fontId="61" fillId="81" borderId="4" xfId="0" applyFont="1" applyFill="1" applyBorder="1" applyAlignment="1">
      <alignment horizontal="center" vertical="center" wrapText="1"/>
    </xf>
    <xf numFmtId="0" fontId="61" fillId="81" borderId="49" xfId="0" applyFont="1" applyFill="1" applyBorder="1" applyAlignment="1">
      <alignment horizontal="center" vertical="center" wrapText="1"/>
    </xf>
    <xf numFmtId="0" fontId="61" fillId="81" borderId="15" xfId="0" applyFont="1" applyFill="1" applyBorder="1" applyAlignment="1">
      <alignment horizontal="center" vertical="center" wrapText="1"/>
    </xf>
    <xf numFmtId="0" fontId="61" fillId="81" borderId="17" xfId="0" applyFont="1" applyFill="1" applyBorder="1" applyAlignment="1">
      <alignment horizontal="center" vertical="center" wrapText="1"/>
    </xf>
    <xf numFmtId="0" fontId="61" fillId="0" borderId="6"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50" xfId="0" applyFont="1" applyBorder="1" applyAlignment="1">
      <alignment horizontal="center" vertical="center" wrapText="1"/>
    </xf>
    <xf numFmtId="0" fontId="61" fillId="0" borderId="13" xfId="0" applyFont="1" applyBorder="1" applyAlignment="1">
      <alignment horizontal="center" vertical="center" wrapText="1"/>
    </xf>
    <xf numFmtId="0" fontId="64" fillId="81" borderId="15" xfId="0" applyFont="1" applyFill="1" applyBorder="1" applyAlignment="1">
      <alignment horizontal="center" vertical="center" wrapText="1"/>
    </xf>
    <xf numFmtId="0" fontId="64" fillId="81" borderId="17"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13" xfId="0" applyFont="1" applyBorder="1" applyAlignment="1">
      <alignment horizontal="center" vertical="center" wrapText="1"/>
    </xf>
    <xf numFmtId="0" fontId="64" fillId="81" borderId="50" xfId="0" applyFont="1" applyFill="1" applyBorder="1" applyAlignment="1">
      <alignment horizontal="center" vertical="center" wrapText="1"/>
    </xf>
    <xf numFmtId="0" fontId="64" fillId="81" borderId="13" xfId="0" applyFont="1" applyFill="1" applyBorder="1" applyAlignment="1">
      <alignment horizontal="center" vertical="center" wrapText="1"/>
    </xf>
    <xf numFmtId="0" fontId="16" fillId="81" borderId="15" xfId="0" applyFont="1" applyFill="1" applyBorder="1" applyAlignment="1">
      <alignment horizontal="center" vertical="center" wrapText="1"/>
    </xf>
    <xf numFmtId="0" fontId="16" fillId="81" borderId="17" xfId="0" applyFont="1" applyFill="1" applyBorder="1" applyAlignment="1">
      <alignment horizontal="center" vertical="center" wrapText="1"/>
    </xf>
    <xf numFmtId="0" fontId="239" fillId="75" borderId="68" xfId="0" applyFont="1" applyFill="1" applyBorder="1" applyAlignment="1">
      <alignment horizontal="center" vertical="center" wrapText="1"/>
    </xf>
    <xf numFmtId="0" fontId="193" fillId="75" borderId="4" xfId="0" applyFont="1" applyFill="1" applyBorder="1" applyAlignment="1">
      <alignment horizontal="center" vertical="center" wrapText="1"/>
    </xf>
    <xf numFmtId="0" fontId="193" fillId="75" borderId="49" xfId="0" applyFont="1" applyFill="1" applyBorder="1" applyAlignment="1">
      <alignment horizontal="center" vertical="center" wrapText="1"/>
    </xf>
    <xf numFmtId="0" fontId="18" fillId="0" borderId="0" xfId="0" applyFont="1" applyAlignment="1">
      <alignment horizontal="left" vertical="top" wrapText="1"/>
    </xf>
    <xf numFmtId="0" fontId="193" fillId="75" borderId="50" xfId="0" applyFont="1" applyFill="1" applyBorder="1" applyAlignment="1">
      <alignment horizontal="center" vertical="center" wrapText="1"/>
    </xf>
    <xf numFmtId="0" fontId="193" fillId="75" borderId="13" xfId="0" applyFont="1" applyFill="1" applyBorder="1" applyAlignment="1">
      <alignment horizontal="center" vertical="center"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4EDF8"/>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563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drawing" Target="../drawings/drawing9.xml"/><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C62"/>
  <sheetViews>
    <sheetView showGridLines="0" tabSelected="1" zoomScale="80" zoomScaleNormal="80" zoomScaleSheetLayoutView="85" workbookViewId="0">
      <pane xSplit="2" ySplit="4" topLeftCell="BM5" activePane="bottomRight" state="frozen"/>
      <selection pane="topRight" activeCell="C1" sqref="C1"/>
      <selection pane="bottomLeft" activeCell="A5" sqref="A5"/>
      <selection pane="bottomRight" activeCell="B3" sqref="B3"/>
    </sheetView>
  </sheetViews>
  <sheetFormatPr defaultColWidth="9" defaultRowHeight="28.5" customHeight="1" outlineLevelCol="1"/>
  <cols>
    <col min="1" max="2" width="41.58203125" style="5" customWidth="1"/>
    <col min="3" max="8" width="9" style="4" customWidth="1" outlineLevel="1"/>
    <col min="9" max="9" width="9" style="64" customWidth="1" outlineLevel="1"/>
    <col min="10" max="10" width="9" style="4" customWidth="1" outlineLevel="1"/>
    <col min="11" max="13" width="10.08203125" style="4" customWidth="1" outlineLevel="1"/>
    <col min="14" max="16" width="9.08203125" style="4" customWidth="1" outlineLevel="1"/>
    <col min="17" max="24" width="10.08203125" style="4" customWidth="1" outlineLevel="1"/>
    <col min="25" max="25" width="10.08203125" style="39" customWidth="1" outlineLevel="1"/>
    <col min="26" max="29" width="10.08203125" style="4" customWidth="1" outlineLevel="1"/>
    <col min="30" max="30" width="10.08203125" style="39" customWidth="1" outlineLevel="1"/>
    <col min="31" max="32" width="10.08203125" style="4" customWidth="1" outlineLevel="1"/>
    <col min="33" max="33" width="10.08203125" style="4" customWidth="1" outlineLevel="1" collapsed="1"/>
    <col min="34" max="34" width="10.08203125" style="4" customWidth="1" outlineLevel="1"/>
    <col min="35" max="35" width="10.08203125" style="39" customWidth="1" outlineLevel="1"/>
    <col min="36" max="36" width="10.08203125" style="4" customWidth="1" outlineLevel="1"/>
    <col min="37" max="37" width="10.08203125" style="100" customWidth="1" outlineLevel="1"/>
    <col min="38" max="38" width="4" customWidth="1" outlineLevel="1"/>
    <col min="39" max="40" width="10.08203125" style="4" customWidth="1" outlineLevel="1"/>
    <col min="41" max="41" width="10.08203125" style="39" customWidth="1" outlineLevel="1"/>
    <col min="42" max="45" width="10.08203125" style="4" customWidth="1" outlineLevel="1"/>
    <col min="46" max="46" width="10.08203125" style="39" customWidth="1" outlineLevel="1"/>
    <col min="47" max="50" width="10.08203125" style="4" customWidth="1" outlineLevel="1"/>
    <col min="51" max="51" width="10.08203125" style="39" customWidth="1" outlineLevel="1"/>
    <col min="52" max="55" width="10.08203125" style="4" customWidth="1" outlineLevel="1"/>
    <col min="56" max="56" width="10.08203125" style="39" customWidth="1" outlineLevel="1"/>
    <col min="57" max="57" width="10.08203125" style="4" customWidth="1" outlineLevel="1"/>
    <col min="58" max="58" width="10.08203125" style="706" customWidth="1" outlineLevel="1"/>
    <col min="59" max="60" width="10.08203125" style="4" customWidth="1"/>
    <col min="61" max="61" width="10.08203125" style="39" customWidth="1"/>
    <col min="62" max="62" width="10.08203125" style="4" customWidth="1"/>
    <col min="63" max="63" width="10.08203125" style="700" bestFit="1" customWidth="1"/>
    <col min="64" max="65" width="10.08203125" style="4" customWidth="1"/>
    <col min="66" max="66" width="10.08203125" style="39" customWidth="1"/>
    <col min="67" max="67" width="10.08203125" style="4" customWidth="1"/>
    <col min="68" max="68" width="10.08203125" style="700" bestFit="1" customWidth="1"/>
    <col min="69" max="70" width="10.08203125" style="4" customWidth="1"/>
    <col min="71" max="71" width="10.08203125" style="39" customWidth="1"/>
    <col min="72" max="72" width="10.08203125" style="4" customWidth="1"/>
    <col min="73" max="16384" width="9" style="5"/>
  </cols>
  <sheetData>
    <row r="1" spans="1:92" s="7" customFormat="1" ht="89.25" customHeight="1">
      <c r="A1" s="199"/>
      <c r="B1" s="3"/>
      <c r="C1" s="6"/>
      <c r="D1" s="6"/>
      <c r="E1" s="6"/>
      <c r="F1" s="6"/>
      <c r="G1" s="6"/>
      <c r="H1" s="6"/>
      <c r="I1" s="47"/>
      <c r="J1" s="6"/>
      <c r="K1" s="6"/>
      <c r="L1" s="6"/>
      <c r="M1" s="6"/>
      <c r="N1" s="6"/>
      <c r="O1" s="6"/>
      <c r="P1" s="6"/>
      <c r="Q1" s="6"/>
      <c r="R1" s="6"/>
      <c r="S1" s="6"/>
      <c r="T1" s="6"/>
      <c r="U1" s="48"/>
      <c r="V1" s="48"/>
      <c r="W1" s="48"/>
      <c r="X1" s="48"/>
      <c r="Y1" s="865"/>
      <c r="Z1" s="48"/>
      <c r="AA1" s="48"/>
      <c r="AB1" s="48"/>
      <c r="AC1" s="48"/>
      <c r="AD1" s="865"/>
      <c r="AE1" s="48"/>
      <c r="AF1" s="48"/>
      <c r="AG1" s="48"/>
      <c r="AH1" s="50"/>
      <c r="AI1" s="865"/>
      <c r="AJ1" s="48"/>
      <c r="AK1" s="97"/>
      <c r="AM1" s="48"/>
      <c r="AN1" s="48"/>
      <c r="AO1" s="865"/>
      <c r="AP1" s="48"/>
      <c r="AQ1" s="48"/>
      <c r="AR1" s="48"/>
      <c r="AS1" s="48"/>
      <c r="AT1" s="865"/>
      <c r="AU1" s="48"/>
      <c r="AV1" s="48"/>
      <c r="AW1" s="48"/>
      <c r="AX1" s="48"/>
      <c r="AY1" s="865"/>
      <c r="AZ1" s="48"/>
      <c r="BA1" s="48"/>
      <c r="BB1" s="48"/>
      <c r="BC1" s="48"/>
      <c r="BD1" s="865"/>
      <c r="BE1" s="48"/>
      <c r="BF1" s="701"/>
      <c r="BG1" s="48"/>
      <c r="BH1" s="48"/>
      <c r="BI1" s="865"/>
      <c r="BJ1" s="48"/>
      <c r="BK1" s="695"/>
      <c r="BL1" s="48"/>
      <c r="BM1" s="48"/>
      <c r="BN1" s="865"/>
      <c r="BO1" s="726"/>
      <c r="BP1" s="695"/>
      <c r="BQ1" s="48"/>
      <c r="BR1" s="48"/>
      <c r="BS1" s="865"/>
      <c r="BT1" s="726"/>
    </row>
    <row r="2" spans="1:92" s="448" customFormat="1" ht="32.15" customHeight="1">
      <c r="A2" s="492" t="s">
        <v>0</v>
      </c>
      <c r="B2" s="489" t="s">
        <v>1</v>
      </c>
      <c r="C2" s="1046">
        <v>2012</v>
      </c>
      <c r="D2" s="1046"/>
      <c r="E2" s="1046"/>
      <c r="F2" s="1046"/>
      <c r="G2" s="1047"/>
      <c r="H2" s="1046">
        <v>2013</v>
      </c>
      <c r="I2" s="1046"/>
      <c r="J2" s="1046"/>
      <c r="K2" s="1046"/>
      <c r="L2" s="1047"/>
      <c r="M2" s="1045">
        <v>2014</v>
      </c>
      <c r="N2" s="1046"/>
      <c r="O2" s="1046"/>
      <c r="P2" s="1046"/>
      <c r="Q2" s="1047"/>
      <c r="R2" s="1045">
        <v>2015</v>
      </c>
      <c r="S2" s="1046"/>
      <c r="T2" s="1046"/>
      <c r="U2" s="1046"/>
      <c r="V2" s="1047"/>
      <c r="W2" s="1045">
        <v>2016</v>
      </c>
      <c r="X2" s="1046"/>
      <c r="Y2" s="1046"/>
      <c r="Z2" s="1046"/>
      <c r="AA2" s="1047"/>
      <c r="AB2" s="1045">
        <v>2017</v>
      </c>
      <c r="AC2" s="1046"/>
      <c r="AD2" s="1046"/>
      <c r="AE2" s="1046"/>
      <c r="AF2" s="1047"/>
      <c r="AG2" s="1045" t="s">
        <v>2</v>
      </c>
      <c r="AH2" s="1046"/>
      <c r="AI2" s="1046"/>
      <c r="AJ2" s="1046"/>
      <c r="AK2" s="1047"/>
      <c r="AL2"/>
      <c r="AM2" s="1045" t="s">
        <v>3</v>
      </c>
      <c r="AN2" s="1046"/>
      <c r="AO2" s="1046"/>
      <c r="AP2" s="1046"/>
      <c r="AQ2" s="1047"/>
      <c r="AR2" s="1045" t="s">
        <v>4</v>
      </c>
      <c r="AS2" s="1046"/>
      <c r="AT2" s="1046"/>
      <c r="AU2" s="1046"/>
      <c r="AV2" s="1047"/>
      <c r="AW2" s="1045" t="s">
        <v>5</v>
      </c>
      <c r="AX2" s="1046"/>
      <c r="AY2" s="1046"/>
      <c r="AZ2" s="1046"/>
      <c r="BA2" s="1047"/>
      <c r="BB2" s="1045" t="s">
        <v>6</v>
      </c>
      <c r="BC2" s="1046"/>
      <c r="BD2" s="1046"/>
      <c r="BE2" s="1046"/>
      <c r="BF2" s="1047"/>
      <c r="BG2" s="1045" t="s">
        <v>7</v>
      </c>
      <c r="BH2" s="1046"/>
      <c r="BI2" s="1046"/>
      <c r="BJ2" s="1046"/>
      <c r="BK2" s="1047"/>
      <c r="BL2" s="1045" t="s">
        <v>8</v>
      </c>
      <c r="BM2" s="1046"/>
      <c r="BN2" s="1046"/>
      <c r="BO2" s="1046"/>
      <c r="BP2" s="1046"/>
      <c r="BQ2" s="1048" t="s">
        <v>9</v>
      </c>
      <c r="BR2" s="1046"/>
      <c r="BS2" s="1046"/>
      <c r="BT2" s="1046"/>
      <c r="BU2" s="1049"/>
    </row>
    <row r="3" spans="1:92" s="448" customFormat="1" ht="32.15" customHeight="1">
      <c r="A3" s="417"/>
      <c r="B3" s="489"/>
      <c r="C3" s="477"/>
      <c r="D3" s="477"/>
      <c r="E3" s="477"/>
      <c r="F3" s="477"/>
      <c r="G3" s="490"/>
      <c r="H3" s="477"/>
      <c r="I3" s="477"/>
      <c r="J3" s="477"/>
      <c r="K3" s="477"/>
      <c r="L3" s="477"/>
      <c r="M3" s="491"/>
      <c r="N3" s="477"/>
      <c r="O3" s="477"/>
      <c r="P3" s="477"/>
      <c r="Q3" s="490"/>
      <c r="R3" s="477"/>
      <c r="S3" s="477"/>
      <c r="T3" s="477"/>
      <c r="U3" s="477"/>
      <c r="V3" s="490"/>
      <c r="W3" s="477"/>
      <c r="X3" s="477"/>
      <c r="Y3" s="477"/>
      <c r="Z3" s="477"/>
      <c r="AA3" s="490"/>
      <c r="AB3" s="477"/>
      <c r="AC3" s="477"/>
      <c r="AD3" s="477"/>
      <c r="AE3" s="477"/>
      <c r="AF3" s="490"/>
      <c r="AG3" s="1045" t="s">
        <v>10</v>
      </c>
      <c r="AH3" s="1046"/>
      <c r="AI3" s="1046"/>
      <c r="AJ3" s="1046"/>
      <c r="AK3" s="1047"/>
      <c r="AL3"/>
      <c r="AM3" s="1045" t="s">
        <v>11</v>
      </c>
      <c r="AN3" s="1046"/>
      <c r="AO3" s="1046"/>
      <c r="AP3" s="1046"/>
      <c r="AQ3" s="1047"/>
      <c r="AR3" s="1045" t="s">
        <v>12</v>
      </c>
      <c r="AS3" s="1046"/>
      <c r="AT3" s="1046"/>
      <c r="AU3" s="1046"/>
      <c r="AV3" s="1047"/>
      <c r="AW3" s="1045" t="s">
        <v>13</v>
      </c>
      <c r="AX3" s="1046"/>
      <c r="AY3" s="1046"/>
      <c r="AZ3" s="1046"/>
      <c r="BA3" s="1047"/>
      <c r="BB3" s="1045" t="s">
        <v>14</v>
      </c>
      <c r="BC3" s="1046"/>
      <c r="BD3" s="1046"/>
      <c r="BE3" s="1046"/>
      <c r="BF3" s="1047"/>
      <c r="BG3" s="1045" t="s">
        <v>15</v>
      </c>
      <c r="BH3" s="1046"/>
      <c r="BI3" s="1046"/>
      <c r="BJ3" s="1046"/>
      <c r="BK3" s="1047"/>
      <c r="BL3" s="1045" t="s">
        <v>16</v>
      </c>
      <c r="BM3" s="1046"/>
      <c r="BN3" s="1046"/>
      <c r="BO3" s="1046"/>
      <c r="BP3" s="1046"/>
      <c r="BQ3" s="1048" t="s">
        <v>17</v>
      </c>
      <c r="BR3" s="1046"/>
      <c r="BS3" s="1046"/>
      <c r="BT3" s="1046"/>
      <c r="BU3" s="1049"/>
    </row>
    <row r="4" spans="1:92" s="453" customFormat="1" ht="16.5" customHeight="1">
      <c r="A4" s="419" t="s">
        <v>18</v>
      </c>
      <c r="B4" s="493" t="s">
        <v>19</v>
      </c>
      <c r="C4" s="421" t="s">
        <v>20</v>
      </c>
      <c r="D4" s="421" t="s">
        <v>21</v>
      </c>
      <c r="E4" s="421" t="s">
        <v>22</v>
      </c>
      <c r="F4" s="421" t="s">
        <v>23</v>
      </c>
      <c r="G4" s="494">
        <v>2012</v>
      </c>
      <c r="H4" s="495" t="s">
        <v>20</v>
      </c>
      <c r="I4" s="421" t="s">
        <v>21</v>
      </c>
      <c r="J4" s="421" t="s">
        <v>22</v>
      </c>
      <c r="K4" s="421" t="s">
        <v>23</v>
      </c>
      <c r="L4" s="494">
        <v>2013</v>
      </c>
      <c r="M4" s="495" t="s">
        <v>20</v>
      </c>
      <c r="N4" s="421" t="s">
        <v>21</v>
      </c>
      <c r="O4" s="421" t="s">
        <v>22</v>
      </c>
      <c r="P4" s="421" t="s">
        <v>23</v>
      </c>
      <c r="Q4" s="496">
        <v>2014</v>
      </c>
      <c r="R4" s="421" t="s">
        <v>20</v>
      </c>
      <c r="S4" s="421" t="s">
        <v>21</v>
      </c>
      <c r="T4" s="421" t="s">
        <v>22</v>
      </c>
      <c r="U4" s="421" t="s">
        <v>23</v>
      </c>
      <c r="V4" s="496">
        <v>2015</v>
      </c>
      <c r="W4" s="421" t="s">
        <v>24</v>
      </c>
      <c r="X4" s="421" t="s">
        <v>21</v>
      </c>
      <c r="Y4" s="422" t="s">
        <v>22</v>
      </c>
      <c r="Z4" s="421" t="s">
        <v>23</v>
      </c>
      <c r="AA4" s="496" t="s">
        <v>25</v>
      </c>
      <c r="AB4" s="421" t="s">
        <v>20</v>
      </c>
      <c r="AC4" s="421" t="s">
        <v>21</v>
      </c>
      <c r="AD4" s="422" t="s">
        <v>22</v>
      </c>
      <c r="AE4" s="421" t="s">
        <v>23</v>
      </c>
      <c r="AF4" s="496">
        <v>2017</v>
      </c>
      <c r="AG4" s="421" t="s">
        <v>20</v>
      </c>
      <c r="AH4" s="421" t="s">
        <v>21</v>
      </c>
      <c r="AI4" s="422" t="s">
        <v>22</v>
      </c>
      <c r="AJ4" s="421" t="s">
        <v>23</v>
      </c>
      <c r="AK4" s="496">
        <v>2018</v>
      </c>
      <c r="AL4" s="5"/>
      <c r="AM4" s="495" t="s">
        <v>20</v>
      </c>
      <c r="AN4" s="421" t="s">
        <v>21</v>
      </c>
      <c r="AO4" s="422" t="s">
        <v>22</v>
      </c>
      <c r="AP4" s="421" t="s">
        <v>23</v>
      </c>
      <c r="AQ4" s="496">
        <v>2018</v>
      </c>
      <c r="AR4" s="495" t="s">
        <v>20</v>
      </c>
      <c r="AS4" s="421" t="s">
        <v>21</v>
      </c>
      <c r="AT4" s="422" t="s">
        <v>22</v>
      </c>
      <c r="AU4" s="421" t="s">
        <v>23</v>
      </c>
      <c r="AV4" s="496" t="s">
        <v>26</v>
      </c>
      <c r="AW4" s="495" t="s">
        <v>20</v>
      </c>
      <c r="AX4" s="421" t="s">
        <v>21</v>
      </c>
      <c r="AY4" s="422" t="s">
        <v>22</v>
      </c>
      <c r="AZ4" s="421" t="s">
        <v>23</v>
      </c>
      <c r="BA4" s="496" t="s">
        <v>26</v>
      </c>
      <c r="BB4" s="495" t="s">
        <v>20</v>
      </c>
      <c r="BC4" s="421" t="s">
        <v>21</v>
      </c>
      <c r="BD4" s="422" t="s">
        <v>22</v>
      </c>
      <c r="BE4" s="421" t="s">
        <v>23</v>
      </c>
      <c r="BF4" s="707" t="s">
        <v>27</v>
      </c>
      <c r="BG4" s="495" t="s">
        <v>20</v>
      </c>
      <c r="BH4" s="421" t="s">
        <v>21</v>
      </c>
      <c r="BI4" s="422" t="s">
        <v>22</v>
      </c>
      <c r="BJ4" s="421" t="s">
        <v>23</v>
      </c>
      <c r="BK4" s="496" t="s">
        <v>28</v>
      </c>
      <c r="BL4" s="495" t="s">
        <v>20</v>
      </c>
      <c r="BM4" s="421" t="s">
        <v>21</v>
      </c>
      <c r="BN4" s="422" t="s">
        <v>22</v>
      </c>
      <c r="BO4" s="421" t="s">
        <v>23</v>
      </c>
      <c r="BP4" s="494" t="s">
        <v>29</v>
      </c>
      <c r="BQ4" s="829" t="s">
        <v>20</v>
      </c>
      <c r="BR4" s="421" t="s">
        <v>21</v>
      </c>
      <c r="BS4" s="422" t="s">
        <v>22</v>
      </c>
      <c r="BT4" s="421" t="s">
        <v>23</v>
      </c>
      <c r="BU4" s="964" t="s">
        <v>742</v>
      </c>
    </row>
    <row r="5" spans="1:92" s="411" customFormat="1" ht="34.5" customHeight="1">
      <c r="A5" s="729" t="s">
        <v>30</v>
      </c>
      <c r="B5" s="730" t="s">
        <v>31</v>
      </c>
      <c r="C5" s="731">
        <f t="shared" ref="C5:AK5" si="0">SUM(C6:C10)</f>
        <v>669.2</v>
      </c>
      <c r="D5" s="731">
        <f t="shared" si="0"/>
        <v>713.8</v>
      </c>
      <c r="E5" s="731">
        <f t="shared" si="0"/>
        <v>644.5</v>
      </c>
      <c r="F5" s="731">
        <f t="shared" si="0"/>
        <v>750.60000000000014</v>
      </c>
      <c r="G5" s="732">
        <f t="shared" si="0"/>
        <v>2778.0999999999995</v>
      </c>
      <c r="H5" s="733">
        <f t="shared" si="0"/>
        <v>697.1</v>
      </c>
      <c r="I5" s="731">
        <f t="shared" si="0"/>
        <v>735.9</v>
      </c>
      <c r="J5" s="731">
        <f t="shared" si="0"/>
        <v>677.3</v>
      </c>
      <c r="K5" s="731">
        <f t="shared" si="0"/>
        <v>800.5</v>
      </c>
      <c r="L5" s="732">
        <f t="shared" si="0"/>
        <v>2910.8</v>
      </c>
      <c r="M5" s="733">
        <f t="shared" si="0"/>
        <v>723.29999999999984</v>
      </c>
      <c r="N5" s="731">
        <f t="shared" si="0"/>
        <v>1745.9</v>
      </c>
      <c r="O5" s="731">
        <f t="shared" si="0"/>
        <v>2419.6</v>
      </c>
      <c r="P5" s="731">
        <f t="shared" si="0"/>
        <v>2521.1000000000004</v>
      </c>
      <c r="Q5" s="732">
        <f t="shared" si="0"/>
        <v>7409.9</v>
      </c>
      <c r="R5" s="731">
        <f t="shared" si="0"/>
        <v>2329</v>
      </c>
      <c r="S5" s="731">
        <f t="shared" si="0"/>
        <v>2469.1999999999998</v>
      </c>
      <c r="T5" s="731">
        <f t="shared" si="0"/>
        <v>2414.8999999999996</v>
      </c>
      <c r="U5" s="731">
        <f t="shared" si="0"/>
        <v>2609.9</v>
      </c>
      <c r="V5" s="732">
        <f t="shared" si="0"/>
        <v>9823</v>
      </c>
      <c r="W5" s="731">
        <f t="shared" si="0"/>
        <v>2364</v>
      </c>
      <c r="X5" s="731">
        <f t="shared" si="0"/>
        <v>2442.9</v>
      </c>
      <c r="Y5" s="734">
        <f t="shared" si="0"/>
        <v>2387.8000000000002</v>
      </c>
      <c r="Z5" s="734">
        <f t="shared" si="0"/>
        <v>2535.1</v>
      </c>
      <c r="AA5" s="732">
        <f t="shared" si="0"/>
        <v>9729.7999999999993</v>
      </c>
      <c r="AB5" s="731">
        <f t="shared" si="0"/>
        <v>2388.6</v>
      </c>
      <c r="AC5" s="731">
        <f t="shared" si="0"/>
        <v>2469.9</v>
      </c>
      <c r="AD5" s="731">
        <f t="shared" si="0"/>
        <v>2390.9</v>
      </c>
      <c r="AE5" s="731">
        <f t="shared" si="0"/>
        <v>2579.1999999999998</v>
      </c>
      <c r="AF5" s="732">
        <f t="shared" si="0"/>
        <v>9828.6</v>
      </c>
      <c r="AG5" s="731">
        <f t="shared" si="0"/>
        <v>2360.6999999999998</v>
      </c>
      <c r="AH5" s="731">
        <f t="shared" si="0"/>
        <v>2476.9</v>
      </c>
      <c r="AI5" s="731">
        <f t="shared" si="0"/>
        <v>2435.4</v>
      </c>
      <c r="AJ5" s="735">
        <f t="shared" si="0"/>
        <v>2682</v>
      </c>
      <c r="AK5" s="732">
        <f t="shared" si="0"/>
        <v>9955</v>
      </c>
      <c r="AL5" s="736"/>
      <c r="AM5" s="733">
        <f t="shared" ref="AM5:BP5" si="1">SUM(AM6:AM10)</f>
        <v>2345.9</v>
      </c>
      <c r="AN5" s="731">
        <f t="shared" si="1"/>
        <v>2603.1999999999998</v>
      </c>
      <c r="AO5" s="731">
        <f t="shared" si="1"/>
        <v>2735</v>
      </c>
      <c r="AP5" s="735">
        <f t="shared" si="1"/>
        <v>3002</v>
      </c>
      <c r="AQ5" s="732">
        <f t="shared" si="1"/>
        <v>10686.100000000002</v>
      </c>
      <c r="AR5" s="733">
        <f t="shared" si="1"/>
        <v>2782.4</v>
      </c>
      <c r="AS5" s="731">
        <f t="shared" si="1"/>
        <v>2913</v>
      </c>
      <c r="AT5" s="731">
        <f t="shared" si="1"/>
        <v>2882.3</v>
      </c>
      <c r="AU5" s="731">
        <f t="shared" si="1"/>
        <v>3059.0000000000005</v>
      </c>
      <c r="AV5" s="732">
        <f t="shared" si="1"/>
        <v>11636.7</v>
      </c>
      <c r="AW5" s="733">
        <f t="shared" si="1"/>
        <v>2791.6</v>
      </c>
      <c r="AX5" s="731">
        <f t="shared" si="1"/>
        <v>2923</v>
      </c>
      <c r="AY5" s="731">
        <f t="shared" si="1"/>
        <v>2892.4</v>
      </c>
      <c r="AZ5" s="731">
        <f t="shared" si="1"/>
        <v>3069.1000000000004</v>
      </c>
      <c r="BA5" s="732">
        <f t="shared" si="1"/>
        <v>11676.1</v>
      </c>
      <c r="BB5" s="733">
        <f t="shared" si="1"/>
        <v>2848.4999999999995</v>
      </c>
      <c r="BC5" s="731">
        <f t="shared" si="1"/>
        <v>2862.7000000000003</v>
      </c>
      <c r="BD5" s="731">
        <f t="shared" si="1"/>
        <v>3003.5</v>
      </c>
      <c r="BE5" s="731">
        <f t="shared" si="1"/>
        <v>3248.2000000000003</v>
      </c>
      <c r="BF5" s="737">
        <f t="shared" si="1"/>
        <v>11962.9</v>
      </c>
      <c r="BG5" s="733">
        <f t="shared" si="1"/>
        <v>2987.4</v>
      </c>
      <c r="BH5" s="731">
        <f t="shared" si="1"/>
        <v>3159.7000000000003</v>
      </c>
      <c r="BI5" s="731">
        <f t="shared" si="1"/>
        <v>3031.9</v>
      </c>
      <c r="BJ5" s="731">
        <f t="shared" si="1"/>
        <v>3265</v>
      </c>
      <c r="BK5" s="737">
        <f t="shared" si="1"/>
        <v>12443.999999999998</v>
      </c>
      <c r="BL5" s="733">
        <f t="shared" si="1"/>
        <v>2986.7000000000003</v>
      </c>
      <c r="BM5" s="731">
        <f t="shared" si="1"/>
        <v>3228.1</v>
      </c>
      <c r="BN5" s="731">
        <f>SUM(BN6:BN10)</f>
        <v>3270.9000000000005</v>
      </c>
      <c r="BO5" s="731">
        <f t="shared" si="1"/>
        <v>3429.5999999999995</v>
      </c>
      <c r="BP5" s="820">
        <f t="shared" si="1"/>
        <v>12915.3</v>
      </c>
      <c r="BQ5" s="830">
        <f t="shared" ref="BQ5:BR5" si="2">SUM(BQ6:BQ10)</f>
        <v>3199.3</v>
      </c>
      <c r="BR5" s="731">
        <f t="shared" si="2"/>
        <v>3289.8</v>
      </c>
      <c r="BS5" s="731">
        <f>SUM(BS6:BS10)</f>
        <v>3455.7</v>
      </c>
      <c r="BT5" s="731">
        <f>SUM(BT6:BT10)</f>
        <v>3681.4999999999995</v>
      </c>
      <c r="BU5" s="965">
        <f>SUM(BU6:BU10)</f>
        <v>13626.300000000001</v>
      </c>
      <c r="BV5" s="988"/>
      <c r="BW5" s="988"/>
      <c r="BX5" s="1009"/>
      <c r="BY5" s="841"/>
      <c r="BZ5" s="841"/>
      <c r="CA5" s="841"/>
      <c r="CB5" s="842"/>
      <c r="CC5" s="841"/>
      <c r="CD5" s="931"/>
      <c r="CE5" s="931"/>
      <c r="CG5" s="841"/>
      <c r="CH5" s="841"/>
    </row>
    <row r="6" spans="1:92" ht="30" customHeight="1">
      <c r="A6" s="49" t="s">
        <v>32</v>
      </c>
      <c r="B6" s="112" t="s">
        <v>33</v>
      </c>
      <c r="C6" s="50">
        <v>424</v>
      </c>
      <c r="D6" s="50">
        <v>427.1</v>
      </c>
      <c r="E6" s="50">
        <v>434.4</v>
      </c>
      <c r="F6" s="50">
        <v>446.6</v>
      </c>
      <c r="G6" s="200">
        <f>SUM(C6:F6)</f>
        <v>1732.1</v>
      </c>
      <c r="H6" s="51">
        <v>451.7</v>
      </c>
      <c r="I6" s="50">
        <v>452</v>
      </c>
      <c r="J6" s="50">
        <v>460.3</v>
      </c>
      <c r="K6" s="50">
        <v>466.1</v>
      </c>
      <c r="L6" s="200">
        <f>SUM(H6:K6)</f>
        <v>1830.1</v>
      </c>
      <c r="M6" s="51">
        <v>467.79999999999995</v>
      </c>
      <c r="N6" s="50">
        <v>1204.5</v>
      </c>
      <c r="O6" s="50">
        <v>1710.7</v>
      </c>
      <c r="P6" s="50">
        <v>1701.7</v>
      </c>
      <c r="Q6" s="200">
        <f>SUM(M6:P6)</f>
        <v>5084.7</v>
      </c>
      <c r="R6" s="50">
        <v>1637.2</v>
      </c>
      <c r="S6" s="50">
        <v>1652</v>
      </c>
      <c r="T6" s="50">
        <v>1643.3</v>
      </c>
      <c r="U6" s="724">
        <v>1620.6</v>
      </c>
      <c r="V6" s="200">
        <v>6553.1</v>
      </c>
      <c r="W6" s="725">
        <v>1565.7</v>
      </c>
      <c r="X6" s="725">
        <v>1586.9</v>
      </c>
      <c r="Y6" s="726">
        <v>1583.7</v>
      </c>
      <c r="Z6" s="724">
        <v>1589</v>
      </c>
      <c r="AA6" s="200">
        <f>SUM(W6:Z6)</f>
        <v>6325.3</v>
      </c>
      <c r="AB6" s="725">
        <v>1542.7</v>
      </c>
      <c r="AC6" s="725">
        <v>1533.3</v>
      </c>
      <c r="AD6" s="726">
        <v>1494</v>
      </c>
      <c r="AE6" s="726">
        <v>1497.9</v>
      </c>
      <c r="AF6" s="200">
        <f>SUM(AB6:AE6)</f>
        <v>6067.9</v>
      </c>
      <c r="AG6" s="725">
        <v>1470.2</v>
      </c>
      <c r="AH6" s="50">
        <v>1483.8</v>
      </c>
      <c r="AI6" s="50">
        <v>1481.7</v>
      </c>
      <c r="AJ6" s="726">
        <v>1484.8</v>
      </c>
      <c r="AK6" s="200">
        <f>SUM(AG6:AJ6)</f>
        <v>5920.5</v>
      </c>
      <c r="AL6" s="727"/>
      <c r="AM6" s="101">
        <v>1352.2</v>
      </c>
      <c r="AN6" s="50">
        <v>1482.1</v>
      </c>
      <c r="AO6" s="50">
        <v>1630.5</v>
      </c>
      <c r="AP6" s="726">
        <v>1627.8000000000002</v>
      </c>
      <c r="AQ6" s="200">
        <f>SUM(AM6:AP6)</f>
        <v>6092.6</v>
      </c>
      <c r="AR6" s="726">
        <v>1606</v>
      </c>
      <c r="AS6" s="50">
        <v>1616.1</v>
      </c>
      <c r="AT6" s="50">
        <v>1618.3</v>
      </c>
      <c r="AU6" s="726">
        <v>1618.4</v>
      </c>
      <c r="AV6" s="200">
        <f>SUM(AR6:AU6)</f>
        <v>6458.7999999999993</v>
      </c>
      <c r="AW6" s="103">
        <v>1606</v>
      </c>
      <c r="AX6" s="50">
        <v>1616.1</v>
      </c>
      <c r="AY6" s="50">
        <v>1618.3</v>
      </c>
      <c r="AZ6" s="726">
        <v>1618.4</v>
      </c>
      <c r="BA6" s="200">
        <f>SUM(AW6:AZ6)</f>
        <v>6458.7999999999993</v>
      </c>
      <c r="BB6" s="103">
        <v>1604.5</v>
      </c>
      <c r="BC6" s="50">
        <v>1592</v>
      </c>
      <c r="BD6" s="50">
        <v>1623.8</v>
      </c>
      <c r="BE6" s="726">
        <v>1660.1</v>
      </c>
      <c r="BF6" s="708">
        <f>SUM(BB6:BE6)</f>
        <v>6480.4</v>
      </c>
      <c r="BG6" s="103">
        <v>1664.1</v>
      </c>
      <c r="BH6" s="50">
        <v>1664.8</v>
      </c>
      <c r="BI6" s="50">
        <v>1707.4</v>
      </c>
      <c r="BJ6" s="726">
        <v>1730.7</v>
      </c>
      <c r="BK6" s="696">
        <f>SUM(BG6:BJ6)</f>
        <v>6766.9999999999991</v>
      </c>
      <c r="BL6" s="103">
        <v>1722.2</v>
      </c>
      <c r="BM6" s="50">
        <v>1725.8</v>
      </c>
      <c r="BN6" s="50">
        <v>1753.3000000000002</v>
      </c>
      <c r="BO6" s="726">
        <f>6952.1-BN6-BM6-BL6</f>
        <v>1750.8</v>
      </c>
      <c r="BP6" s="821">
        <f>SUM(BL6:BO6)</f>
        <v>6952.1</v>
      </c>
      <c r="BQ6" s="874">
        <v>1733.8</v>
      </c>
      <c r="BR6" s="875">
        <v>1734.8</v>
      </c>
      <c r="BS6" s="935">
        <v>1754.8</v>
      </c>
      <c r="BT6" s="935">
        <v>1763.7</v>
      </c>
      <c r="BU6" s="966">
        <f>SUM(BQ6:BT6)</f>
        <v>6987.0999999999995</v>
      </c>
      <c r="BV6" s="988"/>
      <c r="BW6" s="988"/>
      <c r="BX6" s="1009"/>
      <c r="BY6" s="983"/>
      <c r="BZ6" s="841"/>
      <c r="CA6" s="841"/>
      <c r="CB6" s="842"/>
      <c r="CC6" s="983"/>
      <c r="CD6" s="983"/>
      <c r="CE6" s="983"/>
      <c r="CF6" s="983"/>
      <c r="CG6" s="983"/>
      <c r="CH6" s="983"/>
      <c r="CI6" s="983"/>
      <c r="CJ6" s="983"/>
      <c r="CK6" s="983"/>
      <c r="CL6" s="983"/>
      <c r="CM6" s="983"/>
      <c r="CN6" s="983"/>
    </row>
    <row r="7" spans="1:92" ht="20.149999999999999" customHeight="1">
      <c r="A7" s="49" t="s">
        <v>34</v>
      </c>
      <c r="B7" s="112" t="s">
        <v>35</v>
      </c>
      <c r="C7" s="50">
        <v>234.6</v>
      </c>
      <c r="D7" s="50">
        <v>272.7</v>
      </c>
      <c r="E7" s="50">
        <v>198</v>
      </c>
      <c r="F7" s="50">
        <v>286.3</v>
      </c>
      <c r="G7" s="200">
        <f t="shared" ref="G7:G10" si="3">SUM(C7:F7)</f>
        <v>991.59999999999991</v>
      </c>
      <c r="H7" s="51">
        <v>223.8</v>
      </c>
      <c r="I7" s="50">
        <v>265.2</v>
      </c>
      <c r="J7" s="50">
        <v>204</v>
      </c>
      <c r="K7" s="50">
        <v>317.2</v>
      </c>
      <c r="L7" s="200">
        <f t="shared" ref="L7:L10" si="4">SUM(H7:K7)</f>
        <v>1010.2</v>
      </c>
      <c r="M7" s="51">
        <v>242.19999999999993</v>
      </c>
      <c r="N7" s="50">
        <v>479.1</v>
      </c>
      <c r="O7" s="50">
        <v>591.6</v>
      </c>
      <c r="P7" s="50">
        <v>641.1</v>
      </c>
      <c r="Q7" s="200">
        <f t="shared" ref="Q7:Q10" si="5">SUM(M7:P7)</f>
        <v>1954</v>
      </c>
      <c r="R7" s="50">
        <v>553.29999999999995</v>
      </c>
      <c r="S7" s="50">
        <v>688.7</v>
      </c>
      <c r="T7" s="50">
        <v>616.9</v>
      </c>
      <c r="U7" s="52">
        <v>738</v>
      </c>
      <c r="V7" s="200">
        <v>2596.9</v>
      </c>
      <c r="W7" s="725">
        <v>599.79999999999995</v>
      </c>
      <c r="X7" s="725">
        <v>645</v>
      </c>
      <c r="Y7" s="726">
        <v>562.9</v>
      </c>
      <c r="Z7" s="52">
        <v>658.4</v>
      </c>
      <c r="AA7" s="200">
        <f t="shared" ref="AA7:AA34" si="6">SUM(W7:Z7)</f>
        <v>2466.1</v>
      </c>
      <c r="AB7" s="725">
        <v>562.1</v>
      </c>
      <c r="AC7" s="725">
        <v>652.29999999999995</v>
      </c>
      <c r="AD7" s="726">
        <v>588.4</v>
      </c>
      <c r="AE7" s="726">
        <v>735.8</v>
      </c>
      <c r="AF7" s="200">
        <f t="shared" ref="AF7:AF34" si="7">SUM(AB7:AE7)</f>
        <v>2538.6000000000004</v>
      </c>
      <c r="AG7" s="725">
        <v>635.9</v>
      </c>
      <c r="AH7" s="50">
        <v>708.5</v>
      </c>
      <c r="AI7" s="50">
        <v>677.7</v>
      </c>
      <c r="AJ7" s="726">
        <v>860.1</v>
      </c>
      <c r="AK7" s="200">
        <f t="shared" ref="AK7:AK10" si="8">SUM(AG7:AJ7)</f>
        <v>2882.2000000000003</v>
      </c>
      <c r="AL7" s="498"/>
      <c r="AM7" s="101">
        <v>635.9</v>
      </c>
      <c r="AN7" s="50">
        <v>738.5</v>
      </c>
      <c r="AO7" s="50">
        <v>741.6</v>
      </c>
      <c r="AP7" s="726">
        <v>927.80000000000018</v>
      </c>
      <c r="AQ7" s="200">
        <f t="shared" ref="AQ7:AQ10" si="9">SUM(AM7:AP7)</f>
        <v>3043.8</v>
      </c>
      <c r="AR7" s="726">
        <v>772.7</v>
      </c>
      <c r="AS7" s="50">
        <v>861.6</v>
      </c>
      <c r="AT7" s="50">
        <v>790.5</v>
      </c>
      <c r="AU7" s="726">
        <v>925.4</v>
      </c>
      <c r="AV7" s="200">
        <f t="shared" ref="AV7:AV10" si="10">SUM(AR7:AU7)</f>
        <v>3350.2000000000003</v>
      </c>
      <c r="AW7" s="103">
        <v>772.7</v>
      </c>
      <c r="AX7" s="50">
        <v>861.6</v>
      </c>
      <c r="AY7" s="50">
        <v>790.5</v>
      </c>
      <c r="AZ7" s="726">
        <v>925.4</v>
      </c>
      <c r="BA7" s="200">
        <f t="shared" ref="BA7:BA10" si="11">SUM(AW7:AZ7)</f>
        <v>3350.2000000000003</v>
      </c>
      <c r="BB7" s="103">
        <v>823.7</v>
      </c>
      <c r="BC7" s="50">
        <v>802.5</v>
      </c>
      <c r="BD7" s="50">
        <v>856.6</v>
      </c>
      <c r="BE7" s="726">
        <v>1043.9000000000001</v>
      </c>
      <c r="BF7" s="708">
        <f t="shared" ref="BF7:BF10" si="12">SUM(BB7:BE7)</f>
        <v>3526.7000000000003</v>
      </c>
      <c r="BG7" s="103">
        <v>880.7</v>
      </c>
      <c r="BH7" s="50">
        <v>964.2</v>
      </c>
      <c r="BI7" s="50">
        <v>827.1</v>
      </c>
      <c r="BJ7" s="726">
        <v>1006.8</v>
      </c>
      <c r="BK7" s="696">
        <f t="shared" ref="BK7:BK10" si="13">SUM(BG7:BJ7)</f>
        <v>3678.8</v>
      </c>
      <c r="BL7" s="103">
        <v>813.1</v>
      </c>
      <c r="BM7" s="50">
        <v>879.8</v>
      </c>
      <c r="BN7" s="50">
        <v>840.90000000000009</v>
      </c>
      <c r="BO7" s="726">
        <f>3531.7-BN7-BM7-BL7</f>
        <v>997.89999999999975</v>
      </c>
      <c r="BP7" s="821">
        <f t="shared" ref="BP7:BP10" si="14">SUM(BL7:BO7)</f>
        <v>3531.7</v>
      </c>
      <c r="BQ7" s="831">
        <v>792.3</v>
      </c>
      <c r="BR7" s="876">
        <v>859</v>
      </c>
      <c r="BS7" s="935">
        <v>799.3</v>
      </c>
      <c r="BT7" s="935">
        <v>929.3</v>
      </c>
      <c r="BU7" s="966">
        <f>SUM(BQ7:BT7)</f>
        <v>3379.8999999999996</v>
      </c>
      <c r="BV7" s="988"/>
      <c r="BW7" s="988"/>
      <c r="BX7" s="1009"/>
      <c r="BY7" s="841"/>
      <c r="BZ7" s="841"/>
      <c r="CA7" s="841"/>
      <c r="CB7" s="842"/>
      <c r="CC7" s="848"/>
      <c r="CD7" s="841"/>
      <c r="CE7" s="841"/>
      <c r="CF7" s="411"/>
      <c r="CG7" s="841"/>
      <c r="CH7" s="841"/>
    </row>
    <row r="8" spans="1:92" ht="20.149999999999999" customHeight="1">
      <c r="A8" s="49" t="s">
        <v>36</v>
      </c>
      <c r="B8" s="112" t="s">
        <v>37</v>
      </c>
      <c r="C8" s="50">
        <v>2.7</v>
      </c>
      <c r="D8" s="50">
        <v>6.2</v>
      </c>
      <c r="E8" s="50">
        <v>2.6</v>
      </c>
      <c r="F8" s="50">
        <v>7.2</v>
      </c>
      <c r="G8" s="200">
        <f t="shared" si="3"/>
        <v>18.7</v>
      </c>
      <c r="H8" s="51">
        <v>13.1</v>
      </c>
      <c r="I8" s="50">
        <v>11.8</v>
      </c>
      <c r="J8" s="50">
        <v>7.1</v>
      </c>
      <c r="K8" s="50">
        <v>9.6999999999999993</v>
      </c>
      <c r="L8" s="200">
        <f t="shared" si="4"/>
        <v>41.7</v>
      </c>
      <c r="M8" s="51">
        <v>7.8999999999999986</v>
      </c>
      <c r="N8" s="50">
        <v>55.4</v>
      </c>
      <c r="O8" s="50">
        <v>104.1</v>
      </c>
      <c r="P8" s="50">
        <v>159.9</v>
      </c>
      <c r="Q8" s="200">
        <f t="shared" si="5"/>
        <v>327.29999999999995</v>
      </c>
      <c r="R8" s="50">
        <v>118.4</v>
      </c>
      <c r="S8" s="50">
        <v>106.9</v>
      </c>
      <c r="T8" s="50">
        <v>131.19999999999999</v>
      </c>
      <c r="U8" s="52">
        <v>226.89999999999998</v>
      </c>
      <c r="V8" s="200">
        <v>583.4</v>
      </c>
      <c r="W8" s="725">
        <v>172.8</v>
      </c>
      <c r="X8" s="725">
        <v>191.1</v>
      </c>
      <c r="Y8" s="726">
        <v>221.3</v>
      </c>
      <c r="Z8" s="52">
        <v>265.60000000000002</v>
      </c>
      <c r="AA8" s="200">
        <f t="shared" si="6"/>
        <v>850.80000000000007</v>
      </c>
      <c r="AB8" s="725">
        <v>248.6</v>
      </c>
      <c r="AC8" s="725">
        <v>243.3</v>
      </c>
      <c r="AD8" s="726">
        <v>264.5</v>
      </c>
      <c r="AE8" s="726">
        <v>298.8</v>
      </c>
      <c r="AF8" s="200">
        <f t="shared" si="7"/>
        <v>1055.2</v>
      </c>
      <c r="AG8" s="725">
        <v>208.6</v>
      </c>
      <c r="AH8" s="50">
        <v>239</v>
      </c>
      <c r="AI8" s="50">
        <v>237.6</v>
      </c>
      <c r="AJ8" s="726">
        <v>286.2</v>
      </c>
      <c r="AK8" s="200">
        <f t="shared" si="8"/>
        <v>971.40000000000009</v>
      </c>
      <c r="AL8" s="498"/>
      <c r="AM8" s="101">
        <v>317.5</v>
      </c>
      <c r="AN8" s="50">
        <v>341.7</v>
      </c>
      <c r="AO8" s="50">
        <v>328.6</v>
      </c>
      <c r="AP8" s="726">
        <v>398.20000000000005</v>
      </c>
      <c r="AQ8" s="200">
        <f t="shared" si="9"/>
        <v>1386</v>
      </c>
      <c r="AR8" s="726">
        <v>347.4</v>
      </c>
      <c r="AS8" s="50">
        <v>379.3</v>
      </c>
      <c r="AT8" s="50">
        <v>412.9</v>
      </c>
      <c r="AU8" s="726">
        <v>445.4</v>
      </c>
      <c r="AV8" s="200">
        <f t="shared" si="10"/>
        <v>1585</v>
      </c>
      <c r="AW8" s="103">
        <v>347.4</v>
      </c>
      <c r="AX8" s="50">
        <v>379.3</v>
      </c>
      <c r="AY8" s="50">
        <v>412.9</v>
      </c>
      <c r="AZ8" s="726">
        <v>445.4</v>
      </c>
      <c r="BA8" s="200">
        <f t="shared" si="11"/>
        <v>1585</v>
      </c>
      <c r="BB8" s="103">
        <v>345.7</v>
      </c>
      <c r="BC8" s="50">
        <v>392.9</v>
      </c>
      <c r="BD8" s="50">
        <v>433.7</v>
      </c>
      <c r="BE8" s="726">
        <v>424.4</v>
      </c>
      <c r="BF8" s="708">
        <f t="shared" si="12"/>
        <v>1596.6999999999998</v>
      </c>
      <c r="BG8" s="103">
        <v>332.7</v>
      </c>
      <c r="BH8" s="50">
        <v>350.4</v>
      </c>
      <c r="BI8" s="50">
        <v>359.1</v>
      </c>
      <c r="BJ8" s="726">
        <v>408.1</v>
      </c>
      <c r="BK8" s="696">
        <f t="shared" si="13"/>
        <v>1450.2999999999997</v>
      </c>
      <c r="BL8" s="103">
        <v>336.5</v>
      </c>
      <c r="BM8" s="50">
        <v>450.5</v>
      </c>
      <c r="BN8" s="50">
        <v>472.70000000000005</v>
      </c>
      <c r="BO8" s="726">
        <f>1805.1-BN8-BM8-BL8</f>
        <v>545.39999999999986</v>
      </c>
      <c r="BP8" s="821">
        <f t="shared" si="14"/>
        <v>1805.1</v>
      </c>
      <c r="BQ8" s="831">
        <v>484.9</v>
      </c>
      <c r="BR8" s="876">
        <v>483.6</v>
      </c>
      <c r="BS8" s="935">
        <v>446.5</v>
      </c>
      <c r="BT8" s="935">
        <v>506.7</v>
      </c>
      <c r="BU8" s="966">
        <f>SUM(BQ8:BT8)</f>
        <v>1921.7</v>
      </c>
      <c r="BV8" s="988"/>
      <c r="BW8" s="988"/>
      <c r="BX8" s="1009"/>
      <c r="BY8" s="841"/>
      <c r="BZ8" s="841"/>
      <c r="CA8" s="841"/>
      <c r="CB8" s="842"/>
      <c r="CC8" s="848"/>
      <c r="CD8" s="841"/>
      <c r="CE8" s="841"/>
      <c r="CF8" s="411"/>
      <c r="CG8" s="841"/>
      <c r="CH8" s="841"/>
    </row>
    <row r="9" spans="1:92" ht="20.149999999999999" customHeight="1">
      <c r="A9" s="49" t="s">
        <v>731</v>
      </c>
      <c r="B9" s="112" t="s">
        <v>756</v>
      </c>
      <c r="C9" s="50"/>
      <c r="D9" s="50"/>
      <c r="E9" s="50"/>
      <c r="F9" s="50"/>
      <c r="G9" s="200"/>
      <c r="H9" s="51"/>
      <c r="I9" s="50"/>
      <c r="J9" s="50"/>
      <c r="K9" s="50"/>
      <c r="L9" s="200"/>
      <c r="M9" s="51"/>
      <c r="N9" s="50"/>
      <c r="O9" s="50"/>
      <c r="P9" s="50"/>
      <c r="Q9" s="200"/>
      <c r="R9" s="50"/>
      <c r="S9" s="50"/>
      <c r="T9" s="50"/>
      <c r="U9" s="52"/>
      <c r="V9" s="200"/>
      <c r="W9" s="725"/>
      <c r="X9" s="725"/>
      <c r="Y9" s="726"/>
      <c r="Z9" s="52"/>
      <c r="AA9" s="200"/>
      <c r="AB9" s="725"/>
      <c r="AC9" s="725"/>
      <c r="AD9" s="726"/>
      <c r="AE9" s="726"/>
      <c r="AF9" s="200"/>
      <c r="AG9" s="725"/>
      <c r="AH9" s="50"/>
      <c r="AI9" s="50"/>
      <c r="AJ9" s="726"/>
      <c r="AK9" s="200"/>
      <c r="AL9" s="498"/>
      <c r="AM9" s="101"/>
      <c r="AN9" s="50"/>
      <c r="AO9" s="50"/>
      <c r="AP9" s="726"/>
      <c r="AQ9" s="200"/>
      <c r="AR9" s="726"/>
      <c r="AS9" s="50"/>
      <c r="AT9" s="50"/>
      <c r="AU9" s="726"/>
      <c r="AV9" s="200"/>
      <c r="AW9" s="103"/>
      <c r="AX9" s="50"/>
      <c r="AY9" s="50"/>
      <c r="AZ9" s="726"/>
      <c r="BA9" s="200"/>
      <c r="BB9" s="103"/>
      <c r="BC9" s="50"/>
      <c r="BD9" s="50"/>
      <c r="BE9" s="726"/>
      <c r="BF9" s="708"/>
      <c r="BG9" s="103"/>
      <c r="BH9" s="50"/>
      <c r="BI9" s="50"/>
      <c r="BJ9" s="726"/>
      <c r="BK9" s="696"/>
      <c r="BL9" s="103"/>
      <c r="BM9" s="50"/>
      <c r="BN9" s="50"/>
      <c r="BO9" s="726"/>
      <c r="BP9" s="821"/>
      <c r="BQ9" s="831"/>
      <c r="BR9" s="876"/>
      <c r="BS9" s="935">
        <v>272</v>
      </c>
      <c r="BT9" s="935">
        <v>285.60000000000002</v>
      </c>
      <c r="BU9" s="966">
        <f>SUM(BQ9:BT9)</f>
        <v>557.6</v>
      </c>
      <c r="BV9" s="988"/>
      <c r="BW9" s="988"/>
      <c r="BX9" s="1009"/>
      <c r="BY9" s="841"/>
      <c r="BZ9" s="841"/>
      <c r="CA9" s="841"/>
      <c r="CB9" s="842"/>
      <c r="CC9" s="848"/>
      <c r="CD9" s="841"/>
      <c r="CE9" s="841"/>
      <c r="CF9" s="411"/>
      <c r="CG9" s="841"/>
      <c r="CH9" s="841"/>
    </row>
    <row r="10" spans="1:92" ht="20.149999999999999" customHeight="1">
      <c r="A10" s="49" t="s">
        <v>38</v>
      </c>
      <c r="B10" s="112" t="s">
        <v>39</v>
      </c>
      <c r="C10" s="50">
        <v>7.9</v>
      </c>
      <c r="D10" s="50">
        <v>7.8</v>
      </c>
      <c r="E10" s="50">
        <v>9.5</v>
      </c>
      <c r="F10" s="50">
        <v>10.5</v>
      </c>
      <c r="G10" s="200">
        <f t="shared" si="3"/>
        <v>35.700000000000003</v>
      </c>
      <c r="H10" s="51">
        <v>8.5</v>
      </c>
      <c r="I10" s="50">
        <v>6.9</v>
      </c>
      <c r="J10" s="50">
        <v>5.9</v>
      </c>
      <c r="K10" s="50">
        <v>7.5</v>
      </c>
      <c r="L10" s="200">
        <f t="shared" si="4"/>
        <v>28.8</v>
      </c>
      <c r="M10" s="51">
        <v>5.4</v>
      </c>
      <c r="N10" s="50">
        <v>6.9</v>
      </c>
      <c r="O10" s="50">
        <v>13.2</v>
      </c>
      <c r="P10" s="50">
        <v>18.399999999999999</v>
      </c>
      <c r="Q10" s="200">
        <f t="shared" si="5"/>
        <v>43.9</v>
      </c>
      <c r="R10" s="50">
        <v>20.100000000000001</v>
      </c>
      <c r="S10" s="50">
        <v>21.6</v>
      </c>
      <c r="T10" s="50">
        <v>23.5</v>
      </c>
      <c r="U10" s="52">
        <v>24.399999999999991</v>
      </c>
      <c r="V10" s="200">
        <v>89.6</v>
      </c>
      <c r="W10" s="725">
        <v>25.7</v>
      </c>
      <c r="X10" s="725">
        <v>19.899999999999999</v>
      </c>
      <c r="Y10" s="726">
        <v>19.899999999999999</v>
      </c>
      <c r="Z10" s="52">
        <v>22.1</v>
      </c>
      <c r="AA10" s="200">
        <f t="shared" si="6"/>
        <v>87.6</v>
      </c>
      <c r="AB10" s="725">
        <v>35.200000000000003</v>
      </c>
      <c r="AC10" s="725">
        <v>41</v>
      </c>
      <c r="AD10" s="726">
        <v>44</v>
      </c>
      <c r="AE10" s="726">
        <v>46.7</v>
      </c>
      <c r="AF10" s="200">
        <f t="shared" si="7"/>
        <v>166.9</v>
      </c>
      <c r="AG10" s="725">
        <v>46</v>
      </c>
      <c r="AH10" s="50">
        <f>45.6</f>
        <v>45.6</v>
      </c>
      <c r="AI10" s="50">
        <v>38.4</v>
      </c>
      <c r="AJ10" s="726">
        <v>50.9</v>
      </c>
      <c r="AK10" s="200">
        <f t="shared" si="8"/>
        <v>180.9</v>
      </c>
      <c r="AL10" s="498"/>
      <c r="AM10" s="101">
        <v>40.299999999999997</v>
      </c>
      <c r="AN10" s="50">
        <v>40.9</v>
      </c>
      <c r="AO10" s="50">
        <v>34.299999999999997</v>
      </c>
      <c r="AP10" s="726">
        <v>48.199999999999989</v>
      </c>
      <c r="AQ10" s="200">
        <f t="shared" si="9"/>
        <v>163.69999999999999</v>
      </c>
      <c r="AR10" s="726">
        <v>56.3</v>
      </c>
      <c r="AS10" s="50">
        <v>56</v>
      </c>
      <c r="AT10" s="50">
        <v>60.6</v>
      </c>
      <c r="AU10" s="726">
        <v>69.8</v>
      </c>
      <c r="AV10" s="200">
        <f t="shared" si="10"/>
        <v>242.7</v>
      </c>
      <c r="AW10" s="103">
        <v>65.5</v>
      </c>
      <c r="AX10" s="50">
        <v>66</v>
      </c>
      <c r="AY10" s="50">
        <v>70.7</v>
      </c>
      <c r="AZ10" s="726">
        <v>79.900000000000006</v>
      </c>
      <c r="BA10" s="200">
        <f t="shared" si="11"/>
        <v>282.10000000000002</v>
      </c>
      <c r="BB10" s="103">
        <v>74.599999999999994</v>
      </c>
      <c r="BC10" s="50">
        <v>75.3</v>
      </c>
      <c r="BD10" s="54">
        <v>89.4</v>
      </c>
      <c r="BE10" s="726">
        <v>119.8</v>
      </c>
      <c r="BF10" s="708">
        <f t="shared" si="12"/>
        <v>359.09999999999997</v>
      </c>
      <c r="BG10" s="103">
        <v>109.9</v>
      </c>
      <c r="BH10" s="50">
        <v>180.3</v>
      </c>
      <c r="BI10" s="54">
        <v>138.30000000000001</v>
      </c>
      <c r="BJ10" s="726">
        <v>119.4</v>
      </c>
      <c r="BK10" s="696">
        <f t="shared" si="13"/>
        <v>547.90000000000009</v>
      </c>
      <c r="BL10" s="103">
        <v>114.9</v>
      </c>
      <c r="BM10" s="50">
        <v>172</v>
      </c>
      <c r="BN10" s="54">
        <v>204</v>
      </c>
      <c r="BO10" s="726">
        <f>626.4-BN10-BM10-BL10</f>
        <v>135.49999999999997</v>
      </c>
      <c r="BP10" s="821">
        <f t="shared" si="14"/>
        <v>626.4</v>
      </c>
      <c r="BQ10" s="877">
        <v>188.3</v>
      </c>
      <c r="BR10" s="878">
        <v>212.4</v>
      </c>
      <c r="BS10" s="935">
        <v>183.1</v>
      </c>
      <c r="BT10" s="935">
        <v>196.2</v>
      </c>
      <c r="BU10" s="966">
        <f>SUM(BQ10:BT10)</f>
        <v>780</v>
      </c>
      <c r="BV10" s="988"/>
      <c r="BW10" s="988"/>
      <c r="BX10" s="1009"/>
      <c r="BY10" s="841"/>
      <c r="BZ10" s="841"/>
      <c r="CA10" s="841"/>
      <c r="CB10" s="842"/>
      <c r="CC10" s="848"/>
      <c r="CD10" s="841"/>
      <c r="CE10" s="841"/>
      <c r="CF10" s="411"/>
      <c r="CG10" s="841"/>
      <c r="CH10" s="841"/>
    </row>
    <row r="11" spans="1:92" s="728" customFormat="1" ht="22.5" customHeight="1">
      <c r="A11" s="738" t="s">
        <v>40</v>
      </c>
      <c r="B11" s="739" t="s">
        <v>41</v>
      </c>
      <c r="C11" s="740">
        <f t="shared" ref="C11:AK11" si="15">SUM(C12:C21)</f>
        <v>-464.5</v>
      </c>
      <c r="D11" s="740">
        <f t="shared" si="15"/>
        <v>-499.7</v>
      </c>
      <c r="E11" s="740">
        <f t="shared" si="15"/>
        <v>-444.9</v>
      </c>
      <c r="F11" s="740">
        <f t="shared" si="15"/>
        <v>-562.4</v>
      </c>
      <c r="G11" s="741">
        <f t="shared" si="15"/>
        <v>-1971.5000000000002</v>
      </c>
      <c r="H11" s="742">
        <f t="shared" si="15"/>
        <v>-512.92000000000007</v>
      </c>
      <c r="I11" s="740">
        <f t="shared" si="15"/>
        <v>-542.4</v>
      </c>
      <c r="J11" s="740">
        <f t="shared" si="15"/>
        <v>-510.7</v>
      </c>
      <c r="K11" s="740">
        <f t="shared" si="15"/>
        <v>-591.70000000000005</v>
      </c>
      <c r="L11" s="741">
        <f t="shared" si="15"/>
        <v>-2157.7199999999998</v>
      </c>
      <c r="M11" s="742">
        <f t="shared" si="15"/>
        <v>-507.40000000000003</v>
      </c>
      <c r="N11" s="740">
        <f t="shared" si="15"/>
        <v>-1351.8000000000002</v>
      </c>
      <c r="O11" s="740">
        <f t="shared" si="15"/>
        <v>-1992.5000000000002</v>
      </c>
      <c r="P11" s="740">
        <f t="shared" si="15"/>
        <v>-2125.3999999999996</v>
      </c>
      <c r="Q11" s="741">
        <f t="shared" si="15"/>
        <v>-5977.1</v>
      </c>
      <c r="R11" s="740">
        <f t="shared" si="15"/>
        <v>-1909</v>
      </c>
      <c r="S11" s="740">
        <f t="shared" si="15"/>
        <v>-1899.4999999999998</v>
      </c>
      <c r="T11" s="740">
        <f t="shared" si="15"/>
        <v>-1900.1</v>
      </c>
      <c r="U11" s="740">
        <f t="shared" si="15"/>
        <v>-2159.2999999999997</v>
      </c>
      <c r="V11" s="741">
        <f t="shared" si="15"/>
        <v>-7867.9000000000005</v>
      </c>
      <c r="W11" s="740">
        <f t="shared" si="15"/>
        <v>-1948</v>
      </c>
      <c r="X11" s="740">
        <f t="shared" si="15"/>
        <v>-2042</v>
      </c>
      <c r="Y11" s="743">
        <f t="shared" si="15"/>
        <v>-1938.6999999999998</v>
      </c>
      <c r="Z11" s="743">
        <f t="shared" si="15"/>
        <v>-2140.6</v>
      </c>
      <c r="AA11" s="741">
        <f t="shared" si="15"/>
        <v>-8069.2999999999993</v>
      </c>
      <c r="AB11" s="740">
        <f t="shared" si="15"/>
        <v>-1938.1999999999996</v>
      </c>
      <c r="AC11" s="740">
        <f t="shared" si="15"/>
        <v>-1962.8000000000002</v>
      </c>
      <c r="AD11" s="740">
        <f t="shared" si="15"/>
        <v>-1975.7</v>
      </c>
      <c r="AE11" s="740">
        <f t="shared" si="15"/>
        <v>-2139.1999999999998</v>
      </c>
      <c r="AF11" s="741">
        <f t="shared" si="15"/>
        <v>-8015.9</v>
      </c>
      <c r="AG11" s="740">
        <f t="shared" si="15"/>
        <v>-1903.1000000000001</v>
      </c>
      <c r="AH11" s="740">
        <f t="shared" si="15"/>
        <v>-1986.5000000000002</v>
      </c>
      <c r="AI11" s="740">
        <f t="shared" si="15"/>
        <v>-2044</v>
      </c>
      <c r="AJ11" s="740">
        <f t="shared" si="15"/>
        <v>-2266</v>
      </c>
      <c r="AK11" s="741">
        <f t="shared" si="15"/>
        <v>-8199.6</v>
      </c>
      <c r="AL11" s="744"/>
      <c r="AM11" s="742">
        <f t="shared" ref="AM11:BO11" si="16">SUM(AM12:AM21)</f>
        <v>-1917.1000000000001</v>
      </c>
      <c r="AN11" s="740">
        <f t="shared" si="16"/>
        <v>-2127</v>
      </c>
      <c r="AO11" s="740">
        <f t="shared" si="16"/>
        <v>-2345.8000000000002</v>
      </c>
      <c r="AP11" s="740">
        <f t="shared" si="16"/>
        <v>-2588.9</v>
      </c>
      <c r="AQ11" s="741">
        <f t="shared" si="16"/>
        <v>-8978.7999999999993</v>
      </c>
      <c r="AR11" s="742">
        <f t="shared" si="16"/>
        <v>-2317.1</v>
      </c>
      <c r="AS11" s="740">
        <f t="shared" si="16"/>
        <v>-2404.4</v>
      </c>
      <c r="AT11" s="740">
        <f t="shared" si="16"/>
        <v>-2433.0000000000005</v>
      </c>
      <c r="AU11" s="740">
        <f t="shared" si="16"/>
        <v>-2592.9999999999995</v>
      </c>
      <c r="AV11" s="741">
        <f t="shared" si="16"/>
        <v>-9747.4999999999982</v>
      </c>
      <c r="AW11" s="742">
        <f t="shared" si="16"/>
        <v>-2317.0000000000005</v>
      </c>
      <c r="AX11" s="740">
        <f t="shared" si="16"/>
        <v>-2407.2000000000003</v>
      </c>
      <c r="AY11" s="740">
        <f t="shared" si="16"/>
        <v>-2436.8000000000002</v>
      </c>
      <c r="AZ11" s="740">
        <f t="shared" si="16"/>
        <v>-2593.8000000000002</v>
      </c>
      <c r="BA11" s="741">
        <f t="shared" si="16"/>
        <v>-9754.7999999999993</v>
      </c>
      <c r="BB11" s="742">
        <f t="shared" si="16"/>
        <v>-2392.1111734799997</v>
      </c>
      <c r="BC11" s="740">
        <f t="shared" si="16"/>
        <v>-2455.5999999999995</v>
      </c>
      <c r="BD11" s="740">
        <f t="shared" si="16"/>
        <v>-2494.8000000000002</v>
      </c>
      <c r="BE11" s="740">
        <f t="shared" si="16"/>
        <v>-2731.3</v>
      </c>
      <c r="BF11" s="745">
        <f t="shared" si="16"/>
        <v>-10073.81117348</v>
      </c>
      <c r="BG11" s="742">
        <f t="shared" si="16"/>
        <v>-2430.9</v>
      </c>
      <c r="BH11" s="740">
        <f t="shared" si="16"/>
        <v>-2468.1000000000004</v>
      </c>
      <c r="BI11" s="740">
        <f t="shared" si="16"/>
        <v>-2595.9</v>
      </c>
      <c r="BJ11" s="740">
        <f t="shared" si="16"/>
        <v>-2810.6000000000004</v>
      </c>
      <c r="BK11" s="745">
        <f t="shared" si="16"/>
        <v>-10305.5</v>
      </c>
      <c r="BL11" s="742">
        <f t="shared" si="16"/>
        <v>-2633.7000000000003</v>
      </c>
      <c r="BM11" s="740">
        <f t="shared" si="16"/>
        <v>-2815.4</v>
      </c>
      <c r="BN11" s="740">
        <f t="shared" si="16"/>
        <v>-2877.2999999999997</v>
      </c>
      <c r="BO11" s="740">
        <f t="shared" si="16"/>
        <v>-3073.4000000000005</v>
      </c>
      <c r="BP11" s="822">
        <f>SUM(BP12:BP21)</f>
        <v>-11399.8</v>
      </c>
      <c r="BQ11" s="832">
        <f>SUM(BQ12:BQ21)</f>
        <v>-2891.8999999999996</v>
      </c>
      <c r="BR11" s="740">
        <f t="shared" ref="BR11" si="17">SUM(BR12:BR21)</f>
        <v>-2945</v>
      </c>
      <c r="BS11" s="740">
        <f>SUM(BS12:BS17,BS19:BS21)</f>
        <v>-3165.1999999999994</v>
      </c>
      <c r="BT11" s="740">
        <f>SUM(BT12:BT17,BT19:BT21)</f>
        <v>-3486.6999999999994</v>
      </c>
      <c r="BU11" s="967">
        <f>SUM(BU12:BU17,BU19:BU21)</f>
        <v>-12488.8</v>
      </c>
      <c r="BV11" s="988"/>
      <c r="BW11" s="988"/>
      <c r="BX11" s="1009"/>
      <c r="BY11" s="841"/>
      <c r="BZ11" s="841"/>
      <c r="CA11" s="841"/>
      <c r="CB11" s="842"/>
      <c r="CC11" s="841"/>
      <c r="CD11" s="841"/>
      <c r="CE11" s="841"/>
      <c r="CF11" s="411"/>
      <c r="CG11" s="841"/>
      <c r="CH11" s="841"/>
    </row>
    <row r="12" spans="1:92" ht="30" customHeight="1">
      <c r="A12" s="49" t="s">
        <v>42</v>
      </c>
      <c r="B12" s="113" t="s">
        <v>43</v>
      </c>
      <c r="C12" s="54">
        <v>-49.7</v>
      </c>
      <c r="D12" s="54">
        <v>-55.1</v>
      </c>
      <c r="E12" s="54">
        <v>-58.6</v>
      </c>
      <c r="F12" s="54">
        <v>-59.3</v>
      </c>
      <c r="G12" s="201">
        <f>SUM(C12:F12)</f>
        <v>-222.7</v>
      </c>
      <c r="H12" s="55">
        <v>-60.7</v>
      </c>
      <c r="I12" s="54">
        <v>-62</v>
      </c>
      <c r="J12" s="54">
        <v>-62.2</v>
      </c>
      <c r="K12" s="54">
        <v>-71.400000000000006</v>
      </c>
      <c r="L12" s="201">
        <f>SUM(H12:K12)</f>
        <v>-256.3</v>
      </c>
      <c r="M12" s="55">
        <v>-71.300000000000011</v>
      </c>
      <c r="N12" s="54">
        <v>-288</v>
      </c>
      <c r="O12" s="54">
        <v>-495.9</v>
      </c>
      <c r="P12" s="54">
        <v>-557.20000000000005</v>
      </c>
      <c r="Q12" s="201">
        <f>SUM(M12:P12)</f>
        <v>-1412.4</v>
      </c>
      <c r="R12" s="54">
        <v>-482.3</v>
      </c>
      <c r="S12" s="54">
        <v>-522.4</v>
      </c>
      <c r="T12" s="54">
        <v>-551.20000000000005</v>
      </c>
      <c r="U12" s="52">
        <v>-585.09999999999991</v>
      </c>
      <c r="V12" s="201">
        <v>-2141</v>
      </c>
      <c r="W12" s="56">
        <v>-550.29999999999995</v>
      </c>
      <c r="X12" s="56">
        <v>-456.6</v>
      </c>
      <c r="Y12" s="36">
        <v>-459.2</v>
      </c>
      <c r="Z12" s="52">
        <v>-472.6</v>
      </c>
      <c r="AA12" s="201">
        <f>SUM(W12:Z12)</f>
        <v>-1938.6999999999998</v>
      </c>
      <c r="AB12" s="56">
        <v>-468.2</v>
      </c>
      <c r="AC12" s="56">
        <v>-483.5</v>
      </c>
      <c r="AD12" s="36">
        <v>-528.5</v>
      </c>
      <c r="AE12" s="36">
        <v>-533.79999999999995</v>
      </c>
      <c r="AF12" s="201">
        <f t="shared" si="7"/>
        <v>-2014</v>
      </c>
      <c r="AG12" s="56">
        <v>-504.5</v>
      </c>
      <c r="AH12" s="54">
        <v>-521.1</v>
      </c>
      <c r="AI12" s="54">
        <v>-550.29999999999995</v>
      </c>
      <c r="AJ12" s="36">
        <v>-560.1</v>
      </c>
      <c r="AK12" s="201">
        <f t="shared" ref="AK12:AK24" si="18">SUM(AG12:AJ12)</f>
        <v>-2136</v>
      </c>
      <c r="AL12" s="498"/>
      <c r="AM12" s="102">
        <v>-504.5</v>
      </c>
      <c r="AN12" s="54">
        <v>-578.5</v>
      </c>
      <c r="AO12" s="54">
        <v>-674.8</v>
      </c>
      <c r="AP12" s="36">
        <v>-691.10000000000014</v>
      </c>
      <c r="AQ12" s="201">
        <f t="shared" ref="AQ12:AQ24" si="19">SUM(AM12:AP12)</f>
        <v>-2448.9</v>
      </c>
      <c r="AR12" s="102">
        <v>-651.29999999999995</v>
      </c>
      <c r="AS12" s="54">
        <v>-678.4</v>
      </c>
      <c r="AT12" s="54">
        <v>-664.1</v>
      </c>
      <c r="AU12" s="36">
        <v>-670.2</v>
      </c>
      <c r="AV12" s="201">
        <f t="shared" ref="AV12:AV24" si="20">SUM(AR12:AU12)</f>
        <v>-2664</v>
      </c>
      <c r="AW12" s="102">
        <v>-563.79999999999995</v>
      </c>
      <c r="AX12" s="54">
        <v>-591.4</v>
      </c>
      <c r="AY12" s="54">
        <v>-575.79999999999995</v>
      </c>
      <c r="AZ12" s="36">
        <v>-580.29999999999995</v>
      </c>
      <c r="BA12" s="201">
        <f t="shared" ref="BA12:BA24" si="21">SUM(AW12:AZ12)</f>
        <v>-2311.2999999999997</v>
      </c>
      <c r="BB12" s="102">
        <v>-600.79999999999995</v>
      </c>
      <c r="BC12" s="54">
        <v>-636.1</v>
      </c>
      <c r="BD12" s="54">
        <v>-609</v>
      </c>
      <c r="BE12" s="36">
        <v>-615</v>
      </c>
      <c r="BF12" s="709">
        <f t="shared" ref="BF12:BF24" si="22">SUM(BB12:BE12)</f>
        <v>-2460.9</v>
      </c>
      <c r="BG12" s="102">
        <v>-624.70000000000005</v>
      </c>
      <c r="BH12" s="54">
        <v>-633</v>
      </c>
      <c r="BI12" s="54">
        <v>-790.3</v>
      </c>
      <c r="BJ12" s="36">
        <v>-801.7</v>
      </c>
      <c r="BK12" s="694">
        <f t="shared" ref="BK12:BK23" si="23">SUM(BG12:BJ12)</f>
        <v>-2849.7</v>
      </c>
      <c r="BL12" s="102">
        <v>-809.5</v>
      </c>
      <c r="BM12" s="54">
        <f>-808</f>
        <v>-808</v>
      </c>
      <c r="BN12" s="54">
        <v>-823.19999999999982</v>
      </c>
      <c r="BO12" s="36">
        <f>-3271.5-BN12-BM12-BL12</f>
        <v>-830.80000000000018</v>
      </c>
      <c r="BP12" s="821">
        <f t="shared" ref="BP12:BP23" si="24">SUM(BL12:BO12)</f>
        <v>-3271.5</v>
      </c>
      <c r="BQ12" s="833">
        <v>-808.6</v>
      </c>
      <c r="BR12" s="54">
        <v>-823.9</v>
      </c>
      <c r="BS12" s="936">
        <v>-838.1</v>
      </c>
      <c r="BT12" s="936">
        <v>-862.1</v>
      </c>
      <c r="BU12" s="966">
        <f t="shared" ref="BU12:BU17" si="25">SUM(BQ12:BT12)</f>
        <v>-3332.7</v>
      </c>
      <c r="BV12" s="988"/>
      <c r="BW12" s="988"/>
      <c r="BX12" s="1009"/>
      <c r="BY12" s="841"/>
      <c r="BZ12" s="841"/>
      <c r="CA12" s="841"/>
      <c r="CB12" s="842"/>
      <c r="CC12" s="848"/>
      <c r="CD12" s="841"/>
      <c r="CE12" s="841"/>
      <c r="CF12" s="411"/>
      <c r="CG12" s="841"/>
      <c r="CH12" s="841"/>
    </row>
    <row r="13" spans="1:92" ht="18.75" customHeight="1">
      <c r="A13" s="49" t="s">
        <v>44</v>
      </c>
      <c r="B13" s="112" t="s">
        <v>45</v>
      </c>
      <c r="C13" s="54">
        <v>-54.4</v>
      </c>
      <c r="D13" s="54">
        <v>-56.7</v>
      </c>
      <c r="E13" s="54">
        <v>-60.2</v>
      </c>
      <c r="F13" s="54">
        <v>-71.7</v>
      </c>
      <c r="G13" s="201">
        <f>SUM(C13:F13)</f>
        <v>-243</v>
      </c>
      <c r="H13" s="55">
        <v>-60.7</v>
      </c>
      <c r="I13" s="54">
        <v>-62.3</v>
      </c>
      <c r="J13" s="54">
        <v>-64.8</v>
      </c>
      <c r="K13" s="54">
        <v>-68.599999999999994</v>
      </c>
      <c r="L13" s="201">
        <f>SUM(H13:K13)</f>
        <v>-256.39999999999998</v>
      </c>
      <c r="M13" s="55">
        <v>-62.5</v>
      </c>
      <c r="N13" s="54">
        <v>-311.3</v>
      </c>
      <c r="O13" s="54">
        <v>-478.3</v>
      </c>
      <c r="P13" s="54">
        <v>-443.8</v>
      </c>
      <c r="Q13" s="201">
        <f>SUM(M13:P13)</f>
        <v>-1295.9000000000001</v>
      </c>
      <c r="R13" s="54">
        <v>-467.9</v>
      </c>
      <c r="S13" s="54">
        <v>-393.5</v>
      </c>
      <c r="T13" s="54">
        <v>-401.2</v>
      </c>
      <c r="U13" s="52">
        <v>-436.70000000000005</v>
      </c>
      <c r="V13" s="201">
        <v>-1699.3</v>
      </c>
      <c r="W13" s="56">
        <v>-423.7</v>
      </c>
      <c r="X13" s="56">
        <v>-527.5</v>
      </c>
      <c r="Y13" s="36">
        <v>-507.9</v>
      </c>
      <c r="Z13" s="52">
        <v>-512.4</v>
      </c>
      <c r="AA13" s="201">
        <f>SUM(W13:Z13)</f>
        <v>-1971.5</v>
      </c>
      <c r="AB13" s="56">
        <v>-472.3</v>
      </c>
      <c r="AC13" s="56">
        <v>-446.7</v>
      </c>
      <c r="AD13" s="36">
        <v>-429.2</v>
      </c>
      <c r="AE13" s="36">
        <v>-434.8</v>
      </c>
      <c r="AF13" s="201">
        <f t="shared" si="7"/>
        <v>-1783</v>
      </c>
      <c r="AG13" s="56">
        <v>-454.5</v>
      </c>
      <c r="AH13" s="54">
        <v>-439.1</v>
      </c>
      <c r="AI13" s="54">
        <v>-452.5</v>
      </c>
      <c r="AJ13" s="36">
        <v>-430.6</v>
      </c>
      <c r="AK13" s="201">
        <f t="shared" si="18"/>
        <v>-1776.6999999999998</v>
      </c>
      <c r="AL13" s="498"/>
      <c r="AM13" s="102">
        <v>-454.5</v>
      </c>
      <c r="AN13" s="54">
        <v>-470.8</v>
      </c>
      <c r="AO13" s="54">
        <v>-523.5</v>
      </c>
      <c r="AP13" s="36">
        <v>-521.90000000000009</v>
      </c>
      <c r="AQ13" s="201">
        <f t="shared" si="19"/>
        <v>-1970.7</v>
      </c>
      <c r="AR13" s="102">
        <v>-440.1</v>
      </c>
      <c r="AS13" s="54">
        <v>-444.6</v>
      </c>
      <c r="AT13" s="54">
        <v>-448.5</v>
      </c>
      <c r="AU13" s="36">
        <v>-453.2</v>
      </c>
      <c r="AV13" s="201">
        <f t="shared" si="20"/>
        <v>-1786.4</v>
      </c>
      <c r="AW13" s="102">
        <v>-547.1</v>
      </c>
      <c r="AX13" s="54">
        <v>-553.6</v>
      </c>
      <c r="AY13" s="54">
        <v>-561.5</v>
      </c>
      <c r="AZ13" s="36">
        <v>-567.5</v>
      </c>
      <c r="BA13" s="201">
        <f t="shared" si="21"/>
        <v>-2229.6999999999998</v>
      </c>
      <c r="BB13" s="102">
        <v>-564.5</v>
      </c>
      <c r="BC13" s="54">
        <v>-565.9</v>
      </c>
      <c r="BD13" s="54">
        <v>-573</v>
      </c>
      <c r="BE13" s="36">
        <v>-602.29999999999995</v>
      </c>
      <c r="BF13" s="709">
        <f t="shared" si="22"/>
        <v>-2305.6999999999998</v>
      </c>
      <c r="BG13" s="102">
        <v>-521.20000000000005</v>
      </c>
      <c r="BH13" s="54">
        <v>-457.2</v>
      </c>
      <c r="BI13" s="54">
        <v>-463.6</v>
      </c>
      <c r="BJ13" s="36">
        <v>-461.2</v>
      </c>
      <c r="BK13" s="694">
        <f t="shared" si="23"/>
        <v>-1903.2</v>
      </c>
      <c r="BL13" s="102">
        <v>-446.3</v>
      </c>
      <c r="BM13" s="54">
        <v>-467.5</v>
      </c>
      <c r="BN13" s="54">
        <v>-452.1</v>
      </c>
      <c r="BO13" s="36">
        <f>-1829-BN13-BM13-BL13</f>
        <v>-463.10000000000008</v>
      </c>
      <c r="BP13" s="821">
        <f t="shared" si="24"/>
        <v>-1829.0000000000002</v>
      </c>
      <c r="BQ13" s="833">
        <v>-462.5</v>
      </c>
      <c r="BR13" s="54">
        <v>-468.7</v>
      </c>
      <c r="BS13" s="936">
        <v>-475</v>
      </c>
      <c r="BT13" s="936">
        <v>-494.2</v>
      </c>
      <c r="BU13" s="966">
        <f t="shared" si="25"/>
        <v>-1900.4</v>
      </c>
      <c r="BV13" s="988"/>
      <c r="BW13" s="988"/>
      <c r="BX13" s="1009"/>
      <c r="BY13" s="841"/>
      <c r="BZ13" s="841"/>
      <c r="CA13" s="841"/>
      <c r="CB13" s="842"/>
      <c r="CC13" s="848"/>
      <c r="CD13" s="841"/>
      <c r="CE13" s="841"/>
      <c r="CF13" s="411"/>
      <c r="CG13" s="841"/>
      <c r="CH13" s="841"/>
    </row>
    <row r="14" spans="1:92" ht="18.75" customHeight="1">
      <c r="A14" s="49" t="s">
        <v>46</v>
      </c>
      <c r="B14" s="112" t="s">
        <v>47</v>
      </c>
      <c r="C14" s="54">
        <v>-5.5</v>
      </c>
      <c r="D14" s="54">
        <v>-7.6</v>
      </c>
      <c r="E14" s="54">
        <v>-7</v>
      </c>
      <c r="F14" s="54">
        <v>-16.100000000000001</v>
      </c>
      <c r="G14" s="201">
        <f>SUM(C14:F14)</f>
        <v>-36.200000000000003</v>
      </c>
      <c r="H14" s="55">
        <v>-25.8</v>
      </c>
      <c r="I14" s="54">
        <v>-16.8</v>
      </c>
      <c r="J14" s="54">
        <v>-10.7</v>
      </c>
      <c r="K14" s="54">
        <v>-10.6</v>
      </c>
      <c r="L14" s="201">
        <f>SUM(H14:K14)</f>
        <v>-63.9</v>
      </c>
      <c r="M14" s="55">
        <v>-10.300000000000011</v>
      </c>
      <c r="N14" s="54">
        <v>-189.7</v>
      </c>
      <c r="O14" s="54">
        <v>-348.6</v>
      </c>
      <c r="P14" s="54">
        <v>-376.6</v>
      </c>
      <c r="Q14" s="201">
        <f>SUM(M14:P14)</f>
        <v>-925.2</v>
      </c>
      <c r="R14" s="54">
        <v>-332.5</v>
      </c>
      <c r="S14" s="54">
        <v>-291.7</v>
      </c>
      <c r="T14" s="54">
        <v>-314.89999999999998</v>
      </c>
      <c r="U14" s="52">
        <v>-393.59999999999991</v>
      </c>
      <c r="V14" s="201">
        <v>-1332.8</v>
      </c>
      <c r="W14" s="56">
        <v>-326.8</v>
      </c>
      <c r="X14" s="56">
        <v>-317.3</v>
      </c>
      <c r="Y14" s="36">
        <v>-330.5</v>
      </c>
      <c r="Z14" s="52">
        <v>-380.1</v>
      </c>
      <c r="AA14" s="201">
        <f>SUM(W14:Z14)</f>
        <v>-1354.7</v>
      </c>
      <c r="AB14" s="56">
        <v>-323.60000000000002</v>
      </c>
      <c r="AC14" s="56">
        <v>-318.8</v>
      </c>
      <c r="AD14" s="36">
        <v>-323.3</v>
      </c>
      <c r="AE14" s="36">
        <v>-357.9</v>
      </c>
      <c r="AF14" s="201">
        <f t="shared" si="7"/>
        <v>-1323.6</v>
      </c>
      <c r="AG14" s="56">
        <v>-258.5</v>
      </c>
      <c r="AH14" s="54">
        <v>-275.2</v>
      </c>
      <c r="AI14" s="54">
        <v>-277.3</v>
      </c>
      <c r="AJ14" s="36">
        <v>-331.7</v>
      </c>
      <c r="AK14" s="201">
        <f t="shared" si="18"/>
        <v>-1142.7</v>
      </c>
      <c r="AL14" s="498"/>
      <c r="AM14" s="102">
        <v>-272.5</v>
      </c>
      <c r="AN14" s="54">
        <v>-282.5</v>
      </c>
      <c r="AO14" s="54">
        <v>-281.10000000000002</v>
      </c>
      <c r="AP14" s="36">
        <v>-338.1</v>
      </c>
      <c r="AQ14" s="201">
        <f t="shared" si="19"/>
        <v>-1174.2</v>
      </c>
      <c r="AR14" s="102">
        <v>-289.39999999999998</v>
      </c>
      <c r="AS14" s="54">
        <v>-321.7</v>
      </c>
      <c r="AT14" s="54">
        <v>-340.7</v>
      </c>
      <c r="AU14" s="36">
        <v>-368.6</v>
      </c>
      <c r="AV14" s="201">
        <f t="shared" si="20"/>
        <v>-1320.4</v>
      </c>
      <c r="AW14" s="102">
        <v>-289.39999999999998</v>
      </c>
      <c r="AX14" s="54">
        <v>-321.7</v>
      </c>
      <c r="AY14" s="54">
        <v>-340.7</v>
      </c>
      <c r="AZ14" s="36">
        <v>-368.6</v>
      </c>
      <c r="BA14" s="201">
        <f t="shared" si="21"/>
        <v>-1320.4</v>
      </c>
      <c r="BB14" s="102">
        <v>-282.3</v>
      </c>
      <c r="BC14" s="54">
        <v>-334.8</v>
      </c>
      <c r="BD14" s="54">
        <v>-361.6</v>
      </c>
      <c r="BE14" s="36">
        <v>-359.5</v>
      </c>
      <c r="BF14" s="709">
        <f t="shared" si="22"/>
        <v>-1338.2</v>
      </c>
      <c r="BG14" s="102">
        <v>-276.7</v>
      </c>
      <c r="BH14" s="54">
        <v>-289.2</v>
      </c>
      <c r="BI14" s="54">
        <v>-297.60000000000002</v>
      </c>
      <c r="BJ14" s="36">
        <v>-337.2</v>
      </c>
      <c r="BK14" s="694">
        <f t="shared" si="23"/>
        <v>-1200.7</v>
      </c>
      <c r="BL14" s="102">
        <v>-277.5</v>
      </c>
      <c r="BM14" s="54">
        <v>-382</v>
      </c>
      <c r="BN14" s="54">
        <v>-365.40000000000009</v>
      </c>
      <c r="BO14" s="36">
        <f>-1454.4-BN14-BM14-BL14</f>
        <v>-429.5</v>
      </c>
      <c r="BP14" s="821">
        <f t="shared" si="24"/>
        <v>-1454.4</v>
      </c>
      <c r="BQ14" s="833">
        <v>-392.6</v>
      </c>
      <c r="BR14" s="54">
        <v>-384</v>
      </c>
      <c r="BS14" s="936">
        <v>-348.1</v>
      </c>
      <c r="BT14" s="936">
        <v>-415.2</v>
      </c>
      <c r="BU14" s="966">
        <f t="shared" si="25"/>
        <v>-1539.9</v>
      </c>
      <c r="BV14" s="988"/>
      <c r="BW14" s="988"/>
      <c r="BX14" s="1009"/>
      <c r="BY14" s="841"/>
      <c r="BZ14" s="1009"/>
      <c r="CA14" s="1009"/>
      <c r="CB14" s="1009"/>
      <c r="CC14" s="1009"/>
      <c r="CD14" s="1009"/>
      <c r="CE14" s="1009"/>
      <c r="CF14" s="411"/>
      <c r="CG14" s="841"/>
      <c r="CH14" s="841"/>
    </row>
    <row r="15" spans="1:92" ht="18.75" customHeight="1">
      <c r="A15" s="49" t="s">
        <v>48</v>
      </c>
      <c r="B15" s="112" t="s">
        <v>49</v>
      </c>
      <c r="C15" s="54">
        <v>-206.8</v>
      </c>
      <c r="D15" s="54">
        <v>-226.6</v>
      </c>
      <c r="E15" s="54">
        <v>-171.5</v>
      </c>
      <c r="F15" s="54">
        <v>-219</v>
      </c>
      <c r="G15" s="201">
        <f>SUM(C15:F15)</f>
        <v>-823.9</v>
      </c>
      <c r="H15" s="55">
        <v>-207.5</v>
      </c>
      <c r="I15" s="54">
        <v>-239.5</v>
      </c>
      <c r="J15" s="54">
        <v>-219.3</v>
      </c>
      <c r="K15" s="54">
        <v>-260.7</v>
      </c>
      <c r="L15" s="201">
        <f>SUM(H15:K15)</f>
        <v>-927</v>
      </c>
      <c r="M15" s="55">
        <v>-210.60000000000002</v>
      </c>
      <c r="N15" s="54">
        <v>-260.89999999999998</v>
      </c>
      <c r="O15" s="54">
        <v>-262.39999999999998</v>
      </c>
      <c r="P15" s="54">
        <v>-295.60000000000002</v>
      </c>
      <c r="Q15" s="201">
        <f>SUM(M15:P15)</f>
        <v>-1029.5</v>
      </c>
      <c r="R15" s="54">
        <v>-235.5</v>
      </c>
      <c r="S15" s="54">
        <v>-274</v>
      </c>
      <c r="T15" s="54">
        <v>-257.3</v>
      </c>
      <c r="U15" s="52">
        <v>-299.10000000000014</v>
      </c>
      <c r="V15" s="201">
        <v>-1065.9000000000001</v>
      </c>
      <c r="W15" s="56">
        <v>-248.5</v>
      </c>
      <c r="X15" s="56">
        <v>-316.3</v>
      </c>
      <c r="Y15" s="36">
        <v>-252.1</v>
      </c>
      <c r="Z15" s="52">
        <v>-297.3</v>
      </c>
      <c r="AA15" s="201">
        <f>SUM(W15:Z15)</f>
        <v>-1114.2</v>
      </c>
      <c r="AB15" s="56">
        <v>-264.3</v>
      </c>
      <c r="AC15" s="56">
        <v>-298.39999999999998</v>
      </c>
      <c r="AD15" s="36">
        <v>-269.7</v>
      </c>
      <c r="AE15" s="36">
        <v>-321.2</v>
      </c>
      <c r="AF15" s="201">
        <f t="shared" si="7"/>
        <v>-1153.6000000000001</v>
      </c>
      <c r="AG15" s="56">
        <v>-269.39999999999998</v>
      </c>
      <c r="AH15" s="54">
        <v>-316.8</v>
      </c>
      <c r="AI15" s="54">
        <v>-323.5</v>
      </c>
      <c r="AJ15" s="36">
        <v>-406.8</v>
      </c>
      <c r="AK15" s="201">
        <f t="shared" si="18"/>
        <v>-1316.5</v>
      </c>
      <c r="AL15" s="498"/>
      <c r="AM15" s="102">
        <v>-269.39999999999998</v>
      </c>
      <c r="AN15" s="54">
        <v>-323</v>
      </c>
      <c r="AO15" s="54">
        <v>-338.9</v>
      </c>
      <c r="AP15" s="36">
        <v>-424</v>
      </c>
      <c r="AQ15" s="201">
        <f t="shared" si="19"/>
        <v>-1355.3</v>
      </c>
      <c r="AR15" s="102">
        <v>-369</v>
      </c>
      <c r="AS15" s="54">
        <v>-418</v>
      </c>
      <c r="AT15" s="54">
        <v>-423</v>
      </c>
      <c r="AU15" s="36">
        <v>-456.9</v>
      </c>
      <c r="AV15" s="201">
        <f t="shared" si="20"/>
        <v>-1666.9</v>
      </c>
      <c r="AW15" s="102">
        <v>-366.9</v>
      </c>
      <c r="AX15" s="54">
        <v>-415.8</v>
      </c>
      <c r="AY15" s="54">
        <v>-421</v>
      </c>
      <c r="AZ15" s="36">
        <v>-454.8</v>
      </c>
      <c r="BA15" s="201">
        <f t="shared" si="21"/>
        <v>-1658.5</v>
      </c>
      <c r="BB15" s="102">
        <v>-388.8</v>
      </c>
      <c r="BC15" s="54">
        <v>-368.9</v>
      </c>
      <c r="BD15" s="54">
        <v>-396.7</v>
      </c>
      <c r="BE15" s="36">
        <v>-484</v>
      </c>
      <c r="BF15" s="709">
        <f t="shared" si="22"/>
        <v>-1638.4</v>
      </c>
      <c r="BG15" s="102">
        <v>-419.4</v>
      </c>
      <c r="BH15" s="54">
        <v>-449.2</v>
      </c>
      <c r="BI15" s="54">
        <v>-426.9</v>
      </c>
      <c r="BJ15" s="36">
        <v>-531.4</v>
      </c>
      <c r="BK15" s="694">
        <f t="shared" si="23"/>
        <v>-1826.9</v>
      </c>
      <c r="BL15" s="102">
        <v>-473.5</v>
      </c>
      <c r="BM15" s="54">
        <v>-504.9</v>
      </c>
      <c r="BN15" s="54">
        <v>-530</v>
      </c>
      <c r="BO15" s="36">
        <f>-2063.9-BN15-BM15-BL15</f>
        <v>-555.5</v>
      </c>
      <c r="BP15" s="821">
        <f t="shared" si="24"/>
        <v>-2063.9</v>
      </c>
      <c r="BQ15" s="833">
        <v>-514.5</v>
      </c>
      <c r="BR15" s="54">
        <v>-529.4</v>
      </c>
      <c r="BS15" s="936">
        <v>-516.6</v>
      </c>
      <c r="BT15" s="936">
        <v>-565.6</v>
      </c>
      <c r="BU15" s="966">
        <f t="shared" si="25"/>
        <v>-2126.1</v>
      </c>
      <c r="BV15" s="988"/>
      <c r="BW15" s="988"/>
      <c r="BX15" s="1009"/>
      <c r="BY15" s="841"/>
      <c r="BZ15" s="1009"/>
      <c r="CA15" s="1009"/>
      <c r="CB15" s="1009"/>
      <c r="CC15" s="1009"/>
      <c r="CD15" s="1009"/>
      <c r="CE15" s="1009"/>
      <c r="CF15" s="411"/>
      <c r="CG15" s="841"/>
      <c r="CH15" s="841"/>
    </row>
    <row r="16" spans="1:92" ht="26">
      <c r="A16" s="49" t="s">
        <v>50</v>
      </c>
      <c r="B16" s="112" t="s">
        <v>51</v>
      </c>
      <c r="C16" s="54">
        <v>-71.5</v>
      </c>
      <c r="D16" s="54">
        <v>-71.8</v>
      </c>
      <c r="E16" s="54">
        <v>-73.7</v>
      </c>
      <c r="F16" s="54">
        <v>-95.7</v>
      </c>
      <c r="G16" s="201">
        <f>SUM(C16:F16)</f>
        <v>-312.7</v>
      </c>
      <c r="H16" s="55">
        <v>-79</v>
      </c>
      <c r="I16" s="54">
        <v>-81.3</v>
      </c>
      <c r="J16" s="54">
        <v>-79.3</v>
      </c>
      <c r="K16" s="54">
        <v>-92.4</v>
      </c>
      <c r="L16" s="201">
        <f>SUM(H16:K16)</f>
        <v>-332</v>
      </c>
      <c r="M16" s="55">
        <v>-75.400000000000006</v>
      </c>
      <c r="N16" s="54">
        <v>-132.19999999999999</v>
      </c>
      <c r="O16" s="54">
        <v>-186.8</v>
      </c>
      <c r="P16" s="54">
        <v>-218.3</v>
      </c>
      <c r="Q16" s="201">
        <f>SUM(M16:P16)</f>
        <v>-612.70000000000005</v>
      </c>
      <c r="R16" s="54">
        <v>-189.2</v>
      </c>
      <c r="S16" s="54">
        <v>-193.2</v>
      </c>
      <c r="T16" s="54">
        <v>-200.1</v>
      </c>
      <c r="U16" s="52">
        <v>-220.1</v>
      </c>
      <c r="V16" s="201">
        <v>-802.6</v>
      </c>
      <c r="W16" s="56">
        <v>-200.5</v>
      </c>
      <c r="X16" s="56">
        <v>-202.2</v>
      </c>
      <c r="Y16" s="36">
        <v>-202.6</v>
      </c>
      <c r="Z16" s="52">
        <v>-222.5</v>
      </c>
      <c r="AA16" s="201">
        <f>SUM(W16:Z16)</f>
        <v>-827.8</v>
      </c>
      <c r="AB16" s="56">
        <v>-211.1</v>
      </c>
      <c r="AC16" s="56">
        <v>-215.9</v>
      </c>
      <c r="AD16" s="36">
        <v>-224</v>
      </c>
      <c r="AE16" s="36">
        <v>-243.3</v>
      </c>
      <c r="AF16" s="201">
        <f t="shared" si="7"/>
        <v>-894.3</v>
      </c>
      <c r="AG16" s="56">
        <v>-205.2</v>
      </c>
      <c r="AH16" s="54">
        <v>-214.9</v>
      </c>
      <c r="AI16" s="54">
        <v>-217.1</v>
      </c>
      <c r="AJ16" s="36">
        <v>-265.60000000000002</v>
      </c>
      <c r="AK16" s="201">
        <f t="shared" si="18"/>
        <v>-902.80000000000007</v>
      </c>
      <c r="AL16" s="498"/>
      <c r="AM16" s="102">
        <v>-205.2</v>
      </c>
      <c r="AN16" s="54">
        <v>-223.5</v>
      </c>
      <c r="AO16" s="54">
        <v>-236.5</v>
      </c>
      <c r="AP16" s="36">
        <v>-268.69999999999993</v>
      </c>
      <c r="AQ16" s="201">
        <f t="shared" si="19"/>
        <v>-933.9</v>
      </c>
      <c r="AR16" s="102">
        <v>-249.5</v>
      </c>
      <c r="AS16" s="54">
        <v>-245.6</v>
      </c>
      <c r="AT16" s="54">
        <v>-261</v>
      </c>
      <c r="AU16" s="36">
        <v>-282.7</v>
      </c>
      <c r="AV16" s="201">
        <f t="shared" si="20"/>
        <v>-1038.8</v>
      </c>
      <c r="AW16" s="102">
        <v>-244.8</v>
      </c>
      <c r="AX16" s="54">
        <v>-241.8</v>
      </c>
      <c r="AY16" s="54">
        <v>-256.60000000000002</v>
      </c>
      <c r="AZ16" s="36">
        <v>-278.10000000000002</v>
      </c>
      <c r="BA16" s="201">
        <f t="shared" si="21"/>
        <v>-1021.3000000000001</v>
      </c>
      <c r="BB16" s="102">
        <v>-224.4</v>
      </c>
      <c r="BC16" s="54">
        <v>-232</v>
      </c>
      <c r="BD16" s="54">
        <v>-247.4</v>
      </c>
      <c r="BE16" s="36">
        <v>-259.39999999999998</v>
      </c>
      <c r="BF16" s="709">
        <f t="shared" si="22"/>
        <v>-963.19999999999993</v>
      </c>
      <c r="BG16" s="102">
        <v>-229</v>
      </c>
      <c r="BH16" s="54">
        <v>-230.6</v>
      </c>
      <c r="BI16" s="54">
        <v>-280.60000000000002</v>
      </c>
      <c r="BJ16" s="36">
        <v>-284.8</v>
      </c>
      <c r="BK16" s="694">
        <f t="shared" si="23"/>
        <v>-1025</v>
      </c>
      <c r="BL16" s="102">
        <v>-251.1</v>
      </c>
      <c r="BM16" s="54">
        <v>-256.2</v>
      </c>
      <c r="BN16" s="54">
        <v>-256.60000000000002</v>
      </c>
      <c r="BO16" s="36">
        <f>-1035-BN16-BM16-BL16</f>
        <v>-271.10000000000002</v>
      </c>
      <c r="BP16" s="821">
        <f t="shared" si="24"/>
        <v>-1035</v>
      </c>
      <c r="BQ16" s="833">
        <v>-243.6</v>
      </c>
      <c r="BR16" s="54">
        <v>-247.7</v>
      </c>
      <c r="BS16" s="936">
        <v>-258.2</v>
      </c>
      <c r="BT16" s="936">
        <v>-277.39999999999998</v>
      </c>
      <c r="BU16" s="966">
        <f t="shared" si="25"/>
        <v>-1026.9000000000001</v>
      </c>
      <c r="BV16" s="988"/>
      <c r="BW16" s="988"/>
      <c r="BX16" s="1009"/>
      <c r="BY16" s="841"/>
      <c r="BZ16" s="1009"/>
      <c r="CA16" s="1009"/>
      <c r="CB16" s="1009"/>
      <c r="CC16" s="1009"/>
      <c r="CD16" s="1009"/>
      <c r="CE16" s="1009"/>
      <c r="CF16" s="411"/>
      <c r="CG16" s="841"/>
      <c r="CH16" s="841"/>
    </row>
    <row r="17" spans="1:90" ht="18.75" customHeight="1">
      <c r="A17" s="49" t="s">
        <v>732</v>
      </c>
      <c r="B17" s="112" t="s">
        <v>737</v>
      </c>
      <c r="C17" s="54"/>
      <c r="D17" s="54"/>
      <c r="E17" s="54"/>
      <c r="F17" s="54"/>
      <c r="G17" s="201"/>
      <c r="H17" s="55"/>
      <c r="I17" s="54"/>
      <c r="J17" s="54"/>
      <c r="K17" s="54"/>
      <c r="L17" s="201"/>
      <c r="M17" s="55"/>
      <c r="N17" s="54"/>
      <c r="O17" s="54"/>
      <c r="P17" s="54"/>
      <c r="Q17" s="201"/>
      <c r="R17" s="54"/>
      <c r="S17" s="54"/>
      <c r="T17" s="54"/>
      <c r="U17" s="52"/>
      <c r="V17" s="201"/>
      <c r="W17" s="56"/>
      <c r="X17" s="56"/>
      <c r="Y17" s="36"/>
      <c r="Z17" s="52"/>
      <c r="AA17" s="201"/>
      <c r="AB17" s="56"/>
      <c r="AC17" s="56"/>
      <c r="AD17" s="36"/>
      <c r="AE17" s="36"/>
      <c r="AF17" s="201"/>
      <c r="AG17" s="56"/>
      <c r="AH17" s="54"/>
      <c r="AI17" s="54"/>
      <c r="AJ17" s="36"/>
      <c r="AK17" s="201"/>
      <c r="AL17" s="498"/>
      <c r="AM17" s="102"/>
      <c r="AN17" s="54"/>
      <c r="AO17" s="54"/>
      <c r="AP17" s="36"/>
      <c r="AQ17" s="201"/>
      <c r="AR17" s="102"/>
      <c r="AS17" s="54"/>
      <c r="AT17" s="54"/>
      <c r="AU17" s="36"/>
      <c r="AV17" s="201"/>
      <c r="AW17" s="102"/>
      <c r="AX17" s="54"/>
      <c r="AY17" s="54"/>
      <c r="AZ17" s="36"/>
      <c r="BA17" s="201"/>
      <c r="BB17" s="102"/>
      <c r="BC17" s="54"/>
      <c r="BD17" s="54"/>
      <c r="BE17" s="36"/>
      <c r="BF17" s="709"/>
      <c r="BG17" s="102"/>
      <c r="BH17" s="54"/>
      <c r="BI17" s="54"/>
      <c r="BJ17" s="36"/>
      <c r="BK17" s="694"/>
      <c r="BL17" s="102"/>
      <c r="BM17" s="54"/>
      <c r="BN17" s="54"/>
      <c r="BO17" s="36"/>
      <c r="BP17" s="821"/>
      <c r="BQ17" s="833"/>
      <c r="BR17" s="54"/>
      <c r="BS17" s="54">
        <v>-255.1</v>
      </c>
      <c r="BT17" s="936">
        <v>-268.2</v>
      </c>
      <c r="BU17" s="966">
        <f t="shared" si="25"/>
        <v>-523.29999999999995</v>
      </c>
      <c r="BV17" s="988"/>
      <c r="BW17" s="988"/>
      <c r="BX17" s="1009"/>
      <c r="BY17" s="841"/>
      <c r="BZ17" s="1009"/>
      <c r="CA17" s="1009"/>
      <c r="CB17" s="1009"/>
      <c r="CC17" s="1009"/>
      <c r="CD17" s="1009"/>
      <c r="CE17" s="1009"/>
      <c r="CF17" s="411"/>
      <c r="CG17" s="841"/>
      <c r="CH17" s="841"/>
    </row>
    <row r="18" spans="1:90" s="923" customFormat="1" ht="18.75" customHeight="1">
      <c r="A18" s="908" t="s">
        <v>733</v>
      </c>
      <c r="B18" s="908" t="s">
        <v>738</v>
      </c>
      <c r="C18" s="909"/>
      <c r="D18" s="909"/>
      <c r="E18" s="909"/>
      <c r="F18" s="909"/>
      <c r="G18" s="910"/>
      <c r="H18" s="911"/>
      <c r="I18" s="909"/>
      <c r="J18" s="909"/>
      <c r="K18" s="909"/>
      <c r="L18" s="910"/>
      <c r="M18" s="911"/>
      <c r="N18" s="909"/>
      <c r="O18" s="909"/>
      <c r="P18" s="909"/>
      <c r="Q18" s="910"/>
      <c r="R18" s="909"/>
      <c r="S18" s="909"/>
      <c r="T18" s="909"/>
      <c r="U18" s="912"/>
      <c r="V18" s="910"/>
      <c r="W18" s="913"/>
      <c r="X18" s="913"/>
      <c r="Y18" s="914"/>
      <c r="Z18" s="912"/>
      <c r="AA18" s="910"/>
      <c r="AB18" s="913"/>
      <c r="AC18" s="913"/>
      <c r="AD18" s="914"/>
      <c r="AE18" s="914"/>
      <c r="AF18" s="910"/>
      <c r="AG18" s="913"/>
      <c r="AH18" s="909"/>
      <c r="AI18" s="909"/>
      <c r="AJ18" s="914"/>
      <c r="AK18" s="910"/>
      <c r="AL18" s="915"/>
      <c r="AM18" s="916"/>
      <c r="AN18" s="909"/>
      <c r="AO18" s="909"/>
      <c r="AP18" s="914"/>
      <c r="AQ18" s="910"/>
      <c r="AR18" s="916"/>
      <c r="AS18" s="909"/>
      <c r="AT18" s="909"/>
      <c r="AU18" s="914"/>
      <c r="AV18" s="910"/>
      <c r="AW18" s="916"/>
      <c r="AX18" s="909"/>
      <c r="AY18" s="909"/>
      <c r="AZ18" s="914"/>
      <c r="BA18" s="910"/>
      <c r="BB18" s="916"/>
      <c r="BC18" s="909"/>
      <c r="BD18" s="909"/>
      <c r="BE18" s="914"/>
      <c r="BF18" s="917"/>
      <c r="BG18" s="916"/>
      <c r="BH18" s="909"/>
      <c r="BI18" s="909"/>
      <c r="BJ18" s="914"/>
      <c r="BK18" s="918"/>
      <c r="BL18" s="916"/>
      <c r="BM18" s="909"/>
      <c r="BN18" s="909"/>
      <c r="BO18" s="914"/>
      <c r="BP18" s="919"/>
      <c r="BQ18" s="920"/>
      <c r="BR18" s="909"/>
      <c r="BS18" s="909">
        <v>-8.5</v>
      </c>
      <c r="BT18" s="1022">
        <v>-9.3000000000000007</v>
      </c>
      <c r="BU18" s="966">
        <f>SUM(BQ18:BT18)</f>
        <v>-17.8</v>
      </c>
      <c r="BV18" s="988"/>
      <c r="BW18" s="988"/>
      <c r="BX18" s="1009"/>
      <c r="BY18" s="921"/>
      <c r="BZ18" s="1009"/>
      <c r="CA18" s="1009"/>
      <c r="CB18" s="1009"/>
      <c r="CC18" s="1009"/>
      <c r="CD18" s="1009"/>
      <c r="CE18" s="1009"/>
      <c r="CF18" s="922"/>
      <c r="CG18" s="841"/>
      <c r="CH18" s="841"/>
    </row>
    <row r="19" spans="1:90" ht="18.75" customHeight="1">
      <c r="A19" s="49" t="s">
        <v>52</v>
      </c>
      <c r="B19" s="112" t="s">
        <v>53</v>
      </c>
      <c r="C19" s="54">
        <v>-40.6</v>
      </c>
      <c r="D19" s="54">
        <v>-40.299999999999997</v>
      </c>
      <c r="E19" s="54">
        <v>-38.9</v>
      </c>
      <c r="F19" s="54">
        <v>-58.6</v>
      </c>
      <c r="G19" s="201">
        <f t="shared" ref="G19:G24" si="26">SUM(C19:F19)</f>
        <v>-178.4</v>
      </c>
      <c r="H19" s="55">
        <v>-43.1</v>
      </c>
      <c r="I19" s="54">
        <v>-41.9</v>
      </c>
      <c r="J19" s="54">
        <v>-40.4</v>
      </c>
      <c r="K19" s="54">
        <v>-53.2</v>
      </c>
      <c r="L19" s="201">
        <f t="shared" ref="L19:L24" si="27">SUM(H19:K19)</f>
        <v>-178.60000000000002</v>
      </c>
      <c r="M19" s="55">
        <v>-44.600000000000009</v>
      </c>
      <c r="N19" s="54">
        <v>-108.2</v>
      </c>
      <c r="O19" s="54">
        <v>-118</v>
      </c>
      <c r="P19" s="54">
        <v>-150.9</v>
      </c>
      <c r="Q19" s="201">
        <f t="shared" ref="Q19:Q24" si="28">SUM(M19:P19)</f>
        <v>-421.70000000000005</v>
      </c>
      <c r="R19" s="54">
        <v>-129.1</v>
      </c>
      <c r="S19" s="54">
        <v>-140.80000000000001</v>
      </c>
      <c r="T19" s="54">
        <v>-122.3</v>
      </c>
      <c r="U19" s="52">
        <v>-158.00000000000006</v>
      </c>
      <c r="V19" s="201">
        <v>-550.20000000000005</v>
      </c>
      <c r="W19" s="56">
        <v>-137.9</v>
      </c>
      <c r="X19" s="56">
        <v>-138.19999999999999</v>
      </c>
      <c r="Y19" s="36">
        <v>-130.5</v>
      </c>
      <c r="Z19" s="52">
        <v>-163.9</v>
      </c>
      <c r="AA19" s="201">
        <f t="shared" si="6"/>
        <v>-570.5</v>
      </c>
      <c r="AB19" s="56">
        <v>-127.8</v>
      </c>
      <c r="AC19" s="56">
        <v>-133.69999999999999</v>
      </c>
      <c r="AD19" s="36">
        <v>-127.4</v>
      </c>
      <c r="AE19" s="36">
        <v>-164.2</v>
      </c>
      <c r="AF19" s="201">
        <f t="shared" si="7"/>
        <v>-553.09999999999991</v>
      </c>
      <c r="AG19" s="56">
        <v>-143.80000000000001</v>
      </c>
      <c r="AH19" s="54">
        <v>-146</v>
      </c>
      <c r="AI19" s="54">
        <v>-137</v>
      </c>
      <c r="AJ19" s="36">
        <v>-184.2</v>
      </c>
      <c r="AK19" s="201">
        <f t="shared" si="18"/>
        <v>-611</v>
      </c>
      <c r="AL19" s="499"/>
      <c r="AM19" s="102">
        <v>-143.80000000000001</v>
      </c>
      <c r="AN19" s="54">
        <v>-169.3</v>
      </c>
      <c r="AO19" s="54">
        <v>-187.1</v>
      </c>
      <c r="AP19" s="36">
        <v>-238.7</v>
      </c>
      <c r="AQ19" s="201">
        <f t="shared" si="19"/>
        <v>-738.90000000000009</v>
      </c>
      <c r="AR19" s="102">
        <v>-212.6</v>
      </c>
      <c r="AS19" s="54">
        <v>-205.6</v>
      </c>
      <c r="AT19" s="54">
        <v>-199.3</v>
      </c>
      <c r="AU19" s="36">
        <v>-253.1</v>
      </c>
      <c r="AV19" s="201">
        <f t="shared" si="20"/>
        <v>-870.6</v>
      </c>
      <c r="AW19" s="102">
        <v>-212.6</v>
      </c>
      <c r="AX19" s="54">
        <v>-205.6</v>
      </c>
      <c r="AY19" s="54">
        <v>-199.3</v>
      </c>
      <c r="AZ19" s="36">
        <v>-253.1</v>
      </c>
      <c r="BA19" s="201">
        <f t="shared" si="21"/>
        <v>-870.6</v>
      </c>
      <c r="BB19" s="102">
        <v>-221.9</v>
      </c>
      <c r="BC19" s="54">
        <v>-210.2</v>
      </c>
      <c r="BD19" s="54">
        <v>-208</v>
      </c>
      <c r="BE19" s="36">
        <v>-265.8</v>
      </c>
      <c r="BF19" s="709">
        <f t="shared" si="22"/>
        <v>-905.90000000000009</v>
      </c>
      <c r="BG19" s="102">
        <v>-236.9</v>
      </c>
      <c r="BH19" s="54">
        <v>-227.9</v>
      </c>
      <c r="BI19" s="54">
        <v>-210.8</v>
      </c>
      <c r="BJ19" s="36">
        <v>-271.3</v>
      </c>
      <c r="BK19" s="694">
        <f t="shared" si="23"/>
        <v>-946.90000000000009</v>
      </c>
      <c r="BL19" s="102">
        <v>-244.6</v>
      </c>
      <c r="BM19" s="54">
        <v>-247.1</v>
      </c>
      <c r="BN19" s="54">
        <v>-242.3</v>
      </c>
      <c r="BO19" s="36">
        <f>-1034-BN19-BM19-BL19</f>
        <v>-300</v>
      </c>
      <c r="BP19" s="821">
        <f t="shared" si="24"/>
        <v>-1034</v>
      </c>
      <c r="BQ19" s="833">
        <v>-276.10000000000002</v>
      </c>
      <c r="BR19" s="54">
        <v>-274.89999999999998</v>
      </c>
      <c r="BS19" s="54">
        <v>-271.60000000000002</v>
      </c>
      <c r="BT19" s="936">
        <v>-335.6</v>
      </c>
      <c r="BU19" s="966">
        <f t="shared" ref="BU19:BU22" si="29">SUM(BQ19:BT19)</f>
        <v>-1158.2</v>
      </c>
      <c r="BV19" s="988"/>
      <c r="BW19" s="988"/>
      <c r="BX19" s="1009"/>
      <c r="BY19" s="841"/>
      <c r="BZ19" s="1009"/>
      <c r="CA19" s="1009"/>
      <c r="CB19" s="1009"/>
      <c r="CC19" s="1009"/>
      <c r="CD19" s="1009"/>
      <c r="CE19" s="1009"/>
      <c r="CF19" s="411"/>
      <c r="CG19" s="841"/>
      <c r="CH19" s="841"/>
    </row>
    <row r="20" spans="1:90" ht="30" customHeight="1">
      <c r="A20" s="49" t="s">
        <v>54</v>
      </c>
      <c r="B20" s="114" t="s">
        <v>55</v>
      </c>
      <c r="C20" s="54">
        <v>-5.9</v>
      </c>
      <c r="D20" s="54">
        <v>-8.4</v>
      </c>
      <c r="E20" s="54">
        <v>-5.3</v>
      </c>
      <c r="F20" s="54">
        <v>-7.8</v>
      </c>
      <c r="G20" s="201">
        <f t="shared" si="26"/>
        <v>-27.400000000000002</v>
      </c>
      <c r="H20" s="55">
        <v>-6.42</v>
      </c>
      <c r="I20" s="54">
        <v>-9.3000000000000007</v>
      </c>
      <c r="J20" s="54">
        <v>-5.3</v>
      </c>
      <c r="K20" s="54">
        <v>-7.2</v>
      </c>
      <c r="L20" s="201">
        <f t="shared" si="27"/>
        <v>-28.22</v>
      </c>
      <c r="M20" s="55">
        <v>-6.6999999999999993</v>
      </c>
      <c r="N20" s="54">
        <v>-18.100000000000001</v>
      </c>
      <c r="O20" s="54">
        <v>-15.3</v>
      </c>
      <c r="P20" s="54">
        <v>-27.5</v>
      </c>
      <c r="Q20" s="201">
        <f t="shared" si="28"/>
        <v>-67.599999999999994</v>
      </c>
      <c r="R20" s="54">
        <v>-18.7</v>
      </c>
      <c r="S20" s="54">
        <v>-27.8</v>
      </c>
      <c r="T20" s="54">
        <v>-8.5</v>
      </c>
      <c r="U20" s="52">
        <v>-7.6000000000000014</v>
      </c>
      <c r="V20" s="201">
        <v>-62.6</v>
      </c>
      <c r="W20" s="56">
        <v>-9.6</v>
      </c>
      <c r="X20" s="56">
        <v>-16.3</v>
      </c>
      <c r="Y20" s="36">
        <v>-5.7</v>
      </c>
      <c r="Z20" s="52">
        <v>-15.3</v>
      </c>
      <c r="AA20" s="201">
        <f t="shared" si="6"/>
        <v>-46.9</v>
      </c>
      <c r="AB20" s="56">
        <v>-19.3</v>
      </c>
      <c r="AC20" s="56">
        <v>-16.3</v>
      </c>
      <c r="AD20" s="36">
        <v>-21.3</v>
      </c>
      <c r="AE20" s="36">
        <v>-10.5</v>
      </c>
      <c r="AF20" s="201">
        <f t="shared" si="7"/>
        <v>-67.400000000000006</v>
      </c>
      <c r="AG20" s="56">
        <v>-11.9</v>
      </c>
      <c r="AH20" s="54">
        <v>-18.2</v>
      </c>
      <c r="AI20" s="54">
        <v>-32.9</v>
      </c>
      <c r="AJ20" s="36">
        <v>-19</v>
      </c>
      <c r="AK20" s="201">
        <f t="shared" si="18"/>
        <v>-82</v>
      </c>
      <c r="AL20" s="498"/>
      <c r="AM20" s="102">
        <v>-11.9</v>
      </c>
      <c r="AN20" s="54">
        <v>-17.600000000000001</v>
      </c>
      <c r="AO20" s="54">
        <v>-34.799999999999997</v>
      </c>
      <c r="AP20" s="36">
        <v>-19.600000000000009</v>
      </c>
      <c r="AQ20" s="201">
        <f t="shared" si="19"/>
        <v>-83.9</v>
      </c>
      <c r="AR20" s="102">
        <v>-34.6</v>
      </c>
      <c r="AS20" s="54">
        <v>-16.899999999999999</v>
      </c>
      <c r="AT20" s="54">
        <v>-19.8</v>
      </c>
      <c r="AU20" s="36">
        <v>-27.6</v>
      </c>
      <c r="AV20" s="201">
        <f t="shared" si="20"/>
        <v>-98.9</v>
      </c>
      <c r="AW20" s="102">
        <v>-34.6</v>
      </c>
      <c r="AX20" s="54">
        <v>-16.899999999999999</v>
      </c>
      <c r="AY20" s="54">
        <v>-19.8</v>
      </c>
      <c r="AZ20" s="36">
        <v>-27.6</v>
      </c>
      <c r="BA20" s="201">
        <f t="shared" si="21"/>
        <v>-98.9</v>
      </c>
      <c r="BB20" s="102">
        <v>-44.311173479999866</v>
      </c>
      <c r="BC20" s="54">
        <v>-36.6</v>
      </c>
      <c r="BD20" s="54">
        <v>-22.8</v>
      </c>
      <c r="BE20" s="36">
        <v>-25.2</v>
      </c>
      <c r="BF20" s="709">
        <f t="shared" si="22"/>
        <v>-128.91117347999986</v>
      </c>
      <c r="BG20" s="102">
        <v>-29.8</v>
      </c>
      <c r="BH20" s="54">
        <v>-22.7</v>
      </c>
      <c r="BI20" s="54">
        <v>-30.4</v>
      </c>
      <c r="BJ20" s="36">
        <v>-12.5</v>
      </c>
      <c r="BK20" s="694">
        <f t="shared" si="23"/>
        <v>-95.4</v>
      </c>
      <c r="BL20" s="102">
        <v>-24.8</v>
      </c>
      <c r="BM20" s="54">
        <v>-22.3</v>
      </c>
      <c r="BN20" s="54">
        <v>-25.6</v>
      </c>
      <c r="BO20" s="36">
        <f>-97.8-BN20-BM20-BL20</f>
        <v>-25.099999999999991</v>
      </c>
      <c r="BP20" s="821">
        <f t="shared" si="24"/>
        <v>-97.8</v>
      </c>
      <c r="BQ20" s="833">
        <v>-29.4</v>
      </c>
      <c r="BR20" s="54">
        <v>-32.5</v>
      </c>
      <c r="BS20" s="54">
        <v>-32.9</v>
      </c>
      <c r="BT20" s="936">
        <v>-26.2</v>
      </c>
      <c r="BU20" s="966">
        <f t="shared" si="29"/>
        <v>-121</v>
      </c>
      <c r="BV20" s="988"/>
      <c r="BW20" s="988"/>
      <c r="BX20" s="1009"/>
      <c r="BY20" s="841"/>
      <c r="BZ20" s="1009"/>
      <c r="CA20" s="1009"/>
      <c r="CB20" s="1009"/>
      <c r="CC20" s="1009"/>
      <c r="CD20" s="1009"/>
      <c r="CE20" s="1009"/>
      <c r="CF20" s="411"/>
      <c r="CG20" s="841"/>
      <c r="CH20" s="841"/>
    </row>
    <row r="21" spans="1:90" ht="18.75" customHeight="1">
      <c r="A21" s="49" t="s">
        <v>56</v>
      </c>
      <c r="B21" s="112" t="s">
        <v>57</v>
      </c>
      <c r="C21" s="54">
        <v>-30.1</v>
      </c>
      <c r="D21" s="54">
        <v>-33.200000000000003</v>
      </c>
      <c r="E21" s="54">
        <v>-29.7</v>
      </c>
      <c r="F21" s="54">
        <v>-34.200000000000003</v>
      </c>
      <c r="G21" s="201">
        <f t="shared" si="26"/>
        <v>-127.2</v>
      </c>
      <c r="H21" s="55">
        <v>-29.7</v>
      </c>
      <c r="I21" s="54">
        <v>-29.3</v>
      </c>
      <c r="J21" s="54">
        <v>-28.7</v>
      </c>
      <c r="K21" s="54">
        <v>-27.6</v>
      </c>
      <c r="L21" s="201">
        <f t="shared" si="27"/>
        <v>-115.30000000000001</v>
      </c>
      <c r="M21" s="55">
        <v>-26.000000000000007</v>
      </c>
      <c r="N21" s="54">
        <v>-43.4</v>
      </c>
      <c r="O21" s="54">
        <v>-87.2</v>
      </c>
      <c r="P21" s="54">
        <v>-55.5</v>
      </c>
      <c r="Q21" s="201">
        <f t="shared" si="28"/>
        <v>-212.10000000000002</v>
      </c>
      <c r="R21" s="54">
        <v>-53.8</v>
      </c>
      <c r="S21" s="54">
        <v>-56.1</v>
      </c>
      <c r="T21" s="54">
        <v>-44.6</v>
      </c>
      <c r="U21" s="52">
        <v>-59.099999999999994</v>
      </c>
      <c r="V21" s="201">
        <v>-213.5</v>
      </c>
      <c r="W21" s="56">
        <v>-50.7</v>
      </c>
      <c r="X21" s="56">
        <v>-67.599999999999994</v>
      </c>
      <c r="Y21" s="36">
        <v>-50.2</v>
      </c>
      <c r="Z21" s="52">
        <v>-76.5</v>
      </c>
      <c r="AA21" s="201">
        <f t="shared" si="6"/>
        <v>-245</v>
      </c>
      <c r="AB21" s="56">
        <v>-51.6</v>
      </c>
      <c r="AC21" s="56">
        <v>-49.5</v>
      </c>
      <c r="AD21" s="36">
        <v>-52.3</v>
      </c>
      <c r="AE21" s="36">
        <v>-73.5</v>
      </c>
      <c r="AF21" s="201">
        <f t="shared" si="7"/>
        <v>-226.89999999999998</v>
      </c>
      <c r="AG21" s="56">
        <v>-55.3</v>
      </c>
      <c r="AH21" s="54">
        <v>-55.2</v>
      </c>
      <c r="AI21" s="54">
        <v>-53.4</v>
      </c>
      <c r="AJ21" s="36">
        <v>-68</v>
      </c>
      <c r="AK21" s="201">
        <f t="shared" si="18"/>
        <v>-231.9</v>
      </c>
      <c r="AL21" s="498"/>
      <c r="AM21" s="102">
        <v>-55.3</v>
      </c>
      <c r="AN21" s="54">
        <v>-61.8</v>
      </c>
      <c r="AO21" s="54">
        <v>-69.099999999999994</v>
      </c>
      <c r="AP21" s="36">
        <v>-86.800000000000011</v>
      </c>
      <c r="AQ21" s="201">
        <f t="shared" si="19"/>
        <v>-273</v>
      </c>
      <c r="AR21" s="102">
        <v>-70.599999999999994</v>
      </c>
      <c r="AS21" s="54">
        <v>-73.599999999999994</v>
      </c>
      <c r="AT21" s="54">
        <v>-76.599999999999994</v>
      </c>
      <c r="AU21" s="36">
        <v>-80.7</v>
      </c>
      <c r="AV21" s="201">
        <f t="shared" si="20"/>
        <v>-301.5</v>
      </c>
      <c r="AW21" s="102">
        <v>-57.8</v>
      </c>
      <c r="AX21" s="54">
        <v>-60.4</v>
      </c>
      <c r="AY21" s="54">
        <v>-62.1</v>
      </c>
      <c r="AZ21" s="36">
        <v>-63.8</v>
      </c>
      <c r="BA21" s="201">
        <f t="shared" si="21"/>
        <v>-244.09999999999997</v>
      </c>
      <c r="BB21" s="102">
        <v>-65.099999999999994</v>
      </c>
      <c r="BC21" s="54">
        <v>-71.099999999999994</v>
      </c>
      <c r="BD21" s="54">
        <v>-76.3</v>
      </c>
      <c r="BE21" s="36">
        <v>-120.1</v>
      </c>
      <c r="BF21" s="709">
        <f t="shared" si="22"/>
        <v>-332.6</v>
      </c>
      <c r="BG21" s="102">
        <v>-93.2</v>
      </c>
      <c r="BH21" s="54">
        <v>-158.30000000000001</v>
      </c>
      <c r="BI21" s="54">
        <v>-95.7</v>
      </c>
      <c r="BJ21" s="36">
        <v>-110.5</v>
      </c>
      <c r="BK21" s="694">
        <f t="shared" si="23"/>
        <v>-457.7</v>
      </c>
      <c r="BL21" s="102">
        <v>-106.4</v>
      </c>
      <c r="BM21" s="105">
        <v>-127.4</v>
      </c>
      <c r="BN21" s="107">
        <v>-182.1</v>
      </c>
      <c r="BO21" s="95">
        <f>-614.2-BN21-BM21-BL21</f>
        <v>-198.30000000000004</v>
      </c>
      <c r="BP21" s="823">
        <f t="shared" si="24"/>
        <v>-614.20000000000005</v>
      </c>
      <c r="BQ21" s="833">
        <v>-164.6</v>
      </c>
      <c r="BR21" s="105">
        <v>-183.9</v>
      </c>
      <c r="BS21" s="54">
        <v>-169.6</v>
      </c>
      <c r="BT21" s="936">
        <v>-242.2</v>
      </c>
      <c r="BU21" s="968">
        <f t="shared" si="29"/>
        <v>-760.3</v>
      </c>
      <c r="BV21" s="988"/>
      <c r="BW21" s="988"/>
      <c r="BX21" s="1009"/>
      <c r="BY21" s="841"/>
      <c r="BZ21" s="1009"/>
      <c r="CA21" s="1009"/>
      <c r="CB21" s="1009"/>
      <c r="CC21" s="1009"/>
      <c r="CD21" s="1009"/>
      <c r="CE21" s="1009"/>
      <c r="CF21" s="411"/>
      <c r="CG21" s="841"/>
      <c r="CH21" s="841"/>
    </row>
    <row r="22" spans="1:90" s="923" customFormat="1" ht="18.75" customHeight="1">
      <c r="A22" s="908" t="s">
        <v>733</v>
      </c>
      <c r="B22" s="908" t="s">
        <v>738</v>
      </c>
      <c r="C22" s="909"/>
      <c r="D22" s="909"/>
      <c r="E22" s="909"/>
      <c r="F22" s="909"/>
      <c r="G22" s="910"/>
      <c r="H22" s="911"/>
      <c r="I22" s="909"/>
      <c r="J22" s="909"/>
      <c r="K22" s="909"/>
      <c r="L22" s="910"/>
      <c r="M22" s="911"/>
      <c r="N22" s="909"/>
      <c r="O22" s="909"/>
      <c r="P22" s="909"/>
      <c r="Q22" s="910"/>
      <c r="R22" s="909"/>
      <c r="S22" s="909"/>
      <c r="T22" s="909"/>
      <c r="U22" s="912"/>
      <c r="V22" s="910"/>
      <c r="W22" s="913"/>
      <c r="X22" s="913"/>
      <c r="Y22" s="914"/>
      <c r="Z22" s="912"/>
      <c r="AA22" s="910"/>
      <c r="AB22" s="913"/>
      <c r="AC22" s="913"/>
      <c r="AD22" s="914"/>
      <c r="AE22" s="914"/>
      <c r="AF22" s="910"/>
      <c r="AG22" s="913"/>
      <c r="AH22" s="909"/>
      <c r="AI22" s="909"/>
      <c r="AJ22" s="914"/>
      <c r="AK22" s="910"/>
      <c r="AL22" s="915"/>
      <c r="AM22" s="916"/>
      <c r="AN22" s="909"/>
      <c r="AO22" s="909"/>
      <c r="AP22" s="914"/>
      <c r="AQ22" s="910"/>
      <c r="AR22" s="916"/>
      <c r="AS22" s="909"/>
      <c r="AT22" s="909"/>
      <c r="AU22" s="914"/>
      <c r="AV22" s="910"/>
      <c r="AW22" s="916"/>
      <c r="AX22" s="909"/>
      <c r="AY22" s="909"/>
      <c r="AZ22" s="914"/>
      <c r="BA22" s="910"/>
      <c r="BB22" s="916"/>
      <c r="BC22" s="909"/>
      <c r="BD22" s="909"/>
      <c r="BE22" s="914"/>
      <c r="BF22" s="917"/>
      <c r="BG22" s="916"/>
      <c r="BH22" s="909"/>
      <c r="BI22" s="909"/>
      <c r="BJ22" s="914"/>
      <c r="BK22" s="918"/>
      <c r="BL22" s="916"/>
      <c r="BM22" s="924"/>
      <c r="BN22" s="925"/>
      <c r="BO22" s="926"/>
      <c r="BP22" s="927"/>
      <c r="BQ22" s="920"/>
      <c r="BR22" s="924"/>
      <c r="BS22" s="925">
        <v>-0.4</v>
      </c>
      <c r="BT22" s="1023">
        <v>-1</v>
      </c>
      <c r="BU22" s="969">
        <f t="shared" si="29"/>
        <v>-1.4</v>
      </c>
      <c r="BV22" s="988"/>
      <c r="BW22" s="988"/>
      <c r="BX22" s="1009"/>
      <c r="BY22" s="921"/>
      <c r="BZ22" s="1009"/>
      <c r="CA22" s="1009"/>
      <c r="CB22" s="1009"/>
      <c r="CC22" s="1009"/>
      <c r="CD22" s="1009"/>
      <c r="CE22" s="1009"/>
      <c r="CF22" s="922"/>
      <c r="CG22" s="841"/>
      <c r="CH22" s="841"/>
    </row>
    <row r="23" spans="1:90" s="411" customFormat="1" ht="22.5" customHeight="1">
      <c r="A23" s="404" t="s">
        <v>58</v>
      </c>
      <c r="B23" s="405" t="s">
        <v>59</v>
      </c>
      <c r="C23" s="410"/>
      <c r="D23" s="410"/>
      <c r="E23" s="410"/>
      <c r="F23" s="410"/>
      <c r="G23" s="476"/>
      <c r="H23" s="408"/>
      <c r="I23" s="406"/>
      <c r="J23" s="406"/>
      <c r="K23" s="410"/>
      <c r="L23" s="407"/>
      <c r="M23" s="408"/>
      <c r="N23" s="406"/>
      <c r="O23" s="406"/>
      <c r="P23" s="410"/>
      <c r="Q23" s="407"/>
      <c r="R23" s="406"/>
      <c r="S23" s="406"/>
      <c r="T23" s="475"/>
      <c r="U23" s="475"/>
      <c r="V23" s="407"/>
      <c r="W23" s="406"/>
      <c r="X23" s="406"/>
      <c r="Y23" s="410"/>
      <c r="Z23" s="475"/>
      <c r="AA23" s="407"/>
      <c r="AB23" s="406"/>
      <c r="AC23" s="406"/>
      <c r="AD23" s="406"/>
      <c r="AE23" s="475"/>
      <c r="AF23" s="407"/>
      <c r="AG23" s="406"/>
      <c r="AH23" s="475"/>
      <c r="AI23" s="406"/>
      <c r="AJ23" s="410"/>
      <c r="AK23" s="407"/>
      <c r="AL23" s="412"/>
      <c r="AM23" s="408"/>
      <c r="AN23" s="475"/>
      <c r="AO23" s="406"/>
      <c r="AP23" s="410"/>
      <c r="AQ23" s="407"/>
      <c r="AR23" s="408"/>
      <c r="AS23" s="406"/>
      <c r="AT23" s="406"/>
      <c r="AU23" s="406"/>
      <c r="AV23" s="407"/>
      <c r="AW23" s="408"/>
      <c r="AX23" s="406"/>
      <c r="AY23" s="406"/>
      <c r="AZ23" s="406"/>
      <c r="BA23" s="407"/>
      <c r="BB23" s="408"/>
      <c r="BC23" s="475"/>
      <c r="BD23" s="475"/>
      <c r="BE23" s="406"/>
      <c r="BF23" s="691"/>
      <c r="BG23" s="408"/>
      <c r="BH23" s="475"/>
      <c r="BI23" s="406">
        <v>3690.8</v>
      </c>
      <c r="BJ23" s="497">
        <v>-10.199999999999999</v>
      </c>
      <c r="BK23" s="691">
        <f t="shared" si="23"/>
        <v>3680.6000000000004</v>
      </c>
      <c r="BL23" s="746">
        <v>0</v>
      </c>
      <c r="BM23" s="747">
        <v>0</v>
      </c>
      <c r="BN23" s="747">
        <v>113.4</v>
      </c>
      <c r="BO23" s="475">
        <f>153.2-BN23</f>
        <v>39.799999999999983</v>
      </c>
      <c r="BP23" s="824">
        <f t="shared" si="24"/>
        <v>153.19999999999999</v>
      </c>
      <c r="BQ23" s="834">
        <v>0</v>
      </c>
      <c r="BR23" s="747">
        <v>0</v>
      </c>
      <c r="BS23" s="747">
        <v>220.1</v>
      </c>
      <c r="BT23" s="747">
        <v>-0.4</v>
      </c>
      <c r="BU23" s="970">
        <f>SUM(BQ23:BT23)</f>
        <v>219.7</v>
      </c>
      <c r="BV23" s="988"/>
      <c r="BW23" s="988"/>
      <c r="BX23" s="1009"/>
      <c r="BY23" s="841"/>
      <c r="BZ23" s="1009"/>
      <c r="CA23" s="1009"/>
      <c r="CB23" s="1009"/>
      <c r="CC23" s="1009"/>
      <c r="CD23" s="1009"/>
      <c r="CE23" s="1009"/>
      <c r="CG23" s="841"/>
      <c r="CH23" s="1010"/>
      <c r="CI23" s="1011"/>
      <c r="CJ23" s="1011"/>
      <c r="CK23" s="1011"/>
      <c r="CL23" s="1011"/>
    </row>
    <row r="24" spans="1:90" s="411" customFormat="1" ht="22.5" customHeight="1">
      <c r="A24" s="404" t="s">
        <v>60</v>
      </c>
      <c r="B24" s="405" t="s">
        <v>61</v>
      </c>
      <c r="C24" s="410">
        <v>-1.7</v>
      </c>
      <c r="D24" s="410">
        <v>-1.1000000000000001</v>
      </c>
      <c r="E24" s="410">
        <v>-2</v>
      </c>
      <c r="F24" s="410">
        <v>-12.7</v>
      </c>
      <c r="G24" s="476">
        <f t="shared" si="26"/>
        <v>-17.5</v>
      </c>
      <c r="H24" s="408">
        <v>0.5</v>
      </c>
      <c r="I24" s="406">
        <v>1.5</v>
      </c>
      <c r="J24" s="406">
        <v>36.799999999999997</v>
      </c>
      <c r="K24" s="410">
        <v>-2</v>
      </c>
      <c r="L24" s="407">
        <f t="shared" si="27"/>
        <v>36.799999999999997</v>
      </c>
      <c r="M24" s="408">
        <v>3.6</v>
      </c>
      <c r="N24" s="406">
        <v>3.5</v>
      </c>
      <c r="O24" s="406">
        <v>4.7</v>
      </c>
      <c r="P24" s="410">
        <v>-2.2000000000000002</v>
      </c>
      <c r="Q24" s="407">
        <f t="shared" si="28"/>
        <v>9.6000000000000014</v>
      </c>
      <c r="R24" s="406">
        <v>8.6999999999999993</v>
      </c>
      <c r="S24" s="406">
        <v>13.8</v>
      </c>
      <c r="T24" s="475">
        <v>14.4</v>
      </c>
      <c r="U24" s="475">
        <v>-6.2</v>
      </c>
      <c r="V24" s="407">
        <v>30.7</v>
      </c>
      <c r="W24" s="406">
        <v>6.8</v>
      </c>
      <c r="X24" s="406">
        <v>6.6</v>
      </c>
      <c r="Y24" s="410">
        <v>0</v>
      </c>
      <c r="Z24" s="475">
        <v>-4.5999999999999996</v>
      </c>
      <c r="AA24" s="407">
        <f t="shared" si="6"/>
        <v>8.7999999999999989</v>
      </c>
      <c r="AB24" s="406">
        <v>6.8</v>
      </c>
      <c r="AC24" s="406">
        <v>9.9</v>
      </c>
      <c r="AD24" s="406">
        <v>6.7</v>
      </c>
      <c r="AE24" s="475">
        <v>-2.1</v>
      </c>
      <c r="AF24" s="407">
        <f t="shared" si="7"/>
        <v>21.299999999999997</v>
      </c>
      <c r="AG24" s="406">
        <v>6.7</v>
      </c>
      <c r="AH24" s="475">
        <v>-1.9</v>
      </c>
      <c r="AI24" s="406">
        <v>4.5999999999999996</v>
      </c>
      <c r="AJ24" s="410">
        <v>0</v>
      </c>
      <c r="AK24" s="407">
        <f t="shared" si="18"/>
        <v>9.4</v>
      </c>
      <c r="AL24" s="412"/>
      <c r="AM24" s="408">
        <v>6.7</v>
      </c>
      <c r="AN24" s="475">
        <v>-0.6</v>
      </c>
      <c r="AO24" s="406">
        <v>7.3</v>
      </c>
      <c r="AP24" s="410">
        <v>6.2999999999999989</v>
      </c>
      <c r="AQ24" s="407">
        <f t="shared" si="19"/>
        <v>19.7</v>
      </c>
      <c r="AR24" s="408">
        <v>16.600000000000001</v>
      </c>
      <c r="AS24" s="406">
        <v>6.7</v>
      </c>
      <c r="AT24" s="406">
        <v>3.4</v>
      </c>
      <c r="AU24" s="406">
        <v>19</v>
      </c>
      <c r="AV24" s="407">
        <f t="shared" si="20"/>
        <v>45.7</v>
      </c>
      <c r="AW24" s="408">
        <v>16.600000000000001</v>
      </c>
      <c r="AX24" s="406">
        <v>6.7</v>
      </c>
      <c r="AY24" s="406">
        <v>3.4</v>
      </c>
      <c r="AZ24" s="406">
        <v>19</v>
      </c>
      <c r="BA24" s="407">
        <f t="shared" si="21"/>
        <v>45.7</v>
      </c>
      <c r="BB24" s="408">
        <v>5.8</v>
      </c>
      <c r="BC24" s="475">
        <v>-13</v>
      </c>
      <c r="BD24" s="475">
        <v>-2.8</v>
      </c>
      <c r="BE24" s="406">
        <v>7.1</v>
      </c>
      <c r="BF24" s="691">
        <f t="shared" si="22"/>
        <v>-2.9000000000000004</v>
      </c>
      <c r="BG24" s="408">
        <v>5</v>
      </c>
      <c r="BH24" s="475">
        <v>-7.9</v>
      </c>
      <c r="BI24" s="406">
        <v>4.5999999999999996</v>
      </c>
      <c r="BJ24" s="475">
        <v>-24.4</v>
      </c>
      <c r="BK24" s="691">
        <f>SUM(BG24:BJ24)</f>
        <v>-22.7</v>
      </c>
      <c r="BL24" s="475">
        <v>-32.700000000000003</v>
      </c>
      <c r="BM24" s="475">
        <v>13.1</v>
      </c>
      <c r="BN24" s="475">
        <v>-6.1</v>
      </c>
      <c r="BO24" s="475">
        <f>-26.5-BN24-BM24-BL24</f>
        <v>-0.79999999999999716</v>
      </c>
      <c r="BP24" s="824">
        <f>SUM(BL24:BO24)</f>
        <v>-26.5</v>
      </c>
      <c r="BQ24" s="835">
        <v>-8.6999999999999993</v>
      </c>
      <c r="BR24" s="475">
        <v>-15</v>
      </c>
      <c r="BS24" s="475">
        <v>0.3</v>
      </c>
      <c r="BT24" s="747">
        <v>-22.2</v>
      </c>
      <c r="BU24" s="970">
        <f>SUM(BQ24:BT24)</f>
        <v>-45.599999999999994</v>
      </c>
      <c r="BV24" s="988"/>
      <c r="BW24" s="988"/>
      <c r="BX24" s="1009"/>
      <c r="BY24" s="841"/>
      <c r="BZ24" s="1009"/>
      <c r="CA24" s="1009"/>
      <c r="CB24" s="1009"/>
      <c r="CC24" s="1009"/>
      <c r="CD24" s="1009"/>
      <c r="CE24" s="1009"/>
      <c r="CG24" s="841"/>
      <c r="CH24" s="1010"/>
      <c r="CI24" s="1012"/>
      <c r="CJ24" s="1012"/>
      <c r="CK24" s="1012"/>
      <c r="CL24" s="1011"/>
    </row>
    <row r="25" spans="1:90" s="411" customFormat="1" ht="22.5" customHeight="1" thickBot="1">
      <c r="A25" s="404" t="s">
        <v>62</v>
      </c>
      <c r="B25" s="405" t="s">
        <v>63</v>
      </c>
      <c r="C25" s="406">
        <f t="shared" ref="C25:AK25" si="30">C5+C11+C24</f>
        <v>203.00000000000006</v>
      </c>
      <c r="D25" s="406">
        <f t="shared" si="30"/>
        <v>212.99999999999997</v>
      </c>
      <c r="E25" s="406">
        <f t="shared" si="30"/>
        <v>197.60000000000002</v>
      </c>
      <c r="F25" s="406">
        <f t="shared" si="30"/>
        <v>175.50000000000017</v>
      </c>
      <c r="G25" s="407">
        <f t="shared" si="30"/>
        <v>789.09999999999923</v>
      </c>
      <c r="H25" s="408">
        <f t="shared" si="30"/>
        <v>184.67999999999995</v>
      </c>
      <c r="I25" s="406">
        <f t="shared" si="30"/>
        <v>195</v>
      </c>
      <c r="J25" s="406">
        <f t="shared" si="30"/>
        <v>203.39999999999998</v>
      </c>
      <c r="K25" s="406">
        <f t="shared" si="30"/>
        <v>206.79999999999995</v>
      </c>
      <c r="L25" s="407">
        <f t="shared" si="30"/>
        <v>789.88000000000034</v>
      </c>
      <c r="M25" s="408">
        <f t="shared" si="30"/>
        <v>219.4999999999998</v>
      </c>
      <c r="N25" s="406">
        <f t="shared" si="30"/>
        <v>397.59999999999991</v>
      </c>
      <c r="O25" s="406">
        <f t="shared" si="30"/>
        <v>431.79999999999967</v>
      </c>
      <c r="P25" s="406">
        <f t="shared" si="30"/>
        <v>393.50000000000074</v>
      </c>
      <c r="Q25" s="407">
        <f t="shared" si="30"/>
        <v>1442.3999999999992</v>
      </c>
      <c r="R25" s="406">
        <f t="shared" si="30"/>
        <v>428.7</v>
      </c>
      <c r="S25" s="406">
        <f t="shared" si="30"/>
        <v>583.5</v>
      </c>
      <c r="T25" s="406">
        <f t="shared" si="30"/>
        <v>529.1999999999997</v>
      </c>
      <c r="U25" s="406">
        <f t="shared" si="30"/>
        <v>444.40000000000038</v>
      </c>
      <c r="V25" s="407">
        <f t="shared" si="30"/>
        <v>1985.7999999999995</v>
      </c>
      <c r="W25" s="406">
        <f t="shared" si="30"/>
        <v>422.8</v>
      </c>
      <c r="X25" s="406">
        <f t="shared" si="30"/>
        <v>407.50000000000011</v>
      </c>
      <c r="Y25" s="409">
        <f t="shared" si="30"/>
        <v>449.10000000000036</v>
      </c>
      <c r="Z25" s="409">
        <f t="shared" si="30"/>
        <v>389.9</v>
      </c>
      <c r="AA25" s="407">
        <f t="shared" si="30"/>
        <v>1669.3</v>
      </c>
      <c r="AB25" s="406">
        <f t="shared" si="30"/>
        <v>457.20000000000033</v>
      </c>
      <c r="AC25" s="406">
        <f t="shared" si="30"/>
        <v>516.99999999999989</v>
      </c>
      <c r="AD25" s="406">
        <f t="shared" si="30"/>
        <v>421.90000000000003</v>
      </c>
      <c r="AE25" s="406">
        <f t="shared" si="30"/>
        <v>437.9</v>
      </c>
      <c r="AF25" s="407">
        <f t="shared" si="30"/>
        <v>1834.0000000000007</v>
      </c>
      <c r="AG25" s="406">
        <f t="shared" si="30"/>
        <v>464.29999999999967</v>
      </c>
      <c r="AH25" s="406">
        <f t="shared" si="30"/>
        <v>488.49999999999989</v>
      </c>
      <c r="AI25" s="406">
        <f t="shared" si="30"/>
        <v>396.00000000000011</v>
      </c>
      <c r="AJ25" s="410">
        <f t="shared" si="30"/>
        <v>416</v>
      </c>
      <c r="AK25" s="407">
        <f t="shared" si="30"/>
        <v>1764.7999999999997</v>
      </c>
      <c r="AL25" s="412"/>
      <c r="AM25" s="408">
        <f t="shared" ref="AM25:BH25" si="31">AM5+AM11+AM24</f>
        <v>435.49999999999994</v>
      </c>
      <c r="AN25" s="406">
        <f t="shared" si="31"/>
        <v>475.5999999999998</v>
      </c>
      <c r="AO25" s="406">
        <f t="shared" si="31"/>
        <v>396.49999999999983</v>
      </c>
      <c r="AP25" s="410">
        <f t="shared" si="31"/>
        <v>419.39999999999992</v>
      </c>
      <c r="AQ25" s="407">
        <f t="shared" si="31"/>
        <v>1727.000000000003</v>
      </c>
      <c r="AR25" s="408">
        <f t="shared" si="31"/>
        <v>481.9000000000002</v>
      </c>
      <c r="AS25" s="406">
        <f t="shared" si="31"/>
        <v>515.29999999999995</v>
      </c>
      <c r="AT25" s="406">
        <f t="shared" si="31"/>
        <v>452.6999999999997</v>
      </c>
      <c r="AU25" s="406">
        <f t="shared" si="31"/>
        <v>485.00000000000091</v>
      </c>
      <c r="AV25" s="407">
        <f t="shared" si="31"/>
        <v>1934.9000000000026</v>
      </c>
      <c r="AW25" s="408">
        <f t="shared" si="31"/>
        <v>491.19999999999948</v>
      </c>
      <c r="AX25" s="406">
        <f t="shared" si="31"/>
        <v>522.49999999999977</v>
      </c>
      <c r="AY25" s="406">
        <f t="shared" si="31"/>
        <v>458.99999999999989</v>
      </c>
      <c r="AZ25" s="406">
        <f t="shared" si="31"/>
        <v>494.30000000000018</v>
      </c>
      <c r="BA25" s="407">
        <f t="shared" si="31"/>
        <v>1967.0000000000011</v>
      </c>
      <c r="BB25" s="408">
        <f t="shared" si="31"/>
        <v>462.18882651999985</v>
      </c>
      <c r="BC25" s="406">
        <f t="shared" si="31"/>
        <v>394.10000000000082</v>
      </c>
      <c r="BD25" s="406">
        <f t="shared" si="31"/>
        <v>505.89999999999981</v>
      </c>
      <c r="BE25" s="406">
        <f t="shared" si="31"/>
        <v>524.00000000000011</v>
      </c>
      <c r="BF25" s="693">
        <f t="shared" si="31"/>
        <v>1886.1888265199991</v>
      </c>
      <c r="BG25" s="408">
        <f t="shared" si="31"/>
        <v>561.5</v>
      </c>
      <c r="BH25" s="406">
        <f t="shared" si="31"/>
        <v>683.69999999999993</v>
      </c>
      <c r="BI25" s="406">
        <f>BI5+BI11+BI24+BI23</f>
        <v>4131.4000000000005</v>
      </c>
      <c r="BJ25" s="406">
        <f>BJ5+BJ11+BJ24+BJ23</f>
        <v>419.79999999999967</v>
      </c>
      <c r="BK25" s="691">
        <f>BK5+BK11+BK24+BK23</f>
        <v>5796.3999999999987</v>
      </c>
      <c r="BL25" s="408">
        <f>BL5+BL11+BL24</f>
        <v>320.3</v>
      </c>
      <c r="BM25" s="406">
        <f>BM5+BM11+BM24</f>
        <v>425.79999999999984</v>
      </c>
      <c r="BN25" s="406">
        <f t="shared" ref="BN25:BR25" si="32">BN5+BN11+BN24+BN23</f>
        <v>500.90000000000077</v>
      </c>
      <c r="BO25" s="406">
        <f t="shared" si="32"/>
        <v>395.19999999999891</v>
      </c>
      <c r="BP25" s="824">
        <f t="shared" si="32"/>
        <v>1642.2</v>
      </c>
      <c r="BQ25" s="835">
        <f>BQ5+BQ11+BQ24+BQ23</f>
        <v>298.70000000000056</v>
      </c>
      <c r="BR25" s="835">
        <f t="shared" si="32"/>
        <v>329.80000000000018</v>
      </c>
      <c r="BS25" s="928">
        <f>BS5+BS11+BS24+BS23</f>
        <v>510.90000000000043</v>
      </c>
      <c r="BT25" s="928">
        <f>BT5+BT11+BT24+BT23</f>
        <v>172.20000000000019</v>
      </c>
      <c r="BU25" s="970">
        <f>BU5+BU11+BU24+BU23</f>
        <v>1311.600000000002</v>
      </c>
      <c r="BV25" s="988"/>
      <c r="BW25" s="988"/>
      <c r="BX25" s="1009"/>
      <c r="BY25" s="841"/>
      <c r="BZ25" s="1009"/>
      <c r="CA25" s="1009"/>
      <c r="CB25" s="1009"/>
      <c r="CC25" s="1009"/>
      <c r="CD25" s="1009"/>
      <c r="CE25" s="1009"/>
      <c r="CG25" s="841"/>
      <c r="CH25" s="1010"/>
      <c r="CI25" s="1013"/>
      <c r="CJ25" s="1011"/>
      <c r="CK25" s="1013"/>
      <c r="CL25" s="1011"/>
    </row>
    <row r="26" spans="1:90" ht="20.149999999999999" customHeight="1">
      <c r="A26" s="798" t="s">
        <v>64</v>
      </c>
      <c r="B26" s="799" t="s">
        <v>65</v>
      </c>
      <c r="C26" s="800">
        <v>12.5</v>
      </c>
      <c r="D26" s="800">
        <v>-8.5</v>
      </c>
      <c r="E26" s="800">
        <v>5.3</v>
      </c>
      <c r="F26" s="800">
        <v>5</v>
      </c>
      <c r="G26" s="801">
        <f>SUM(C26:F26)</f>
        <v>14.3</v>
      </c>
      <c r="H26" s="802">
        <v>3.9</v>
      </c>
      <c r="I26" s="800">
        <v>0.7</v>
      </c>
      <c r="J26" s="800">
        <v>7.4</v>
      </c>
      <c r="K26" s="800">
        <v>4.0999999999999996</v>
      </c>
      <c r="L26" s="801">
        <f>SUM(H26:K26)</f>
        <v>16.100000000000001</v>
      </c>
      <c r="M26" s="802">
        <v>1.2000000000000028</v>
      </c>
      <c r="N26" s="800">
        <v>23.9</v>
      </c>
      <c r="O26" s="800">
        <v>1.5</v>
      </c>
      <c r="P26" s="800">
        <v>-11.4</v>
      </c>
      <c r="Q26" s="801">
        <f>SUM(M26:P26)</f>
        <v>15.200000000000001</v>
      </c>
      <c r="R26" s="800">
        <v>28.9</v>
      </c>
      <c r="S26" s="800">
        <v>-11.9</v>
      </c>
      <c r="T26" s="800">
        <v>-5.2</v>
      </c>
      <c r="U26" s="803">
        <v>-3.2</v>
      </c>
      <c r="V26" s="801">
        <v>8.6000000000000014</v>
      </c>
      <c r="W26" s="804">
        <v>-35.200000000000003</v>
      </c>
      <c r="X26" s="804">
        <v>-21.4</v>
      </c>
      <c r="Y26" s="805">
        <v>13.1</v>
      </c>
      <c r="Z26" s="803">
        <v>-26.3</v>
      </c>
      <c r="AA26" s="801">
        <f t="shared" si="6"/>
        <v>-69.8</v>
      </c>
      <c r="AB26" s="804">
        <v>30.5</v>
      </c>
      <c r="AC26" s="804">
        <v>-14.4</v>
      </c>
      <c r="AD26" s="805">
        <v>-28</v>
      </c>
      <c r="AE26" s="805">
        <v>19.100000000000001</v>
      </c>
      <c r="AF26" s="801">
        <f t="shared" si="7"/>
        <v>7.2000000000000028</v>
      </c>
      <c r="AG26" s="804">
        <v>-3.4</v>
      </c>
      <c r="AH26" s="800">
        <v>-34.4</v>
      </c>
      <c r="AI26" s="800">
        <v>12.7</v>
      </c>
      <c r="AJ26" s="805">
        <v>4.7</v>
      </c>
      <c r="AK26" s="801">
        <f t="shared" ref="AK26:AK28" si="33">SUM(AG26:AJ26)</f>
        <v>-20.399999999999999</v>
      </c>
      <c r="AL26" s="806"/>
      <c r="AM26" s="807">
        <v>-3.4</v>
      </c>
      <c r="AN26" s="800">
        <v>-45.9</v>
      </c>
      <c r="AO26" s="800">
        <v>11.7</v>
      </c>
      <c r="AP26" s="805">
        <v>4.6000000000000014</v>
      </c>
      <c r="AQ26" s="801">
        <f t="shared" ref="AQ26:AQ28" si="34">SUM(AM26:AP26)</f>
        <v>-32.999999999999993</v>
      </c>
      <c r="AR26" s="807">
        <v>1.3</v>
      </c>
      <c r="AS26" s="800">
        <v>13.6</v>
      </c>
      <c r="AT26" s="800">
        <v>-34.5</v>
      </c>
      <c r="AU26" s="805">
        <v>39.200000000000003</v>
      </c>
      <c r="AV26" s="801">
        <f t="shared" ref="AV26:AV28" si="35">SUM(AR26:AU26)</f>
        <v>19.600000000000001</v>
      </c>
      <c r="AW26" s="807">
        <v>-12.2</v>
      </c>
      <c r="AX26" s="800">
        <v>4.8</v>
      </c>
      <c r="AY26" s="800">
        <v>-53.8</v>
      </c>
      <c r="AZ26" s="805">
        <v>34.200000000000003</v>
      </c>
      <c r="BA26" s="801">
        <f t="shared" ref="BA26:BA28" si="36">SUM(AW26:AZ26)</f>
        <v>-26.999999999999993</v>
      </c>
      <c r="BB26" s="800">
        <v>-74.2</v>
      </c>
      <c r="BC26" s="800">
        <v>-1.2</v>
      </c>
      <c r="BD26" s="800">
        <v>-26.2</v>
      </c>
      <c r="BE26" s="805">
        <v>-11.5</v>
      </c>
      <c r="BF26" s="808">
        <f>SUM(BB26:BE26)</f>
        <v>-113.10000000000001</v>
      </c>
      <c r="BG26" s="800">
        <v>-22.4</v>
      </c>
      <c r="BH26" s="800">
        <v>7.8</v>
      </c>
      <c r="BI26" s="800">
        <v>-16.5</v>
      </c>
      <c r="BJ26" s="805">
        <v>4.2</v>
      </c>
      <c r="BK26" s="809">
        <f>SUM(BG26:BJ26)</f>
        <v>-26.9</v>
      </c>
      <c r="BL26" s="800">
        <v>6.9</v>
      </c>
      <c r="BM26" s="800">
        <v>5.7</v>
      </c>
      <c r="BN26" s="800">
        <v>-18.100000000000001</v>
      </c>
      <c r="BO26" s="805">
        <f>23.5-BN26-BM26-BL26</f>
        <v>29</v>
      </c>
      <c r="BP26" s="821">
        <f>SUM(BL26:BO26)</f>
        <v>23.5</v>
      </c>
      <c r="BQ26" s="833">
        <v>20.8</v>
      </c>
      <c r="BR26" s="800">
        <v>21</v>
      </c>
      <c r="BS26" s="800">
        <v>39.9</v>
      </c>
      <c r="BT26" s="800">
        <v>80.700000000000017</v>
      </c>
      <c r="BU26" s="966">
        <f>SUM(BQ26:BT26)</f>
        <v>162.4</v>
      </c>
      <c r="BV26" s="988"/>
      <c r="BW26" s="988"/>
      <c r="BX26" s="1009"/>
      <c r="BY26" s="841"/>
      <c r="BZ26" s="1009"/>
      <c r="CA26" s="1009"/>
      <c r="CB26" s="1009"/>
      <c r="CC26" s="1009"/>
      <c r="CD26" s="1009"/>
      <c r="CE26" s="1009"/>
      <c r="CF26" s="411"/>
      <c r="CG26" s="841"/>
      <c r="CH26" s="1010"/>
      <c r="CI26" s="1013"/>
      <c r="CJ26" s="1014"/>
      <c r="CK26" s="1013"/>
      <c r="CL26" s="1014"/>
    </row>
    <row r="27" spans="1:90" s="109" customFormat="1" ht="20.149999999999999" customHeight="1">
      <c r="A27" s="104" t="s">
        <v>66</v>
      </c>
      <c r="B27" s="114" t="s">
        <v>67</v>
      </c>
      <c r="C27" s="105">
        <v>30.1</v>
      </c>
      <c r="D27" s="105">
        <v>-92.4</v>
      </c>
      <c r="E27" s="105">
        <v>-5.2</v>
      </c>
      <c r="F27" s="105">
        <v>-43.1</v>
      </c>
      <c r="G27" s="201">
        <f t="shared" ref="G27" si="37">SUM(C27:F27)</f>
        <v>-110.6</v>
      </c>
      <c r="H27" s="106">
        <v>-80.099999999999994</v>
      </c>
      <c r="I27" s="105">
        <v>-102.4</v>
      </c>
      <c r="J27" s="105">
        <v>-10.7</v>
      </c>
      <c r="K27" s="105">
        <v>-22.8</v>
      </c>
      <c r="L27" s="201">
        <f t="shared" ref="L27" si="38">SUM(H27:K27)</f>
        <v>-216</v>
      </c>
      <c r="M27" s="106">
        <v>-108.70000000000005</v>
      </c>
      <c r="N27" s="105">
        <v>-273.39999999999998</v>
      </c>
      <c r="O27" s="105">
        <v>-384.7</v>
      </c>
      <c r="P27" s="105">
        <v>-379.2</v>
      </c>
      <c r="Q27" s="201">
        <f t="shared" ref="Q27" si="39">SUM(M27:P27)</f>
        <v>-1146</v>
      </c>
      <c r="R27" s="105">
        <v>-261.3</v>
      </c>
      <c r="S27" s="105">
        <v>-222.1</v>
      </c>
      <c r="T27" s="105">
        <v>88.8</v>
      </c>
      <c r="U27" s="52">
        <v>-270</v>
      </c>
      <c r="V27" s="201">
        <v>-664.59999999999991</v>
      </c>
      <c r="W27" s="107">
        <v>-182.7</v>
      </c>
      <c r="X27" s="107">
        <v>-133.19999999999999</v>
      </c>
      <c r="Y27" s="95">
        <v>-127.3</v>
      </c>
      <c r="Z27" s="52">
        <v>-122.9</v>
      </c>
      <c r="AA27" s="201">
        <f t="shared" si="6"/>
        <v>-566.1</v>
      </c>
      <c r="AB27" s="107">
        <v>-185.5</v>
      </c>
      <c r="AC27" s="107">
        <v>-113.3</v>
      </c>
      <c r="AD27" s="95">
        <v>-104.8</v>
      </c>
      <c r="AE27" s="95">
        <v>-105.4</v>
      </c>
      <c r="AF27" s="201">
        <f t="shared" si="7"/>
        <v>-509</v>
      </c>
      <c r="AG27" s="107">
        <v>-72.599999999999994</v>
      </c>
      <c r="AH27" s="105">
        <v>-98.8</v>
      </c>
      <c r="AI27" s="105">
        <v>-100.9</v>
      </c>
      <c r="AJ27" s="95">
        <v>-113.3</v>
      </c>
      <c r="AK27" s="201">
        <f t="shared" si="33"/>
        <v>-385.59999999999997</v>
      </c>
      <c r="AL27" s="500"/>
      <c r="AM27" s="108">
        <v>-72.599999999999994</v>
      </c>
      <c r="AN27" s="105">
        <v>-98.9</v>
      </c>
      <c r="AO27" s="105">
        <v>-101.6</v>
      </c>
      <c r="AP27" s="95">
        <v>-113.59999999999997</v>
      </c>
      <c r="AQ27" s="201">
        <f t="shared" si="34"/>
        <v>-386.7</v>
      </c>
      <c r="AR27" s="108">
        <v>-102.7</v>
      </c>
      <c r="AS27" s="105">
        <v>-170</v>
      </c>
      <c r="AT27" s="105">
        <v>-97.9</v>
      </c>
      <c r="AU27" s="95">
        <v>-95.3</v>
      </c>
      <c r="AV27" s="201">
        <f t="shared" si="35"/>
        <v>-465.90000000000003</v>
      </c>
      <c r="AW27" s="108">
        <v>-102.7</v>
      </c>
      <c r="AX27" s="105">
        <v>-170</v>
      </c>
      <c r="AY27" s="105">
        <v>-97.9</v>
      </c>
      <c r="AZ27" s="95">
        <v>-95.3</v>
      </c>
      <c r="BA27" s="201">
        <f t="shared" si="36"/>
        <v>-465.90000000000003</v>
      </c>
      <c r="BB27" s="54">
        <v>-153.80000000000001</v>
      </c>
      <c r="BC27" s="105">
        <v>-47.7</v>
      </c>
      <c r="BD27" s="105">
        <v>-66.599999999999994</v>
      </c>
      <c r="BE27" s="95">
        <v>-64.900000000000006</v>
      </c>
      <c r="BF27" s="709">
        <f t="shared" ref="BF27:BF28" si="40">SUM(BB27:BE27)</f>
        <v>-333</v>
      </c>
      <c r="BG27" s="54">
        <v>-57.1</v>
      </c>
      <c r="BH27" s="54">
        <v>-60.5</v>
      </c>
      <c r="BI27" s="105">
        <v>-54.7</v>
      </c>
      <c r="BJ27" s="95">
        <v>-6.5</v>
      </c>
      <c r="BK27" s="694">
        <f t="shared" ref="BK27:BK28" si="41">SUM(BG27:BJ27)</f>
        <v>-178.8</v>
      </c>
      <c r="BL27" s="54">
        <v>-76.8</v>
      </c>
      <c r="BM27" s="54">
        <v>-130.69999999999999</v>
      </c>
      <c r="BN27" s="105">
        <v>-209.3</v>
      </c>
      <c r="BO27" s="95">
        <f>-649.9-BN27-BM27-BL27</f>
        <v>-233.09999999999997</v>
      </c>
      <c r="BP27" s="821">
        <f t="shared" ref="BP27:BP29" si="42">SUM(BL27:BO27)</f>
        <v>-649.9</v>
      </c>
      <c r="BQ27" s="833">
        <v>-255.7</v>
      </c>
      <c r="BR27" s="54">
        <v>-300.7</v>
      </c>
      <c r="BS27" s="105">
        <v>-399</v>
      </c>
      <c r="BT27" s="105">
        <v>-126.5</v>
      </c>
      <c r="BU27" s="966">
        <f>SUM(BQ27:BT27)</f>
        <v>-1081.9000000000001</v>
      </c>
      <c r="BV27" s="988"/>
      <c r="BW27" s="988"/>
      <c r="BX27" s="1009"/>
      <c r="BY27" s="841"/>
      <c r="BZ27" s="1009"/>
      <c r="CA27" s="1009"/>
      <c r="CB27" s="1009"/>
      <c r="CC27" s="1009"/>
      <c r="CD27" s="1009"/>
      <c r="CE27" s="1009"/>
      <c r="CF27" s="411"/>
      <c r="CG27" s="841"/>
      <c r="CH27" s="1010"/>
      <c r="CI27" s="1013"/>
      <c r="CJ27" s="1015"/>
      <c r="CK27" s="1013"/>
      <c r="CL27" s="1015"/>
    </row>
    <row r="28" spans="1:90" ht="30" customHeight="1">
      <c r="A28" s="49" t="s">
        <v>68</v>
      </c>
      <c r="B28" s="115" t="s">
        <v>69</v>
      </c>
      <c r="C28" s="54">
        <v>0.7</v>
      </c>
      <c r="D28" s="54">
        <v>0.8</v>
      </c>
      <c r="E28" s="54">
        <v>0.5</v>
      </c>
      <c r="F28" s="54">
        <v>0.8</v>
      </c>
      <c r="G28" s="201">
        <f t="shared" ref="G28" si="43">SUM(C28:F28)</f>
        <v>2.8</v>
      </c>
      <c r="H28" s="55">
        <v>0.8</v>
      </c>
      <c r="I28" s="54">
        <v>0.8</v>
      </c>
      <c r="J28" s="54">
        <v>0.7</v>
      </c>
      <c r="K28" s="54">
        <v>0.6</v>
      </c>
      <c r="L28" s="201">
        <f t="shared" ref="L28" si="44">SUM(H28:K28)</f>
        <v>2.9</v>
      </c>
      <c r="M28" s="55">
        <v>0.60000000000000009</v>
      </c>
      <c r="N28" s="54">
        <v>0.7</v>
      </c>
      <c r="O28" s="54">
        <v>0.7</v>
      </c>
      <c r="P28" s="54">
        <v>0.6</v>
      </c>
      <c r="Q28" s="201">
        <f t="shared" ref="Q28" si="45">SUM(M28:P28)</f>
        <v>2.6</v>
      </c>
      <c r="R28" s="54">
        <v>0.5</v>
      </c>
      <c r="S28" s="54">
        <v>0.9</v>
      </c>
      <c r="T28" s="54">
        <v>0.5</v>
      </c>
      <c r="U28" s="52">
        <v>0.70000000000000018</v>
      </c>
      <c r="V28" s="201">
        <v>2.6</v>
      </c>
      <c r="W28" s="56">
        <v>0.8</v>
      </c>
      <c r="X28" s="56">
        <v>-0.8</v>
      </c>
      <c r="Y28" s="46">
        <v>0</v>
      </c>
      <c r="Z28" s="46">
        <v>0</v>
      </c>
      <c r="AA28" s="201">
        <f t="shared" ref="AA28" si="46">SUM(W28:Z28)</f>
        <v>0</v>
      </c>
      <c r="AB28" s="46">
        <v>0</v>
      </c>
      <c r="AC28" s="46">
        <v>0</v>
      </c>
      <c r="AD28" s="46">
        <v>0</v>
      </c>
      <c r="AE28" s="46">
        <v>0</v>
      </c>
      <c r="AF28" s="201">
        <f t="shared" ref="AF28:AF29" si="47">SUM(AB28:AE28)</f>
        <v>0</v>
      </c>
      <c r="AG28" s="46">
        <v>0</v>
      </c>
      <c r="AH28" s="46">
        <v>0</v>
      </c>
      <c r="AI28" s="46">
        <v>0</v>
      </c>
      <c r="AJ28" s="46">
        <v>0</v>
      </c>
      <c r="AK28" s="201">
        <f t="shared" si="33"/>
        <v>0</v>
      </c>
      <c r="AL28" s="501"/>
      <c r="AM28" s="71">
        <v>0</v>
      </c>
      <c r="AN28" s="46">
        <v>0</v>
      </c>
      <c r="AO28" s="46">
        <v>0</v>
      </c>
      <c r="AP28" s="46">
        <v>0</v>
      </c>
      <c r="AQ28" s="201">
        <f t="shared" si="34"/>
        <v>0</v>
      </c>
      <c r="AR28" s="71">
        <v>0</v>
      </c>
      <c r="AS28" s="46">
        <v>0</v>
      </c>
      <c r="AT28" s="46">
        <v>0</v>
      </c>
      <c r="AU28" s="46">
        <v>0</v>
      </c>
      <c r="AV28" s="201">
        <f t="shared" si="35"/>
        <v>0</v>
      </c>
      <c r="AW28" s="71">
        <v>0</v>
      </c>
      <c r="AX28" s="46">
        <v>0</v>
      </c>
      <c r="AY28" s="46">
        <v>0</v>
      </c>
      <c r="AZ28" s="46">
        <v>0</v>
      </c>
      <c r="BA28" s="201">
        <f t="shared" si="36"/>
        <v>0</v>
      </c>
      <c r="BB28" s="46">
        <v>0</v>
      </c>
      <c r="BC28" s="46">
        <v>0</v>
      </c>
      <c r="BD28" s="46">
        <v>0</v>
      </c>
      <c r="BE28" s="46">
        <v>0</v>
      </c>
      <c r="BF28" s="709">
        <f t="shared" si="40"/>
        <v>0</v>
      </c>
      <c r="BG28" s="46">
        <v>0</v>
      </c>
      <c r="BH28" s="46">
        <v>0</v>
      </c>
      <c r="BI28" s="46">
        <v>0</v>
      </c>
      <c r="BJ28" s="46">
        <v>0</v>
      </c>
      <c r="BK28" s="694">
        <f t="shared" si="41"/>
        <v>0</v>
      </c>
      <c r="BL28" s="46">
        <v>0</v>
      </c>
      <c r="BM28" s="46">
        <v>0</v>
      </c>
      <c r="BN28" s="46">
        <v>0</v>
      </c>
      <c r="BO28" s="46">
        <v>0</v>
      </c>
      <c r="BP28" s="821">
        <f t="shared" si="42"/>
        <v>0</v>
      </c>
      <c r="BQ28" s="898">
        <v>0</v>
      </c>
      <c r="BR28" s="46">
        <v>0</v>
      </c>
      <c r="BS28" s="46">
        <v>0</v>
      </c>
      <c r="BT28" s="46">
        <v>0</v>
      </c>
      <c r="BU28" s="966">
        <f>SUM(BQ28:BT28)</f>
        <v>0</v>
      </c>
      <c r="BV28" s="988"/>
      <c r="BW28" s="988"/>
      <c r="BX28" s="1009"/>
      <c r="BY28" s="841"/>
      <c r="BZ28" s="1009"/>
      <c r="CA28" s="1009"/>
      <c r="CB28" s="1009"/>
      <c r="CC28" s="1009"/>
      <c r="CD28" s="1009"/>
      <c r="CE28" s="1009"/>
      <c r="CF28" s="411"/>
      <c r="CG28" s="841"/>
      <c r="CH28" s="1010"/>
      <c r="CI28" s="1013"/>
      <c r="CJ28" s="1014"/>
      <c r="CK28" s="1013"/>
      <c r="CL28" s="1014"/>
    </row>
    <row r="29" spans="1:90" ht="30" customHeight="1">
      <c r="A29" s="49" t="s">
        <v>70</v>
      </c>
      <c r="B29" s="115" t="s">
        <v>71</v>
      </c>
      <c r="C29" s="54"/>
      <c r="D29" s="54"/>
      <c r="E29" s="54"/>
      <c r="F29" s="54"/>
      <c r="G29" s="201"/>
      <c r="H29" s="55"/>
      <c r="I29" s="54"/>
      <c r="J29" s="54"/>
      <c r="K29" s="54"/>
      <c r="L29" s="201"/>
      <c r="M29" s="55"/>
      <c r="N29" s="54"/>
      <c r="O29" s="54"/>
      <c r="P29" s="54"/>
      <c r="Q29" s="201"/>
      <c r="R29" s="54"/>
      <c r="S29" s="54"/>
      <c r="T29" s="54"/>
      <c r="U29" s="52"/>
      <c r="V29" s="201"/>
      <c r="W29" s="56"/>
      <c r="X29" s="56"/>
      <c r="Y29" s="46"/>
      <c r="Z29" s="46"/>
      <c r="AA29" s="201"/>
      <c r="AB29" s="46"/>
      <c r="AC29" s="46"/>
      <c r="AD29" s="46"/>
      <c r="AE29" s="46">
        <v>2.8</v>
      </c>
      <c r="AF29" s="201">
        <f t="shared" si="47"/>
        <v>2.8</v>
      </c>
      <c r="AG29" s="46">
        <v>5.2</v>
      </c>
      <c r="AH29" s="75">
        <v>-0.1</v>
      </c>
      <c r="AI29" s="75">
        <v>-3.5</v>
      </c>
      <c r="AJ29" s="36">
        <v>-2.8</v>
      </c>
      <c r="AK29" s="201">
        <f t="shared" ref="AK29" si="48">SUM(AG29:AJ29)</f>
        <v>-1.1999999999999993</v>
      </c>
      <c r="AL29" s="498"/>
      <c r="AM29" s="71">
        <v>5.2</v>
      </c>
      <c r="AN29" s="75">
        <v>-0.1</v>
      </c>
      <c r="AO29" s="75">
        <v>-3.5</v>
      </c>
      <c r="AP29" s="46">
        <v>-2.8</v>
      </c>
      <c r="AQ29" s="201">
        <f t="shared" ref="AQ29" si="49">SUM(AM29:AP29)</f>
        <v>-1.1999999999999993</v>
      </c>
      <c r="AR29" s="71">
        <v>-1.7</v>
      </c>
      <c r="AS29" s="75">
        <v>-1.9</v>
      </c>
      <c r="AT29" s="75">
        <v>-1.3</v>
      </c>
      <c r="AU29" s="46">
        <v>-1.6</v>
      </c>
      <c r="AV29" s="201">
        <f>SUM(AR29:AU29)</f>
        <v>-6.5</v>
      </c>
      <c r="AW29" s="71">
        <v>-1.7</v>
      </c>
      <c r="AX29" s="75">
        <v>-1.9</v>
      </c>
      <c r="AY29" s="75">
        <v>-1.3</v>
      </c>
      <c r="AZ29" s="46">
        <v>-1.6</v>
      </c>
      <c r="BA29" s="201">
        <f>SUM(AW29:AZ29)</f>
        <v>-6.5</v>
      </c>
      <c r="BB29" s="54">
        <v>16.3</v>
      </c>
      <c r="BC29" s="75">
        <v>17.8</v>
      </c>
      <c r="BD29" s="75">
        <v>13.5</v>
      </c>
      <c r="BE29" s="46">
        <v>-45.6</v>
      </c>
      <c r="BF29" s="709">
        <f>SUM(BB29:BE29)</f>
        <v>2</v>
      </c>
      <c r="BG29" s="54">
        <v>16.5</v>
      </c>
      <c r="BH29" s="54">
        <v>25</v>
      </c>
      <c r="BI29" s="75">
        <v>22.5</v>
      </c>
      <c r="BJ29" s="75">
        <v>11.4</v>
      </c>
      <c r="BK29" s="694">
        <f>SUM(BG29:BJ29)</f>
        <v>75.400000000000006</v>
      </c>
      <c r="BL29" s="54">
        <v>14.7</v>
      </c>
      <c r="BM29" s="54">
        <v>24.2</v>
      </c>
      <c r="BN29" s="75">
        <v>23.8</v>
      </c>
      <c r="BO29" s="75">
        <f>94.5-BN29-BM29-BL29</f>
        <v>31.8</v>
      </c>
      <c r="BP29" s="821">
        <f t="shared" si="42"/>
        <v>94.5</v>
      </c>
      <c r="BQ29" s="833">
        <v>20.3</v>
      </c>
      <c r="BR29" s="54">
        <v>-9.9</v>
      </c>
      <c r="BS29" s="46">
        <v>19.3</v>
      </c>
      <c r="BT29" s="46">
        <v>0</v>
      </c>
      <c r="BU29" s="966">
        <f t="shared" ref="BU29" si="50">SUM(BQ29:BT29)</f>
        <v>29.700000000000003</v>
      </c>
      <c r="BV29" s="988"/>
      <c r="BW29" s="988"/>
      <c r="BX29" s="1009"/>
      <c r="BY29" s="841"/>
      <c r="BZ29" s="1009"/>
      <c r="CA29" s="1009"/>
      <c r="CB29" s="1009"/>
      <c r="CC29" s="1009"/>
      <c r="CD29" s="1009"/>
      <c r="CE29" s="1009"/>
      <c r="CF29" s="411"/>
      <c r="CG29" s="841"/>
      <c r="CH29" s="1010"/>
      <c r="CI29" s="1013"/>
      <c r="CJ29" s="1014"/>
      <c r="CK29" s="1013"/>
      <c r="CL29" s="1014"/>
    </row>
    <row r="30" spans="1:90" s="411" customFormat="1" ht="22.5" customHeight="1">
      <c r="A30" s="404" t="s">
        <v>72</v>
      </c>
      <c r="B30" s="405" t="s">
        <v>73</v>
      </c>
      <c r="C30" s="406">
        <f t="shared" ref="C30:AD30" si="51">C25+C26+C27+C28+C29</f>
        <v>246.30000000000004</v>
      </c>
      <c r="D30" s="406">
        <f t="shared" si="51"/>
        <v>112.89999999999996</v>
      </c>
      <c r="E30" s="406">
        <f t="shared" si="51"/>
        <v>198.20000000000005</v>
      </c>
      <c r="F30" s="406">
        <f t="shared" si="51"/>
        <v>138.20000000000019</v>
      </c>
      <c r="G30" s="407">
        <f t="shared" si="51"/>
        <v>695.59999999999911</v>
      </c>
      <c r="H30" s="408">
        <f t="shared" si="51"/>
        <v>109.27999999999996</v>
      </c>
      <c r="I30" s="406">
        <f t="shared" si="51"/>
        <v>94.09999999999998</v>
      </c>
      <c r="J30" s="406">
        <f t="shared" si="51"/>
        <v>200.79999999999998</v>
      </c>
      <c r="K30" s="406">
        <f t="shared" si="51"/>
        <v>188.69999999999993</v>
      </c>
      <c r="L30" s="407">
        <f t="shared" si="51"/>
        <v>592.88000000000034</v>
      </c>
      <c r="M30" s="408">
        <f t="shared" si="51"/>
        <v>112.59999999999977</v>
      </c>
      <c r="N30" s="406">
        <f t="shared" si="51"/>
        <v>148.7999999999999</v>
      </c>
      <c r="O30" s="406">
        <f t="shared" si="51"/>
        <v>49.299999999999685</v>
      </c>
      <c r="P30" s="406">
        <f t="shared" si="51"/>
        <v>3.5000000000007732</v>
      </c>
      <c r="Q30" s="407">
        <f t="shared" si="51"/>
        <v>314.19999999999925</v>
      </c>
      <c r="R30" s="406">
        <f t="shared" si="51"/>
        <v>196.79999999999995</v>
      </c>
      <c r="S30" s="406">
        <f t="shared" si="51"/>
        <v>350.4</v>
      </c>
      <c r="T30" s="406">
        <f t="shared" si="51"/>
        <v>613.29999999999961</v>
      </c>
      <c r="U30" s="406">
        <f t="shared" si="51"/>
        <v>171.90000000000038</v>
      </c>
      <c r="V30" s="407">
        <f t="shared" si="51"/>
        <v>1332.3999999999994</v>
      </c>
      <c r="W30" s="406">
        <f t="shared" si="51"/>
        <v>205.70000000000005</v>
      </c>
      <c r="X30" s="406">
        <f t="shared" si="51"/>
        <v>252.10000000000014</v>
      </c>
      <c r="Y30" s="409">
        <f t="shared" si="51"/>
        <v>334.90000000000038</v>
      </c>
      <c r="Z30" s="409">
        <f t="shared" si="51"/>
        <v>240.69999999999996</v>
      </c>
      <c r="AA30" s="407">
        <f t="shared" si="51"/>
        <v>1033.4000000000001</v>
      </c>
      <c r="AB30" s="406">
        <f t="shared" si="51"/>
        <v>302.20000000000033</v>
      </c>
      <c r="AC30" s="406">
        <f t="shared" si="51"/>
        <v>389.2999999999999</v>
      </c>
      <c r="AD30" s="406">
        <f t="shared" si="51"/>
        <v>289.10000000000002</v>
      </c>
      <c r="AE30" s="406">
        <f>AE25+AE26+AE27+AE28+AE29</f>
        <v>354.40000000000003</v>
      </c>
      <c r="AF30" s="407">
        <f t="shared" ref="AF30:AJ30" si="52">AF25+AF26+AF27+AF28+AF29</f>
        <v>1335.0000000000007</v>
      </c>
      <c r="AG30" s="406">
        <f t="shared" si="52"/>
        <v>393.49999999999972</v>
      </c>
      <c r="AH30" s="406">
        <f>AH25+AH26+AH27+AH28+AH29</f>
        <v>355.19999999999987</v>
      </c>
      <c r="AI30" s="406">
        <f>AI25+AI26+AI27+AI28+AI29</f>
        <v>304.30000000000007</v>
      </c>
      <c r="AJ30" s="410">
        <f t="shared" si="52"/>
        <v>304.59999999999997</v>
      </c>
      <c r="AK30" s="407">
        <f>AK25+AK26+AK27+AK28+AK29</f>
        <v>1357.5999999999997</v>
      </c>
      <c r="AL30" s="412"/>
      <c r="AM30" s="408">
        <f t="shared" ref="AM30:AO30" si="53">AM25+AM26+AM27+AM28+AM29</f>
        <v>364.7</v>
      </c>
      <c r="AN30" s="406">
        <f t="shared" si="53"/>
        <v>330.69999999999982</v>
      </c>
      <c r="AO30" s="406">
        <f t="shared" si="53"/>
        <v>303.0999999999998</v>
      </c>
      <c r="AP30" s="410">
        <f>AP25+AP26+AP27+AP28+AP29</f>
        <v>307.59999999999997</v>
      </c>
      <c r="AQ30" s="407">
        <f>AQ25+AQ26+AQ27+AQ28+AQ29</f>
        <v>1306.1000000000029</v>
      </c>
      <c r="AR30" s="408">
        <f>AR25+AR26+AR27+AR28+AR29</f>
        <v>378.80000000000024</v>
      </c>
      <c r="AS30" s="406">
        <f t="shared" ref="AS30:AU30" si="54">AS25+AS26+AS27+AS28+AS29</f>
        <v>357</v>
      </c>
      <c r="AT30" s="406">
        <f t="shared" si="54"/>
        <v>318.99999999999972</v>
      </c>
      <c r="AU30" s="406">
        <f t="shared" si="54"/>
        <v>427.30000000000092</v>
      </c>
      <c r="AV30" s="407">
        <f>AV25+AV26+AV27+AV28+AV29</f>
        <v>1482.1000000000024</v>
      </c>
      <c r="AW30" s="408">
        <f>AW25+AW26+AW27+AW29+AW28</f>
        <v>374.59999999999951</v>
      </c>
      <c r="AX30" s="406">
        <f t="shared" ref="AX30:AZ30" si="55">AX25+AX26+AX27+AX28+AX29</f>
        <v>355.39999999999975</v>
      </c>
      <c r="AY30" s="406">
        <f t="shared" si="55"/>
        <v>305.99999999999983</v>
      </c>
      <c r="AZ30" s="406">
        <f t="shared" si="55"/>
        <v>431.60000000000019</v>
      </c>
      <c r="BA30" s="407">
        <f>BA25+BA26+BA27+BA28+BA29</f>
        <v>1467.600000000001</v>
      </c>
      <c r="BB30" s="408">
        <f>BB25+BB26+BB27+BB29+BB28</f>
        <v>250.48882651999986</v>
      </c>
      <c r="BC30" s="406">
        <f t="shared" ref="BC30:BE30" si="56">BC25+BC26+BC27+BC28+BC29</f>
        <v>363.00000000000085</v>
      </c>
      <c r="BD30" s="406">
        <f t="shared" si="56"/>
        <v>426.5999999999998</v>
      </c>
      <c r="BE30" s="406">
        <f t="shared" si="56"/>
        <v>402.00000000000011</v>
      </c>
      <c r="BF30" s="693">
        <f>BF25+BF26+BF27+BF28+BF29</f>
        <v>1442.0888265199992</v>
      </c>
      <c r="BG30" s="408">
        <f>BG25+BG26+BG27+BG29+BG28</f>
        <v>498.5</v>
      </c>
      <c r="BH30" s="406">
        <f t="shared" ref="BH30:BJ30" si="57">BH25+BH26+BH27+BH28+BH29</f>
        <v>655.99999999999989</v>
      </c>
      <c r="BI30" s="406">
        <f t="shared" si="57"/>
        <v>4082.7000000000007</v>
      </c>
      <c r="BJ30" s="406">
        <f t="shared" si="57"/>
        <v>428.89999999999964</v>
      </c>
      <c r="BK30" s="693">
        <f>BK25+BK26+BK27+BK28+BK29</f>
        <v>5666.0999999999985</v>
      </c>
      <c r="BL30" s="408">
        <f>BL25+BL26+BL27+BL29+BL28</f>
        <v>265.09999999999997</v>
      </c>
      <c r="BM30" s="406">
        <f t="shared" ref="BM30:BO30" si="58">BM25+BM26+BM27+BM28+BM29</f>
        <v>324.99999999999983</v>
      </c>
      <c r="BN30" s="406">
        <f t="shared" si="58"/>
        <v>297.30000000000075</v>
      </c>
      <c r="BO30" s="406">
        <f t="shared" si="58"/>
        <v>222.89999999999895</v>
      </c>
      <c r="BP30" s="825">
        <f>BP25+BP26+BP27+BP28+BP29</f>
        <v>1110.3000000000002</v>
      </c>
      <c r="BQ30" s="837">
        <f>BQ25+BQ26+BQ27+BQ29+BQ28</f>
        <v>84.100000000000577</v>
      </c>
      <c r="BR30" s="837">
        <f>BR25+BR26+BR27+BR29+BR28</f>
        <v>40.200000000000195</v>
      </c>
      <c r="BS30" s="406">
        <f t="shared" ref="BS30:BT30" si="59">BS25+BS26+BS27+BS28+BS29</f>
        <v>171.10000000000042</v>
      </c>
      <c r="BT30" s="406">
        <f t="shared" si="59"/>
        <v>126.4000000000002</v>
      </c>
      <c r="BU30" s="971">
        <f>BU25+BU26+BU27+BU28+BU29</f>
        <v>421.80000000000194</v>
      </c>
      <c r="BV30" s="988"/>
      <c r="BW30" s="988"/>
      <c r="BX30" s="1009"/>
      <c r="BY30" s="841"/>
      <c r="BZ30" s="1009"/>
      <c r="CA30" s="1009"/>
      <c r="CB30" s="1009"/>
      <c r="CC30" s="1009"/>
      <c r="CD30" s="1009"/>
      <c r="CE30" s="1009"/>
      <c r="CG30" s="841"/>
      <c r="CH30" s="1010"/>
      <c r="CI30" s="1013"/>
      <c r="CJ30" s="1011"/>
      <c r="CK30" s="1013"/>
      <c r="CL30" s="1011"/>
    </row>
    <row r="31" spans="1:90" ht="20.149999999999999" customHeight="1">
      <c r="A31" s="49" t="s">
        <v>74</v>
      </c>
      <c r="B31" s="413" t="s">
        <v>75</v>
      </c>
      <c r="C31" s="54">
        <v>-41.2</v>
      </c>
      <c r="D31" s="54">
        <v>-13.4</v>
      </c>
      <c r="E31" s="54">
        <v>-26.2</v>
      </c>
      <c r="F31" s="54">
        <v>-16.600000000000001</v>
      </c>
      <c r="G31" s="201">
        <f>SUM(C31:F31)</f>
        <v>-97.4</v>
      </c>
      <c r="H31" s="55">
        <v>-14.1</v>
      </c>
      <c r="I31" s="54">
        <v>-13.4</v>
      </c>
      <c r="J31" s="54">
        <v>-24.4</v>
      </c>
      <c r="K31" s="54">
        <v>-15.5</v>
      </c>
      <c r="L31" s="201">
        <f>SUM(H31:K31)</f>
        <v>-67.400000000000006</v>
      </c>
      <c r="M31" s="55">
        <v>-14.400000000000002</v>
      </c>
      <c r="N31" s="54">
        <v>-16.7</v>
      </c>
      <c r="O31" s="54">
        <v>-1.1000000000000001</v>
      </c>
      <c r="P31" s="54">
        <v>10.5</v>
      </c>
      <c r="Q31" s="201">
        <f>SUM(M31:P31)</f>
        <v>-21.700000000000003</v>
      </c>
      <c r="R31" s="54">
        <v>-26</v>
      </c>
      <c r="S31" s="54">
        <v>-45.9</v>
      </c>
      <c r="T31" s="54">
        <v>-110.8</v>
      </c>
      <c r="U31" s="56">
        <v>13.7</v>
      </c>
      <c r="V31" s="201">
        <v>-169</v>
      </c>
      <c r="W31" s="56">
        <v>-27.2</v>
      </c>
      <c r="X31" s="56">
        <v>-21.2</v>
      </c>
      <c r="Y31" s="36">
        <v>-65.099999999999994</v>
      </c>
      <c r="Z31" s="56">
        <v>101.1</v>
      </c>
      <c r="AA31" s="201">
        <f t="shared" si="6"/>
        <v>-12.400000000000006</v>
      </c>
      <c r="AB31" s="56">
        <v>-30.8</v>
      </c>
      <c r="AC31" s="56">
        <v>-107.6</v>
      </c>
      <c r="AD31" s="36">
        <v>-54.2</v>
      </c>
      <c r="AE31" s="56">
        <v>-197.2</v>
      </c>
      <c r="AF31" s="201">
        <f t="shared" si="7"/>
        <v>-389.8</v>
      </c>
      <c r="AG31" s="56">
        <v>-78</v>
      </c>
      <c r="AH31" s="56">
        <v>-102.1</v>
      </c>
      <c r="AI31" s="84">
        <v>-77.3</v>
      </c>
      <c r="AJ31" s="56">
        <v>-246.74845572261776</v>
      </c>
      <c r="AK31" s="201">
        <f>SUM(AG31:AJ31)</f>
        <v>-504.14845572261777</v>
      </c>
      <c r="AL31" s="498"/>
      <c r="AM31" s="102">
        <v>-72.5</v>
      </c>
      <c r="AN31" s="56">
        <v>-99.3</v>
      </c>
      <c r="AO31" s="810">
        <v>-76</v>
      </c>
      <c r="AP31" s="56">
        <v>-242.2</v>
      </c>
      <c r="AQ31" s="201">
        <f>SUM(AM31:AP31)</f>
        <v>-490</v>
      </c>
      <c r="AR31" s="102">
        <v>-78</v>
      </c>
      <c r="AS31" s="56">
        <v>-86.9</v>
      </c>
      <c r="AT31" s="56">
        <v>-72</v>
      </c>
      <c r="AU31" s="56">
        <v>-118.9</v>
      </c>
      <c r="AV31" s="201">
        <f>SUM(AR31:AU31)</f>
        <v>-355.8</v>
      </c>
      <c r="AW31" s="102">
        <v>-77.3</v>
      </c>
      <c r="AX31" s="56">
        <v>-86.5</v>
      </c>
      <c r="AY31" s="810">
        <v>-69.5</v>
      </c>
      <c r="AZ31" s="56">
        <v>-119.7</v>
      </c>
      <c r="BA31" s="201">
        <f>SUM(AW31:AZ31)</f>
        <v>-353</v>
      </c>
      <c r="BB31" s="102">
        <v>-66.7</v>
      </c>
      <c r="BC31" s="56">
        <v>-72.3</v>
      </c>
      <c r="BD31" s="810">
        <v>-81.599999999999994</v>
      </c>
      <c r="BE31" s="56">
        <v>-75.3</v>
      </c>
      <c r="BF31" s="709">
        <f>SUM(BB31:BE31)</f>
        <v>-295.89999999999998</v>
      </c>
      <c r="BG31" s="102">
        <v>-108.1</v>
      </c>
      <c r="BH31" s="54">
        <v>-114.3</v>
      </c>
      <c r="BI31" s="54">
        <v>-934</v>
      </c>
      <c r="BJ31" s="54">
        <v>-95.2</v>
      </c>
      <c r="BK31" s="694">
        <f>SUM(BG31:BJ31)</f>
        <v>-1251.6000000000001</v>
      </c>
      <c r="BL31" s="102">
        <v>-52.3</v>
      </c>
      <c r="BM31" s="54">
        <v>-42.3</v>
      </c>
      <c r="BN31" s="105">
        <v>-66.2</v>
      </c>
      <c r="BO31" s="54">
        <f>-209.2-BN31-BM31-BL31</f>
        <v>-48.400000000000006</v>
      </c>
      <c r="BP31" s="821">
        <f>SUM(BL31:BO31)</f>
        <v>-209.20000000000002</v>
      </c>
      <c r="BQ31" s="833">
        <v>-13.1</v>
      </c>
      <c r="BR31" s="54">
        <v>-32.1</v>
      </c>
      <c r="BS31" s="105">
        <v>-68.900000000000006</v>
      </c>
      <c r="BT31" s="105">
        <v>3.9</v>
      </c>
      <c r="BU31" s="966">
        <f>SUM(BQ31:BT31)</f>
        <v>-110.2</v>
      </c>
      <c r="BV31" s="988"/>
      <c r="BW31" s="988"/>
      <c r="BX31" s="1009"/>
      <c r="BY31" s="841"/>
      <c r="BZ31" s="1009"/>
      <c r="CA31" s="1009"/>
      <c r="CB31" s="1009"/>
      <c r="CC31" s="1009"/>
      <c r="CD31" s="1009"/>
      <c r="CE31" s="1009"/>
      <c r="CF31" s="411"/>
      <c r="CG31" s="841"/>
      <c r="CH31" s="1010"/>
      <c r="CI31" s="1013"/>
      <c r="CJ31" s="1014"/>
      <c r="CK31" s="1013"/>
      <c r="CL31" s="1014"/>
    </row>
    <row r="32" spans="1:90" s="411" customFormat="1" ht="22.5" customHeight="1">
      <c r="A32" s="404" t="s">
        <v>76</v>
      </c>
      <c r="B32" s="405" t="s">
        <v>77</v>
      </c>
      <c r="C32" s="406">
        <f t="shared" ref="C32:AA32" si="60">C30+C31</f>
        <v>205.10000000000002</v>
      </c>
      <c r="D32" s="406">
        <f t="shared" si="60"/>
        <v>99.499999999999957</v>
      </c>
      <c r="E32" s="406">
        <f t="shared" si="60"/>
        <v>172.00000000000006</v>
      </c>
      <c r="F32" s="406">
        <f t="shared" si="60"/>
        <v>121.60000000000019</v>
      </c>
      <c r="G32" s="407">
        <f>G30+G31</f>
        <v>598.19999999999914</v>
      </c>
      <c r="H32" s="408">
        <f t="shared" si="60"/>
        <v>95.179999999999964</v>
      </c>
      <c r="I32" s="406">
        <f t="shared" si="60"/>
        <v>80.699999999999974</v>
      </c>
      <c r="J32" s="406">
        <f t="shared" si="60"/>
        <v>176.39999999999998</v>
      </c>
      <c r="K32" s="406">
        <f t="shared" si="60"/>
        <v>173.19999999999993</v>
      </c>
      <c r="L32" s="407">
        <f t="shared" si="60"/>
        <v>525.48000000000036</v>
      </c>
      <c r="M32" s="408">
        <f t="shared" si="60"/>
        <v>98.199999999999761</v>
      </c>
      <c r="N32" s="406">
        <f t="shared" si="60"/>
        <v>132.09999999999991</v>
      </c>
      <c r="O32" s="406">
        <f t="shared" si="60"/>
        <v>48.199999999999683</v>
      </c>
      <c r="P32" s="406">
        <f t="shared" si="60"/>
        <v>14.000000000000773</v>
      </c>
      <c r="Q32" s="407">
        <f t="shared" si="60"/>
        <v>292.49999999999926</v>
      </c>
      <c r="R32" s="406">
        <f t="shared" si="60"/>
        <v>170.79999999999995</v>
      </c>
      <c r="S32" s="406">
        <f t="shared" si="60"/>
        <v>304.5</v>
      </c>
      <c r="T32" s="406">
        <f t="shared" si="60"/>
        <v>502.4999999999996</v>
      </c>
      <c r="U32" s="406">
        <f t="shared" si="60"/>
        <v>185.60000000000036</v>
      </c>
      <c r="V32" s="407">
        <f t="shared" si="60"/>
        <v>1163.3999999999994</v>
      </c>
      <c r="W32" s="406">
        <f t="shared" si="60"/>
        <v>178.50000000000006</v>
      </c>
      <c r="X32" s="406">
        <f t="shared" si="60"/>
        <v>230.90000000000015</v>
      </c>
      <c r="Y32" s="409">
        <f t="shared" si="60"/>
        <v>269.80000000000041</v>
      </c>
      <c r="Z32" s="409">
        <f t="shared" si="60"/>
        <v>341.79999999999995</v>
      </c>
      <c r="AA32" s="407">
        <f t="shared" si="60"/>
        <v>1021.0000000000001</v>
      </c>
      <c r="AB32" s="406">
        <f t="shared" ref="AB32:AK32" si="61">AB30+AB31</f>
        <v>271.40000000000032</v>
      </c>
      <c r="AC32" s="406">
        <f t="shared" si="61"/>
        <v>281.69999999999993</v>
      </c>
      <c r="AD32" s="406">
        <f t="shared" si="61"/>
        <v>234.90000000000003</v>
      </c>
      <c r="AE32" s="406">
        <f t="shared" si="61"/>
        <v>157.20000000000005</v>
      </c>
      <c r="AF32" s="407">
        <f t="shared" si="61"/>
        <v>945.20000000000073</v>
      </c>
      <c r="AG32" s="406">
        <f t="shared" si="61"/>
        <v>315.49999999999972</v>
      </c>
      <c r="AH32" s="406">
        <f t="shared" si="61"/>
        <v>253.09999999999988</v>
      </c>
      <c r="AI32" s="406">
        <f t="shared" si="61"/>
        <v>227.00000000000006</v>
      </c>
      <c r="AJ32" s="410">
        <f t="shared" si="61"/>
        <v>57.851544277382203</v>
      </c>
      <c r="AK32" s="407">
        <f t="shared" si="61"/>
        <v>853.45154427738191</v>
      </c>
      <c r="AL32" s="412"/>
      <c r="AM32" s="408">
        <f t="shared" ref="AM32:AU32" si="62">AM30+AM31</f>
        <v>292.2</v>
      </c>
      <c r="AN32" s="406">
        <f t="shared" si="62"/>
        <v>231.39999999999981</v>
      </c>
      <c r="AO32" s="406">
        <f t="shared" si="62"/>
        <v>227.0999999999998</v>
      </c>
      <c r="AP32" s="410">
        <f t="shared" si="62"/>
        <v>65.399999999999977</v>
      </c>
      <c r="AQ32" s="407">
        <f t="shared" si="62"/>
        <v>816.10000000000286</v>
      </c>
      <c r="AR32" s="408">
        <f>AR30+AR31</f>
        <v>300.80000000000024</v>
      </c>
      <c r="AS32" s="406">
        <f t="shared" si="62"/>
        <v>270.10000000000002</v>
      </c>
      <c r="AT32" s="406">
        <f t="shared" si="62"/>
        <v>246.99999999999972</v>
      </c>
      <c r="AU32" s="406">
        <f t="shared" si="62"/>
        <v>308.40000000000089</v>
      </c>
      <c r="AV32" s="407">
        <f t="shared" ref="AV32" si="63">AV30+AV31</f>
        <v>1126.3000000000025</v>
      </c>
      <c r="AW32" s="408">
        <f t="shared" ref="AW32:AZ32" si="64">AW30+AW31</f>
        <v>297.2999999999995</v>
      </c>
      <c r="AX32" s="406">
        <f t="shared" si="64"/>
        <v>268.89999999999975</v>
      </c>
      <c r="AY32" s="406">
        <f t="shared" si="64"/>
        <v>236.49999999999983</v>
      </c>
      <c r="AZ32" s="406">
        <f t="shared" si="64"/>
        <v>311.9000000000002</v>
      </c>
      <c r="BA32" s="407">
        <f t="shared" ref="BA32" si="65">BA30+BA31</f>
        <v>1114.600000000001</v>
      </c>
      <c r="BB32" s="408">
        <f t="shared" ref="BB32:BF32" si="66">BB30+BB31</f>
        <v>183.78882651999987</v>
      </c>
      <c r="BC32" s="406">
        <f t="shared" si="66"/>
        <v>290.70000000000084</v>
      </c>
      <c r="BD32" s="406">
        <f t="shared" si="66"/>
        <v>344.99999999999977</v>
      </c>
      <c r="BE32" s="406">
        <f t="shared" si="66"/>
        <v>326.7000000000001</v>
      </c>
      <c r="BF32" s="693">
        <f t="shared" si="66"/>
        <v>1146.1888265199991</v>
      </c>
      <c r="BG32" s="408">
        <f t="shared" ref="BG32:BK32" si="67">BG30+BG31</f>
        <v>390.4</v>
      </c>
      <c r="BH32" s="406">
        <f t="shared" si="67"/>
        <v>541.69999999999993</v>
      </c>
      <c r="BI32" s="406">
        <f t="shared" si="67"/>
        <v>3148.7000000000007</v>
      </c>
      <c r="BJ32" s="406">
        <f t="shared" si="67"/>
        <v>333.69999999999965</v>
      </c>
      <c r="BK32" s="693">
        <f t="shared" si="67"/>
        <v>4414.4999999999982</v>
      </c>
      <c r="BL32" s="408">
        <f>BL30+BL31</f>
        <v>212.79999999999995</v>
      </c>
      <c r="BM32" s="406">
        <f t="shared" ref="BM32:BP32" si="68">BM30+BM31</f>
        <v>282.69999999999982</v>
      </c>
      <c r="BN32" s="406">
        <f t="shared" si="68"/>
        <v>231.10000000000076</v>
      </c>
      <c r="BO32" s="406">
        <f t="shared" si="68"/>
        <v>174.49999999999895</v>
      </c>
      <c r="BP32" s="825">
        <f t="shared" si="68"/>
        <v>901.10000000000014</v>
      </c>
      <c r="BQ32" s="837">
        <f>BQ30+BQ31</f>
        <v>71.000000000000583</v>
      </c>
      <c r="BR32" s="406">
        <f t="shared" ref="BR32:BU32" si="69">BR30+BR31</f>
        <v>8.1000000000001933</v>
      </c>
      <c r="BS32" s="406">
        <f t="shared" si="69"/>
        <v>102.20000000000041</v>
      </c>
      <c r="BT32" s="406">
        <f t="shared" si="69"/>
        <v>130.30000000000021</v>
      </c>
      <c r="BU32" s="971">
        <f t="shared" si="69"/>
        <v>311.60000000000196</v>
      </c>
      <c r="BV32" s="988"/>
      <c r="BW32" s="988"/>
      <c r="BX32" s="1009"/>
      <c r="BY32" s="841"/>
      <c r="BZ32" s="1009"/>
      <c r="CA32" s="1009"/>
      <c r="CB32" s="1009"/>
      <c r="CC32" s="1009"/>
      <c r="CD32" s="1009"/>
      <c r="CE32" s="1009"/>
      <c r="CG32" s="841"/>
      <c r="CH32" s="1010"/>
      <c r="CI32" s="1016"/>
      <c r="CJ32" s="1011"/>
      <c r="CK32" s="1011"/>
      <c r="CL32" s="1011"/>
    </row>
    <row r="33" spans="1:16357" ht="30" customHeight="1">
      <c r="A33" s="49" t="s">
        <v>78</v>
      </c>
      <c r="B33" s="112" t="s">
        <v>79</v>
      </c>
      <c r="C33" s="54">
        <f>C32</f>
        <v>205.10000000000002</v>
      </c>
      <c r="D33" s="54">
        <f t="shared" ref="D33:V33" si="70">D32</f>
        <v>99.499999999999957</v>
      </c>
      <c r="E33" s="54">
        <f t="shared" si="70"/>
        <v>172.00000000000006</v>
      </c>
      <c r="F33" s="54">
        <f t="shared" si="70"/>
        <v>121.60000000000019</v>
      </c>
      <c r="G33" s="201">
        <f t="shared" si="70"/>
        <v>598.19999999999914</v>
      </c>
      <c r="H33" s="55">
        <f t="shared" si="70"/>
        <v>95.179999999999964</v>
      </c>
      <c r="I33" s="54">
        <f t="shared" si="70"/>
        <v>80.699999999999974</v>
      </c>
      <c r="J33" s="54">
        <f t="shared" si="70"/>
        <v>176.39999999999998</v>
      </c>
      <c r="K33" s="54">
        <f t="shared" si="70"/>
        <v>173.19999999999993</v>
      </c>
      <c r="L33" s="201">
        <f t="shared" si="70"/>
        <v>525.48000000000036</v>
      </c>
      <c r="M33" s="55">
        <f t="shared" si="70"/>
        <v>98.199999999999761</v>
      </c>
      <c r="N33" s="54">
        <f t="shared" si="70"/>
        <v>132.09999999999991</v>
      </c>
      <c r="O33" s="54">
        <f t="shared" si="70"/>
        <v>48.199999999999683</v>
      </c>
      <c r="P33" s="54">
        <f t="shared" si="70"/>
        <v>14.000000000000773</v>
      </c>
      <c r="Q33" s="201">
        <f t="shared" si="70"/>
        <v>292.49999999999926</v>
      </c>
      <c r="R33" s="54">
        <f t="shared" si="70"/>
        <v>170.79999999999995</v>
      </c>
      <c r="S33" s="54">
        <f t="shared" si="70"/>
        <v>304.5</v>
      </c>
      <c r="T33" s="54">
        <f t="shared" si="70"/>
        <v>502.4999999999996</v>
      </c>
      <c r="U33" s="57">
        <f t="shared" si="70"/>
        <v>185.60000000000036</v>
      </c>
      <c r="V33" s="201">
        <f t="shared" si="70"/>
        <v>1163.3999999999994</v>
      </c>
      <c r="W33" s="56">
        <v>175.5</v>
      </c>
      <c r="X33" s="56">
        <v>237.7</v>
      </c>
      <c r="Y33" s="36">
        <v>278.2</v>
      </c>
      <c r="Z33" s="57">
        <v>349.9</v>
      </c>
      <c r="AA33" s="201">
        <f t="shared" si="6"/>
        <v>1041.3</v>
      </c>
      <c r="AB33" s="56">
        <v>279.39999999999998</v>
      </c>
      <c r="AC33" s="56">
        <v>291.2</v>
      </c>
      <c r="AD33" s="36">
        <v>242.9</v>
      </c>
      <c r="AE33" s="36">
        <v>167.1</v>
      </c>
      <c r="AF33" s="201">
        <f t="shared" si="7"/>
        <v>980.59999999999991</v>
      </c>
      <c r="AG33" s="54"/>
      <c r="AH33" s="56"/>
      <c r="AI33" s="84"/>
      <c r="AJ33" s="36"/>
      <c r="AK33" s="201">
        <f t="shared" ref="AK33:AK34" si="71">SUM(AG33:AJ33)</f>
        <v>0</v>
      </c>
      <c r="AL33" s="498"/>
      <c r="AM33" s="72">
        <v>300.8</v>
      </c>
      <c r="AN33" s="56">
        <v>235.8</v>
      </c>
      <c r="AO33" s="56">
        <v>226.1</v>
      </c>
      <c r="AP33" s="36">
        <v>70.900000000000006</v>
      </c>
      <c r="AQ33" s="201">
        <f t="shared" ref="AQ33:AQ34" si="72">SUM(AM33:AP33)</f>
        <v>833.6</v>
      </c>
      <c r="AR33" s="72"/>
      <c r="AS33" s="56"/>
      <c r="AT33" s="56"/>
      <c r="AU33" s="36"/>
      <c r="AV33" s="201"/>
      <c r="AW33" s="72">
        <v>291.89999999999998</v>
      </c>
      <c r="AX33" s="56">
        <v>263.60000000000002</v>
      </c>
      <c r="AY33" s="56">
        <v>231.3</v>
      </c>
      <c r="AZ33" s="36">
        <v>313.8</v>
      </c>
      <c r="BA33" s="201">
        <f t="shared" ref="BA33:BA34" si="73">SUM(AW33:AZ33)</f>
        <v>1100.5999999999999</v>
      </c>
      <c r="BB33" s="72">
        <v>182.4</v>
      </c>
      <c r="BC33" s="56">
        <v>288.39999999999998</v>
      </c>
      <c r="BD33" s="414">
        <v>345.9</v>
      </c>
      <c r="BE33" s="36">
        <v>324.89999999999998</v>
      </c>
      <c r="BF33" s="709">
        <f>SUM(BB33:BE33)</f>
        <v>1141.5999999999999</v>
      </c>
      <c r="BG33" s="72">
        <v>389.6</v>
      </c>
      <c r="BH33" s="54">
        <v>539.29999999999995</v>
      </c>
      <c r="BI33" s="50">
        <v>3142.4</v>
      </c>
      <c r="BJ33" s="36">
        <v>337.5</v>
      </c>
      <c r="BK33" s="694">
        <f>SUM(BG33:BJ33)</f>
        <v>4408.8</v>
      </c>
      <c r="BL33" s="72">
        <v>214.9</v>
      </c>
      <c r="BM33" s="105">
        <v>288.89999999999998</v>
      </c>
      <c r="BN33" s="764">
        <v>236.7</v>
      </c>
      <c r="BO33" s="54">
        <f>900-BN33-BM33-BL33</f>
        <v>159.49999999999997</v>
      </c>
      <c r="BP33" s="823">
        <f>SUM(BL33:BO33)</f>
        <v>900</v>
      </c>
      <c r="BQ33" s="838">
        <v>64.5</v>
      </c>
      <c r="BR33" s="105">
        <v>-7.3</v>
      </c>
      <c r="BS33" s="764">
        <v>120.8</v>
      </c>
      <c r="BT33" s="764">
        <v>100.5</v>
      </c>
      <c r="BU33" s="968">
        <f>SUM(BQ33:BT33)</f>
        <v>278.5</v>
      </c>
      <c r="BV33" s="988"/>
      <c r="BW33" s="988"/>
      <c r="BX33" s="1009"/>
      <c r="BY33" s="841"/>
      <c r="BZ33" s="1009"/>
      <c r="CA33" s="1009"/>
      <c r="CB33" s="1009"/>
      <c r="CC33" s="1009"/>
      <c r="CD33" s="1009"/>
      <c r="CE33" s="1009"/>
      <c r="CF33" s="411"/>
      <c r="CG33" s="841"/>
      <c r="CH33" s="1010"/>
      <c r="CI33" s="1014"/>
      <c r="CJ33" s="1014"/>
      <c r="CK33" s="1014"/>
      <c r="CL33" s="1014"/>
    </row>
    <row r="34" spans="1:16357" ht="30" customHeight="1">
      <c r="A34" s="49" t="s">
        <v>80</v>
      </c>
      <c r="B34" s="112" t="s">
        <v>81</v>
      </c>
      <c r="C34" s="54"/>
      <c r="D34" s="54"/>
      <c r="E34" s="54"/>
      <c r="F34" s="54"/>
      <c r="G34" s="201"/>
      <c r="H34" s="55"/>
      <c r="I34" s="54"/>
      <c r="J34" s="54"/>
      <c r="K34" s="54"/>
      <c r="L34" s="201"/>
      <c r="M34" s="55"/>
      <c r="N34" s="54"/>
      <c r="O34" s="54"/>
      <c r="P34" s="54"/>
      <c r="Q34" s="201"/>
      <c r="R34" s="54"/>
      <c r="S34" s="54"/>
      <c r="T34" s="54"/>
      <c r="U34" s="57"/>
      <c r="V34" s="201"/>
      <c r="W34" s="56">
        <v>3</v>
      </c>
      <c r="X34" s="56">
        <v>-6.8</v>
      </c>
      <c r="Y34" s="36">
        <v>-8.4</v>
      </c>
      <c r="Z34" s="57">
        <v>-8.1</v>
      </c>
      <c r="AA34" s="201">
        <f t="shared" si="6"/>
        <v>-20.299999999999997</v>
      </c>
      <c r="AB34" s="56">
        <v>-8</v>
      </c>
      <c r="AC34" s="56">
        <v>-9.5</v>
      </c>
      <c r="AD34" s="36">
        <v>-8</v>
      </c>
      <c r="AE34" s="36">
        <v>-9.9</v>
      </c>
      <c r="AF34" s="201">
        <f t="shared" si="7"/>
        <v>-35.4</v>
      </c>
      <c r="AG34" s="54"/>
      <c r="AH34" s="56"/>
      <c r="AI34" s="84"/>
      <c r="AJ34" s="36"/>
      <c r="AK34" s="201">
        <f t="shared" si="71"/>
        <v>0</v>
      </c>
      <c r="AL34" s="498"/>
      <c r="AM34" s="72">
        <v>-8.6</v>
      </c>
      <c r="AN34" s="56">
        <v>-4.4000000000000004</v>
      </c>
      <c r="AO34" s="56">
        <v>1</v>
      </c>
      <c r="AP34" s="36">
        <v>-5.5</v>
      </c>
      <c r="AQ34" s="201">
        <f t="shared" si="72"/>
        <v>-17.5</v>
      </c>
      <c r="AR34" s="72"/>
      <c r="AS34" s="56"/>
      <c r="AT34" s="56"/>
      <c r="AU34" s="36"/>
      <c r="AV34" s="201"/>
      <c r="AW34" s="72">
        <v>5.4</v>
      </c>
      <c r="AX34" s="56">
        <v>5.3</v>
      </c>
      <c r="AY34" s="56">
        <v>5.2</v>
      </c>
      <c r="AZ34" s="36">
        <v>-1.9</v>
      </c>
      <c r="BA34" s="201">
        <f t="shared" si="73"/>
        <v>13.999999999999998</v>
      </c>
      <c r="BB34" s="72">
        <v>1.4</v>
      </c>
      <c r="BC34" s="56">
        <v>2.2999999999999998</v>
      </c>
      <c r="BD34" s="56">
        <v>-0.9</v>
      </c>
      <c r="BE34" s="36">
        <v>1.8</v>
      </c>
      <c r="BF34" s="709">
        <f t="shared" ref="BF34" si="74">SUM(BB34:BE34)</f>
        <v>4.5999999999999996</v>
      </c>
      <c r="BG34" s="72">
        <v>0.8</v>
      </c>
      <c r="BH34" s="54">
        <v>2.4</v>
      </c>
      <c r="BI34" s="56">
        <v>6.3</v>
      </c>
      <c r="BJ34" s="36">
        <v>-3.8</v>
      </c>
      <c r="BK34" s="694">
        <f t="shared" ref="BK34" si="75">SUM(BG34:BJ34)</f>
        <v>5.7</v>
      </c>
      <c r="BL34" s="72">
        <v>-2.1</v>
      </c>
      <c r="BM34" s="105">
        <v>-6.2</v>
      </c>
      <c r="BN34" s="107">
        <v>-5.6</v>
      </c>
      <c r="BO34" s="54">
        <f>1.1-BN34-BM34-BL34</f>
        <v>14.999999999999998</v>
      </c>
      <c r="BP34" s="823">
        <f>SUM(BL34:BO34)</f>
        <v>1.0999999999999979</v>
      </c>
      <c r="BQ34" s="838">
        <v>6.5</v>
      </c>
      <c r="BR34" s="105">
        <v>15.4</v>
      </c>
      <c r="BS34" s="107">
        <v>-18.600000000000001</v>
      </c>
      <c r="BT34" s="107">
        <v>29.8</v>
      </c>
      <c r="BU34" s="968">
        <f>SUM(BQ34:BT34)</f>
        <v>33.099999999999994</v>
      </c>
      <c r="BV34" s="988"/>
      <c r="BW34" s="988"/>
      <c r="BX34" s="1009"/>
      <c r="BY34" s="841"/>
      <c r="BZ34" s="1009"/>
      <c r="CA34" s="1009"/>
      <c r="CB34" s="1009"/>
      <c r="CC34" s="1009"/>
      <c r="CD34" s="1009"/>
      <c r="CE34" s="1009"/>
      <c r="CF34" s="411"/>
      <c r="CG34" s="841"/>
      <c r="CH34" s="1010"/>
      <c r="CI34" s="1014"/>
      <c r="CJ34" s="1014"/>
      <c r="CK34" s="1014"/>
      <c r="CL34" s="1014"/>
    </row>
    <row r="35" spans="1:16357" s="53" customFormat="1" ht="20.149999999999999" customHeight="1">
      <c r="A35" s="58" t="s">
        <v>82</v>
      </c>
      <c r="B35" s="116" t="s">
        <v>83</v>
      </c>
      <c r="C35" s="59">
        <f t="shared" ref="C35:M35" si="76">ROUND(C32/348.352836,2)</f>
        <v>0.59</v>
      </c>
      <c r="D35" s="59">
        <f t="shared" si="76"/>
        <v>0.28999999999999998</v>
      </c>
      <c r="E35" s="59">
        <f t="shared" si="76"/>
        <v>0.49</v>
      </c>
      <c r="F35" s="59">
        <f t="shared" si="76"/>
        <v>0.35</v>
      </c>
      <c r="G35" s="202">
        <f t="shared" si="76"/>
        <v>1.72</v>
      </c>
      <c r="H35" s="60">
        <f t="shared" si="76"/>
        <v>0.27</v>
      </c>
      <c r="I35" s="59">
        <f t="shared" si="76"/>
        <v>0.23</v>
      </c>
      <c r="J35" s="59">
        <f t="shared" si="76"/>
        <v>0.51</v>
      </c>
      <c r="K35" s="59">
        <f t="shared" si="76"/>
        <v>0.5</v>
      </c>
      <c r="L35" s="202">
        <f t="shared" si="76"/>
        <v>1.51</v>
      </c>
      <c r="M35" s="61">
        <f t="shared" si="76"/>
        <v>0.28000000000000003</v>
      </c>
      <c r="N35" s="59">
        <f>ROUND(N32/524.348714,2)</f>
        <v>0.25</v>
      </c>
      <c r="O35" s="59">
        <f>ROUND(O32/639.546016,2)</f>
        <v>0.08</v>
      </c>
      <c r="P35" s="59">
        <f>ROUND(P32/639.546016,2)</f>
        <v>0.02</v>
      </c>
      <c r="Q35" s="202">
        <f>ROUND(Q32/539.024535,2)</f>
        <v>0.54</v>
      </c>
      <c r="R35" s="59">
        <f t="shared" ref="R35:AA35" si="77">ROUND(R32/639.546016,2)</f>
        <v>0.27</v>
      </c>
      <c r="S35" s="59">
        <f t="shared" si="77"/>
        <v>0.48</v>
      </c>
      <c r="T35" s="59">
        <f t="shared" si="77"/>
        <v>0.79</v>
      </c>
      <c r="U35" s="62">
        <f t="shared" si="77"/>
        <v>0.28999999999999998</v>
      </c>
      <c r="V35" s="202">
        <f t="shared" si="77"/>
        <v>1.82</v>
      </c>
      <c r="W35" s="63">
        <f t="shared" si="77"/>
        <v>0.28000000000000003</v>
      </c>
      <c r="X35" s="63">
        <f>ROUNDUP(X32/639.546016,2)</f>
        <v>0.37</v>
      </c>
      <c r="Y35" s="37">
        <f t="shared" si="77"/>
        <v>0.42</v>
      </c>
      <c r="Z35" s="37">
        <f>ROUNDUP(Z32/639.546016,2)</f>
        <v>0.54</v>
      </c>
      <c r="AA35" s="202">
        <f t="shared" si="77"/>
        <v>1.6</v>
      </c>
      <c r="AB35" s="63">
        <f t="shared" ref="AB35:AK35" si="78">ROUND(AB32/639.546016,2)</f>
        <v>0.42</v>
      </c>
      <c r="AC35" s="63">
        <f t="shared" si="78"/>
        <v>0.44</v>
      </c>
      <c r="AD35" s="63">
        <f t="shared" si="78"/>
        <v>0.37</v>
      </c>
      <c r="AE35" s="63">
        <f t="shared" si="78"/>
        <v>0.25</v>
      </c>
      <c r="AF35" s="202">
        <f t="shared" si="78"/>
        <v>1.48</v>
      </c>
      <c r="AG35" s="63">
        <f t="shared" si="78"/>
        <v>0.49</v>
      </c>
      <c r="AH35" s="63">
        <f t="shared" si="78"/>
        <v>0.4</v>
      </c>
      <c r="AI35" s="63">
        <f t="shared" si="78"/>
        <v>0.35</v>
      </c>
      <c r="AJ35" s="96">
        <f t="shared" si="78"/>
        <v>0.09</v>
      </c>
      <c r="AK35" s="202">
        <f t="shared" si="78"/>
        <v>1.33</v>
      </c>
      <c r="AL35" s="502"/>
      <c r="AM35" s="73">
        <f t="shared" ref="AM35:AQ35" si="79">ROUND(AM32/639.546016,2)</f>
        <v>0.46</v>
      </c>
      <c r="AN35" s="63">
        <f t="shared" si="79"/>
        <v>0.36</v>
      </c>
      <c r="AO35" s="63">
        <v>0.35</v>
      </c>
      <c r="AP35" s="96">
        <v>0.11</v>
      </c>
      <c r="AQ35" s="202">
        <f t="shared" si="79"/>
        <v>1.28</v>
      </c>
      <c r="AR35" s="73"/>
      <c r="AS35" s="63"/>
      <c r="AT35" s="63"/>
      <c r="AU35" s="96"/>
      <c r="AV35" s="202"/>
      <c r="AW35" s="73">
        <f>ROUND(AW32/639.546016,2)</f>
        <v>0.46</v>
      </c>
      <c r="AX35" s="63">
        <v>0.43</v>
      </c>
      <c r="AY35" s="63">
        <v>0.37</v>
      </c>
      <c r="AZ35" s="96">
        <v>0.48</v>
      </c>
      <c r="BA35" s="202">
        <f t="shared" ref="BA35" si="80">ROUND(BA32/639.546016,2)</f>
        <v>1.74</v>
      </c>
      <c r="BB35" s="73">
        <f>ROUND(BB32/639.546016,2)</f>
        <v>0.28999999999999998</v>
      </c>
      <c r="BC35" s="96">
        <f t="shared" ref="BC35:BE35" si="81">ROUND(BC32/639.546016,2)</f>
        <v>0.45</v>
      </c>
      <c r="BD35" s="96">
        <f t="shared" si="81"/>
        <v>0.54</v>
      </c>
      <c r="BE35" s="96">
        <f t="shared" si="81"/>
        <v>0.51</v>
      </c>
      <c r="BF35" s="709">
        <f t="shared" ref="BF35" si="82">ROUND(BF32/639.546016,2)</f>
        <v>1.79</v>
      </c>
      <c r="BG35" s="73">
        <f>ROUND(BG32/639.546016,2)</f>
        <v>0.61</v>
      </c>
      <c r="BH35" s="96">
        <f t="shared" ref="BH35" si="83">ROUND(BH32/639.546016,2)</f>
        <v>0.85</v>
      </c>
      <c r="BI35" s="96">
        <f>ROUNDDOWN(BI32/639.546016,2)</f>
        <v>4.92</v>
      </c>
      <c r="BJ35" s="96">
        <f>BJ32/621.258207</f>
        <v>0.53713576133087548</v>
      </c>
      <c r="BK35" s="692">
        <f>BK32/634.936486</f>
        <v>6.9526639236164458</v>
      </c>
      <c r="BL35" s="96">
        <f>BL32/568.37189</f>
        <v>0.37440275239509108</v>
      </c>
      <c r="BM35" s="765">
        <f>BM32/561.525804</f>
        <v>0.50344970433451319</v>
      </c>
      <c r="BN35" s="774">
        <f>BN32/550.703531</f>
        <v>0.41964503038568818</v>
      </c>
      <c r="BO35" s="774">
        <f>BP35-BL35-BM35-BN35</f>
        <v>0.32250251288470771</v>
      </c>
      <c r="BP35" s="826">
        <v>1.62</v>
      </c>
      <c r="BQ35" s="860">
        <v>0.13</v>
      </c>
      <c r="BR35" s="765">
        <v>0.01</v>
      </c>
      <c r="BS35" s="774">
        <v>0.19</v>
      </c>
      <c r="BT35" s="774">
        <v>0.24</v>
      </c>
      <c r="BU35" s="972">
        <f>SUM(BQ35:BT35)</f>
        <v>0.57000000000000006</v>
      </c>
      <c r="BV35" s="988"/>
      <c r="BW35" s="988"/>
      <c r="BX35" s="1009"/>
      <c r="BY35" s="841"/>
      <c r="BZ35" s="1009"/>
      <c r="CA35" s="1009"/>
      <c r="CB35" s="1009"/>
      <c r="CC35" s="1009"/>
      <c r="CD35" s="1009"/>
      <c r="CE35" s="1009"/>
      <c r="CF35" s="932"/>
      <c r="CG35" s="931"/>
      <c r="CH35" s="931"/>
    </row>
    <row r="36" spans="1:16357" s="411" customFormat="1" ht="22.5" customHeight="1">
      <c r="A36" s="404" t="s">
        <v>84</v>
      </c>
      <c r="B36" s="405" t="s">
        <v>84</v>
      </c>
      <c r="C36" s="406">
        <f t="shared" ref="C36:AK36" si="84">C25-C13</f>
        <v>257.40000000000003</v>
      </c>
      <c r="D36" s="406">
        <f t="shared" si="84"/>
        <v>269.7</v>
      </c>
      <c r="E36" s="406">
        <f t="shared" si="84"/>
        <v>257.8</v>
      </c>
      <c r="F36" s="406">
        <f t="shared" si="84"/>
        <v>247.20000000000016</v>
      </c>
      <c r="G36" s="407">
        <f t="shared" si="84"/>
        <v>1032.0999999999992</v>
      </c>
      <c r="H36" s="408">
        <f t="shared" si="84"/>
        <v>245.37999999999994</v>
      </c>
      <c r="I36" s="406">
        <f t="shared" si="84"/>
        <v>257.3</v>
      </c>
      <c r="J36" s="406">
        <f t="shared" si="84"/>
        <v>268.2</v>
      </c>
      <c r="K36" s="406">
        <f t="shared" si="84"/>
        <v>275.39999999999998</v>
      </c>
      <c r="L36" s="407">
        <f t="shared" si="84"/>
        <v>1046.2800000000002</v>
      </c>
      <c r="M36" s="408">
        <f t="shared" si="84"/>
        <v>281.99999999999977</v>
      </c>
      <c r="N36" s="406">
        <f t="shared" si="84"/>
        <v>708.89999999999986</v>
      </c>
      <c r="O36" s="406">
        <f t="shared" si="84"/>
        <v>910.09999999999968</v>
      </c>
      <c r="P36" s="406">
        <f t="shared" si="84"/>
        <v>837.30000000000075</v>
      </c>
      <c r="Q36" s="407">
        <f t="shared" si="84"/>
        <v>2738.2999999999993</v>
      </c>
      <c r="R36" s="406">
        <f t="shared" si="84"/>
        <v>896.59999999999991</v>
      </c>
      <c r="S36" s="406">
        <f t="shared" si="84"/>
        <v>977</v>
      </c>
      <c r="T36" s="406">
        <f t="shared" si="84"/>
        <v>930.39999999999964</v>
      </c>
      <c r="U36" s="406">
        <f t="shared" si="84"/>
        <v>881.10000000000036</v>
      </c>
      <c r="V36" s="407">
        <f t="shared" si="84"/>
        <v>3685.0999999999995</v>
      </c>
      <c r="W36" s="406">
        <f t="shared" si="84"/>
        <v>846.5</v>
      </c>
      <c r="X36" s="406">
        <f t="shared" si="84"/>
        <v>935.00000000000011</v>
      </c>
      <c r="Y36" s="409">
        <f t="shared" si="84"/>
        <v>957.00000000000034</v>
      </c>
      <c r="Z36" s="409">
        <f t="shared" si="84"/>
        <v>902.3</v>
      </c>
      <c r="AA36" s="407">
        <f t="shared" si="84"/>
        <v>3640.8</v>
      </c>
      <c r="AB36" s="406">
        <f t="shared" si="84"/>
        <v>929.50000000000034</v>
      </c>
      <c r="AC36" s="406">
        <f t="shared" si="84"/>
        <v>963.69999999999982</v>
      </c>
      <c r="AD36" s="406">
        <f t="shared" si="84"/>
        <v>851.1</v>
      </c>
      <c r="AE36" s="406">
        <f t="shared" si="84"/>
        <v>872.7</v>
      </c>
      <c r="AF36" s="407">
        <f t="shared" si="84"/>
        <v>3617.0000000000009</v>
      </c>
      <c r="AG36" s="406">
        <f t="shared" si="84"/>
        <v>918.79999999999973</v>
      </c>
      <c r="AH36" s="406">
        <f t="shared" si="84"/>
        <v>927.59999999999991</v>
      </c>
      <c r="AI36" s="406">
        <f t="shared" si="84"/>
        <v>848.50000000000011</v>
      </c>
      <c r="AJ36" s="410">
        <f t="shared" si="84"/>
        <v>846.6</v>
      </c>
      <c r="AK36" s="407">
        <f t="shared" si="84"/>
        <v>3541.4999999999995</v>
      </c>
      <c r="AL36" s="412"/>
      <c r="AM36" s="408">
        <f t="shared" ref="AM36:BO36" si="85">AM25-AM13</f>
        <v>890</v>
      </c>
      <c r="AN36" s="406">
        <f t="shared" si="85"/>
        <v>946.39999999999986</v>
      </c>
      <c r="AO36" s="406">
        <f t="shared" si="85"/>
        <v>919.99999999999977</v>
      </c>
      <c r="AP36" s="410">
        <f t="shared" si="85"/>
        <v>941.3</v>
      </c>
      <c r="AQ36" s="407">
        <f t="shared" si="85"/>
        <v>3697.700000000003</v>
      </c>
      <c r="AR36" s="408">
        <f t="shared" si="85"/>
        <v>922.00000000000023</v>
      </c>
      <c r="AS36" s="406">
        <f t="shared" si="85"/>
        <v>959.9</v>
      </c>
      <c r="AT36" s="406">
        <f t="shared" si="85"/>
        <v>901.1999999999997</v>
      </c>
      <c r="AU36" s="406">
        <f t="shared" si="85"/>
        <v>938.20000000000095</v>
      </c>
      <c r="AV36" s="407">
        <f t="shared" si="85"/>
        <v>3721.3000000000029</v>
      </c>
      <c r="AW36" s="408">
        <f t="shared" si="85"/>
        <v>1038.2999999999995</v>
      </c>
      <c r="AX36" s="406">
        <f t="shared" si="85"/>
        <v>1076.0999999999999</v>
      </c>
      <c r="AY36" s="406">
        <f t="shared" si="85"/>
        <v>1020.4999999999999</v>
      </c>
      <c r="AZ36" s="406">
        <f t="shared" si="85"/>
        <v>1061.8000000000002</v>
      </c>
      <c r="BA36" s="407">
        <f t="shared" si="85"/>
        <v>4196.7000000000007</v>
      </c>
      <c r="BB36" s="408">
        <f t="shared" si="85"/>
        <v>1026.6888265199998</v>
      </c>
      <c r="BC36" s="406">
        <f t="shared" si="85"/>
        <v>960.0000000000008</v>
      </c>
      <c r="BD36" s="406">
        <f t="shared" si="85"/>
        <v>1078.8999999999999</v>
      </c>
      <c r="BE36" s="406">
        <f t="shared" si="85"/>
        <v>1126.3000000000002</v>
      </c>
      <c r="BF36" s="693">
        <f t="shared" si="85"/>
        <v>4191.8888265199985</v>
      </c>
      <c r="BG36" s="408">
        <f t="shared" si="85"/>
        <v>1082.7</v>
      </c>
      <c r="BH36" s="406">
        <f t="shared" si="85"/>
        <v>1140.8999999999999</v>
      </c>
      <c r="BI36" s="406">
        <f t="shared" si="85"/>
        <v>4595.0000000000009</v>
      </c>
      <c r="BJ36" s="406">
        <f t="shared" si="85"/>
        <v>880.99999999999966</v>
      </c>
      <c r="BK36" s="693">
        <f t="shared" si="85"/>
        <v>7699.5999999999985</v>
      </c>
      <c r="BL36" s="408">
        <f t="shared" si="85"/>
        <v>766.6</v>
      </c>
      <c r="BM36" s="406">
        <f t="shared" si="85"/>
        <v>893.29999999999984</v>
      </c>
      <c r="BN36" s="406">
        <f t="shared" si="85"/>
        <v>953.0000000000008</v>
      </c>
      <c r="BO36" s="406">
        <f t="shared" si="85"/>
        <v>858.29999999999905</v>
      </c>
      <c r="BP36" s="825">
        <f>BP25-BP13</f>
        <v>3471.2000000000003</v>
      </c>
      <c r="BQ36" s="837">
        <f>BQ25-BQ13</f>
        <v>761.2000000000005</v>
      </c>
      <c r="BR36" s="406">
        <f t="shared" ref="BR36" si="86">BR25-BR13</f>
        <v>798.50000000000023</v>
      </c>
      <c r="BS36" s="406">
        <f>BS25-BS13-BS18-BS22</f>
        <v>994.80000000000041</v>
      </c>
      <c r="BT36" s="406">
        <f>BT25-BT13-BT18-BT22</f>
        <v>676.70000000000016</v>
      </c>
      <c r="BU36" s="971">
        <f>BU25-BU13-BU18-BU22</f>
        <v>3231.2000000000021</v>
      </c>
      <c r="BV36" s="988"/>
      <c r="BW36" s="988"/>
      <c r="BX36" s="1009"/>
      <c r="BY36" s="842"/>
      <c r="BZ36" s="1009"/>
      <c r="CA36" s="1009"/>
      <c r="CB36" s="1009"/>
      <c r="CC36" s="1009"/>
      <c r="CD36" s="1009"/>
      <c r="CE36" s="1009"/>
      <c r="CG36" s="841"/>
      <c r="CH36" s="841"/>
    </row>
    <row r="37" spans="1:16357" s="411" customFormat="1" ht="22.5" customHeight="1">
      <c r="A37" s="811" t="s">
        <v>85</v>
      </c>
      <c r="B37" s="812" t="s">
        <v>86</v>
      </c>
      <c r="C37" s="813">
        <f t="shared" ref="C37:AK37" si="87">C36/C5</f>
        <v>0.38463837417812313</v>
      </c>
      <c r="D37" s="813">
        <f t="shared" si="87"/>
        <v>0.377836929111796</v>
      </c>
      <c r="E37" s="813">
        <f t="shared" si="87"/>
        <v>0.4</v>
      </c>
      <c r="F37" s="813">
        <f t="shared" si="87"/>
        <v>0.32933653077537983</v>
      </c>
      <c r="G37" s="814">
        <f t="shared" si="87"/>
        <v>0.37151290450307745</v>
      </c>
      <c r="H37" s="815">
        <f t="shared" si="87"/>
        <v>0.35200114761153339</v>
      </c>
      <c r="I37" s="813">
        <f t="shared" si="87"/>
        <v>0.34963989672509854</v>
      </c>
      <c r="J37" s="813">
        <f t="shared" si="87"/>
        <v>0.39598405433338257</v>
      </c>
      <c r="K37" s="813">
        <f t="shared" si="87"/>
        <v>0.34403497813866329</v>
      </c>
      <c r="L37" s="814">
        <f t="shared" si="87"/>
        <v>0.35944757454995196</v>
      </c>
      <c r="M37" s="815">
        <f t="shared" si="87"/>
        <v>0.38987971795935272</v>
      </c>
      <c r="N37" s="813">
        <f t="shared" si="87"/>
        <v>0.40603700097370976</v>
      </c>
      <c r="O37" s="813">
        <f t="shared" si="87"/>
        <v>0.37613655149611497</v>
      </c>
      <c r="P37" s="813">
        <f t="shared" si="87"/>
        <v>0.33211693308476481</v>
      </c>
      <c r="Q37" s="814">
        <f t="shared" si="87"/>
        <v>0.36954614772129168</v>
      </c>
      <c r="R37" s="813">
        <f t="shared" si="87"/>
        <v>0.38497209102619145</v>
      </c>
      <c r="S37" s="813">
        <f t="shared" si="87"/>
        <v>0.39567471245747615</v>
      </c>
      <c r="T37" s="813">
        <f t="shared" si="87"/>
        <v>0.3852747525777464</v>
      </c>
      <c r="U37" s="813">
        <f t="shared" si="87"/>
        <v>0.33759914172956829</v>
      </c>
      <c r="V37" s="814">
        <f t="shared" si="87"/>
        <v>0.37515015779293487</v>
      </c>
      <c r="W37" s="813">
        <f t="shared" si="87"/>
        <v>0.35807952622673433</v>
      </c>
      <c r="X37" s="813">
        <f t="shared" si="87"/>
        <v>0.3827418232428671</v>
      </c>
      <c r="Y37" s="816">
        <f t="shared" si="87"/>
        <v>0.4007873356227491</v>
      </c>
      <c r="Z37" s="816">
        <f t="shared" si="87"/>
        <v>0.35592284328034396</v>
      </c>
      <c r="AA37" s="814">
        <f t="shared" si="87"/>
        <v>0.37419063084544396</v>
      </c>
      <c r="AB37" s="813">
        <f t="shared" si="87"/>
        <v>0.38914008205643491</v>
      </c>
      <c r="AC37" s="813">
        <f t="shared" si="87"/>
        <v>0.39017773998947319</v>
      </c>
      <c r="AD37" s="813">
        <f t="shared" si="87"/>
        <v>0.35597473754653058</v>
      </c>
      <c r="AE37" s="813">
        <f t="shared" si="87"/>
        <v>0.33836073200992561</v>
      </c>
      <c r="AF37" s="814">
        <f t="shared" si="87"/>
        <v>0.36800765114054906</v>
      </c>
      <c r="AG37" s="813">
        <f t="shared" si="87"/>
        <v>0.3892065912653026</v>
      </c>
      <c r="AH37" s="813">
        <f t="shared" si="87"/>
        <v>0.37450038354394599</v>
      </c>
      <c r="AI37" s="813">
        <f t="shared" si="87"/>
        <v>0.34840272645150699</v>
      </c>
      <c r="AJ37" s="813">
        <f t="shared" si="87"/>
        <v>0.3156599552572707</v>
      </c>
      <c r="AK37" s="814">
        <f t="shared" si="87"/>
        <v>0.35575087895529878</v>
      </c>
      <c r="AL37" s="478"/>
      <c r="AM37" s="815">
        <f t="shared" ref="AM37:BP37" si="88">AM36/AM5</f>
        <v>0.37938531054179631</v>
      </c>
      <c r="AN37" s="813">
        <f t="shared" si="88"/>
        <v>0.36355255070682235</v>
      </c>
      <c r="AO37" s="813">
        <f t="shared" si="88"/>
        <v>0.33638025594149901</v>
      </c>
      <c r="AP37" s="813">
        <f t="shared" si="88"/>
        <v>0.31355762824783479</v>
      </c>
      <c r="AQ37" s="814">
        <f t="shared" si="88"/>
        <v>0.3460289535003418</v>
      </c>
      <c r="AR37" s="815">
        <f t="shared" si="88"/>
        <v>0.33136860264519846</v>
      </c>
      <c r="AS37" s="813">
        <f t="shared" si="88"/>
        <v>0.32952282869893579</v>
      </c>
      <c r="AT37" s="813">
        <f t="shared" si="88"/>
        <v>0.31266696735246147</v>
      </c>
      <c r="AU37" s="813">
        <f t="shared" si="88"/>
        <v>0.30670153644982046</v>
      </c>
      <c r="AV37" s="814">
        <f t="shared" si="88"/>
        <v>0.31978997482104055</v>
      </c>
      <c r="AW37" s="815">
        <f t="shared" si="88"/>
        <v>0.37193724029230529</v>
      </c>
      <c r="AX37" s="813">
        <f t="shared" si="88"/>
        <v>0.36814916182004787</v>
      </c>
      <c r="AY37" s="813">
        <f t="shared" si="88"/>
        <v>0.35282118655787575</v>
      </c>
      <c r="AZ37" s="813">
        <f t="shared" si="88"/>
        <v>0.34596461503372328</v>
      </c>
      <c r="BA37" s="814">
        <f t="shared" si="88"/>
        <v>0.35942652084171944</v>
      </c>
      <c r="BB37" s="815">
        <f t="shared" si="88"/>
        <v>0.36043139424960502</v>
      </c>
      <c r="BC37" s="813">
        <f t="shared" si="88"/>
        <v>0.33534774862891703</v>
      </c>
      <c r="BD37" s="813">
        <f t="shared" si="88"/>
        <v>0.35921425004161806</v>
      </c>
      <c r="BE37" s="813">
        <f t="shared" si="88"/>
        <v>0.34674589003140205</v>
      </c>
      <c r="BF37" s="817">
        <f t="shared" si="88"/>
        <v>0.35040741179145513</v>
      </c>
      <c r="BG37" s="815">
        <f t="shared" si="88"/>
        <v>0.36242217312713398</v>
      </c>
      <c r="BH37" s="813">
        <f t="shared" si="88"/>
        <v>0.3610785834098173</v>
      </c>
      <c r="BI37" s="813">
        <f t="shared" si="88"/>
        <v>1.5155513044625486</v>
      </c>
      <c r="BJ37" s="813">
        <f t="shared" si="88"/>
        <v>0.2698315467075037</v>
      </c>
      <c r="BK37" s="817">
        <f t="shared" si="88"/>
        <v>0.61873995499839274</v>
      </c>
      <c r="BL37" s="815">
        <f t="shared" si="88"/>
        <v>0.25667124250845413</v>
      </c>
      <c r="BM37" s="813">
        <f t="shared" si="88"/>
        <v>0.27672624763792941</v>
      </c>
      <c r="BN37" s="813">
        <f t="shared" si="88"/>
        <v>0.29135711883579463</v>
      </c>
      <c r="BO37" s="813">
        <f t="shared" si="88"/>
        <v>0.2502624212736177</v>
      </c>
      <c r="BP37" s="827">
        <f t="shared" si="88"/>
        <v>0.2687665017459912</v>
      </c>
      <c r="BQ37" s="839">
        <f t="shared" ref="BQ37:BS37" si="89">BQ36/BQ5</f>
        <v>0.23792704654143107</v>
      </c>
      <c r="BR37" s="813">
        <f t="shared" si="89"/>
        <v>0.24271992218371943</v>
      </c>
      <c r="BS37" s="813">
        <f t="shared" si="89"/>
        <v>0.28787221112943845</v>
      </c>
      <c r="BT37" s="813">
        <f t="shared" ref="BT37" si="90">BT36/BT5</f>
        <v>0.18381094662501704</v>
      </c>
      <c r="BU37" s="973">
        <f>BU36/BU5</f>
        <v>0.2371296683619179</v>
      </c>
      <c r="BV37" s="988"/>
      <c r="BW37" s="988"/>
      <c r="BX37" s="1009"/>
      <c r="BY37" s="842"/>
      <c r="BZ37" s="1009"/>
      <c r="CA37" s="1009"/>
      <c r="CB37" s="1009"/>
      <c r="CC37" s="1009"/>
      <c r="CD37" s="1009"/>
      <c r="CE37" s="1009"/>
      <c r="CG37" s="841"/>
      <c r="CH37" s="841"/>
    </row>
    <row r="38" spans="1:16357" s="53" customFormat="1" ht="20.149999999999999" customHeight="1">
      <c r="A38" s="49" t="s">
        <v>87</v>
      </c>
      <c r="B38" s="133" t="s">
        <v>88</v>
      </c>
      <c r="C38" s="130"/>
      <c r="D38" s="130"/>
      <c r="E38" s="130"/>
      <c r="F38" s="130"/>
      <c r="G38" s="202"/>
      <c r="H38" s="131"/>
      <c r="I38" s="130"/>
      <c r="J38" s="130"/>
      <c r="K38" s="130"/>
      <c r="L38" s="202"/>
      <c r="M38" s="131"/>
      <c r="N38" s="130"/>
      <c r="O38" s="130"/>
      <c r="P38" s="130"/>
      <c r="Q38" s="202"/>
      <c r="R38" s="130"/>
      <c r="S38" s="130"/>
      <c r="T38" s="130"/>
      <c r="U38" s="130"/>
      <c r="V38" s="202"/>
      <c r="W38" s="130"/>
      <c r="X38" s="130"/>
      <c r="Y38" s="132"/>
      <c r="Z38" s="132"/>
      <c r="AA38" s="202"/>
      <c r="AB38" s="130"/>
      <c r="AC38" s="130"/>
      <c r="AD38" s="130"/>
      <c r="AE38" s="130"/>
      <c r="AF38" s="202"/>
      <c r="AG38" s="130"/>
      <c r="AH38" s="130"/>
      <c r="AI38" s="130"/>
      <c r="AJ38" s="132"/>
      <c r="AK38" s="202"/>
      <c r="AL38" s="479"/>
      <c r="AM38" s="131"/>
      <c r="AN38" s="130"/>
      <c r="AO38" s="130"/>
      <c r="AP38" s="132"/>
      <c r="AQ38" s="202"/>
      <c r="AR38" s="131"/>
      <c r="AS38" s="130"/>
      <c r="AT38" s="130"/>
      <c r="AU38" s="130"/>
      <c r="AV38" s="202"/>
      <c r="AW38" s="131"/>
      <c r="AX38" s="130"/>
      <c r="AY38" s="130"/>
      <c r="AZ38" s="130"/>
      <c r="BA38" s="202"/>
      <c r="BB38" s="131"/>
      <c r="BC38" s="56">
        <v>-41.5</v>
      </c>
      <c r="BD38" s="56">
        <v>-3.3</v>
      </c>
      <c r="BE38" s="56">
        <v>-1.1000000000000001</v>
      </c>
      <c r="BF38" s="709">
        <f>SUM(BB38:BE38)</f>
        <v>-45.9</v>
      </c>
      <c r="BG38" s="690"/>
      <c r="BH38" s="107"/>
      <c r="BI38" s="107"/>
      <c r="BJ38" s="107"/>
      <c r="BK38" s="694">
        <f>SUM(BG38:BJ38)</f>
        <v>0</v>
      </c>
      <c r="BL38" s="46">
        <v>0</v>
      </c>
      <c r="BM38" s="46">
        <v>0</v>
      </c>
      <c r="BN38" s="46">
        <v>0</v>
      </c>
      <c r="BO38" s="56"/>
      <c r="BP38" s="821">
        <f>SUM(BL38:BO38)</f>
        <v>0</v>
      </c>
      <c r="BQ38" s="836">
        <v>0</v>
      </c>
      <c r="BR38" s="46">
        <v>0</v>
      </c>
      <c r="BS38" s="46">
        <v>0</v>
      </c>
      <c r="BT38" s="46">
        <v>0</v>
      </c>
      <c r="BU38" s="966">
        <f>SUM(BQ38:BT38)</f>
        <v>0</v>
      </c>
      <c r="BV38" s="1021"/>
      <c r="BW38" s="988"/>
      <c r="BX38" s="1009"/>
      <c r="BY38" s="841"/>
      <c r="BZ38" s="1009"/>
      <c r="CA38" s="1009"/>
      <c r="CB38" s="1009"/>
      <c r="CC38" s="1009"/>
      <c r="CD38" s="1009"/>
      <c r="CE38" s="1009"/>
      <c r="CF38" s="411"/>
      <c r="CG38" s="841"/>
      <c r="CH38" s="841"/>
    </row>
    <row r="39" spans="1:16357" s="53" customFormat="1" ht="20.149999999999999" customHeight="1">
      <c r="A39" s="49" t="s">
        <v>89</v>
      </c>
      <c r="B39" s="133" t="s">
        <v>90</v>
      </c>
      <c r="C39" s="130"/>
      <c r="D39" s="130"/>
      <c r="E39" s="130"/>
      <c r="F39" s="130"/>
      <c r="G39" s="202"/>
      <c r="H39" s="131"/>
      <c r="I39" s="130"/>
      <c r="J39" s="130"/>
      <c r="K39" s="130"/>
      <c r="L39" s="202"/>
      <c r="M39" s="131"/>
      <c r="N39" s="130"/>
      <c r="O39" s="130"/>
      <c r="P39" s="130"/>
      <c r="Q39" s="202"/>
      <c r="R39" s="130"/>
      <c r="S39" s="130"/>
      <c r="T39" s="130"/>
      <c r="U39" s="130"/>
      <c r="V39" s="202"/>
      <c r="W39" s="130"/>
      <c r="X39" s="130"/>
      <c r="Y39" s="132"/>
      <c r="Z39" s="132"/>
      <c r="AA39" s="202"/>
      <c r="AB39" s="130"/>
      <c r="AC39" s="130"/>
      <c r="AD39" s="130"/>
      <c r="AE39" s="130"/>
      <c r="AF39" s="202"/>
      <c r="AG39" s="130"/>
      <c r="AH39" s="130"/>
      <c r="AI39" s="130"/>
      <c r="AJ39" s="132"/>
      <c r="AK39" s="202"/>
      <c r="AL39" s="479"/>
      <c r="AM39" s="131"/>
      <c r="AN39" s="130"/>
      <c r="AO39" s="130"/>
      <c r="AP39" s="132"/>
      <c r="AQ39" s="202"/>
      <c r="AR39" s="131"/>
      <c r="AS39" s="130"/>
      <c r="AT39" s="130"/>
      <c r="AU39" s="130"/>
      <c r="AV39" s="202"/>
      <c r="AW39" s="131"/>
      <c r="AX39" s="130"/>
      <c r="AY39" s="130"/>
      <c r="AZ39" s="130"/>
      <c r="BA39" s="202"/>
      <c r="BB39" s="131"/>
      <c r="BC39" s="56"/>
      <c r="BD39" s="56"/>
      <c r="BE39" s="56"/>
      <c r="BF39" s="709"/>
      <c r="BG39" s="690"/>
      <c r="BH39" s="107"/>
      <c r="BI39" s="107"/>
      <c r="BJ39" s="107"/>
      <c r="BK39" s="694"/>
      <c r="BL39" s="56">
        <v>-34.1</v>
      </c>
      <c r="BM39" s="46">
        <v>0</v>
      </c>
      <c r="BN39" s="46">
        <v>0</v>
      </c>
      <c r="BO39" s="56"/>
      <c r="BP39" s="821">
        <f>SUM(BL39:BO39)</f>
        <v>-34.1</v>
      </c>
      <c r="BQ39" s="836">
        <v>0</v>
      </c>
      <c r="BR39" s="46">
        <v>0</v>
      </c>
      <c r="BS39" s="46">
        <v>0</v>
      </c>
      <c r="BT39" s="46">
        <v>0</v>
      </c>
      <c r="BU39" s="966">
        <f>SUM(BQ39:BT39)</f>
        <v>0</v>
      </c>
      <c r="BV39" s="988"/>
      <c r="BW39" s="988"/>
      <c r="BX39" s="1009"/>
      <c r="BY39" s="841"/>
      <c r="BZ39" s="1009"/>
      <c r="CA39" s="1009"/>
      <c r="CB39" s="1009"/>
      <c r="CC39" s="1009"/>
      <c r="CD39" s="1009"/>
      <c r="CE39" s="1009"/>
      <c r="CF39" s="411"/>
      <c r="CG39" s="841"/>
      <c r="CH39" s="841"/>
    </row>
    <row r="40" spans="1:16357" s="411" customFormat="1" ht="22.5" customHeight="1">
      <c r="A40" s="404" t="s">
        <v>91</v>
      </c>
      <c r="B40" s="405" t="s">
        <v>92</v>
      </c>
      <c r="C40" s="406"/>
      <c r="D40" s="406"/>
      <c r="E40" s="406"/>
      <c r="F40" s="406"/>
      <c r="G40" s="407"/>
      <c r="H40" s="408"/>
      <c r="I40" s="406"/>
      <c r="J40" s="406"/>
      <c r="K40" s="406"/>
      <c r="L40" s="407"/>
      <c r="M40" s="408"/>
      <c r="N40" s="406"/>
      <c r="O40" s="406"/>
      <c r="P40" s="406"/>
      <c r="Q40" s="407"/>
      <c r="R40" s="406"/>
      <c r="S40" s="406"/>
      <c r="T40" s="406"/>
      <c r="U40" s="406"/>
      <c r="V40" s="407"/>
      <c r="W40" s="406"/>
      <c r="X40" s="406"/>
      <c r="Y40" s="409"/>
      <c r="Z40" s="409"/>
      <c r="AA40" s="407"/>
      <c r="AB40" s="406"/>
      <c r="AC40" s="406"/>
      <c r="AD40" s="406"/>
      <c r="AE40" s="406"/>
      <c r="AF40" s="407"/>
      <c r="AG40" s="406"/>
      <c r="AH40" s="406"/>
      <c r="AI40" s="406"/>
      <c r="AJ40" s="410"/>
      <c r="AK40" s="407"/>
      <c r="AL40" s="412"/>
      <c r="AM40" s="408"/>
      <c r="AN40" s="406"/>
      <c r="AO40" s="406"/>
      <c r="AP40" s="410"/>
      <c r="AQ40" s="407"/>
      <c r="AR40" s="408"/>
      <c r="AS40" s="406"/>
      <c r="AT40" s="406"/>
      <c r="AU40" s="406"/>
      <c r="AV40" s="407"/>
      <c r="AW40" s="408"/>
      <c r="AX40" s="406"/>
      <c r="AY40" s="406"/>
      <c r="AZ40" s="406"/>
      <c r="BA40" s="407"/>
      <c r="BB40" s="408"/>
      <c r="BC40" s="406">
        <f t="shared" ref="BC40:BF40" si="91">BC36-BC38</f>
        <v>1001.5000000000008</v>
      </c>
      <c r="BD40" s="406">
        <f t="shared" si="91"/>
        <v>1082.1999999999998</v>
      </c>
      <c r="BE40" s="406">
        <f>BE36-BE38</f>
        <v>1127.4000000000001</v>
      </c>
      <c r="BF40" s="693">
        <f t="shared" si="91"/>
        <v>4237.7888265199981</v>
      </c>
      <c r="BG40" s="408">
        <f>BG36</f>
        <v>1082.7</v>
      </c>
      <c r="BH40" s="406">
        <f>BH36</f>
        <v>1140.8999999999999</v>
      </c>
      <c r="BI40" s="406">
        <f>BI36-BI38-BI23</f>
        <v>904.20000000000073</v>
      </c>
      <c r="BJ40" s="406">
        <f>BJ36-BJ38-BJ23</f>
        <v>891.1999999999997</v>
      </c>
      <c r="BK40" s="693">
        <f>SUM(BG40:BJ40)</f>
        <v>4019.0000000000005</v>
      </c>
      <c r="BL40" s="408">
        <f>BL36-SUM(BL38:BL39)</f>
        <v>800.7</v>
      </c>
      <c r="BM40" s="406">
        <f>BM36</f>
        <v>893.29999999999984</v>
      </c>
      <c r="BN40" s="406">
        <f>BN36-BN38-BN23</f>
        <v>839.60000000000082</v>
      </c>
      <c r="BO40" s="406">
        <f>BO36-BO38-BO23</f>
        <v>818.49999999999909</v>
      </c>
      <c r="BP40" s="825">
        <f>SUM(BL40:BO40)</f>
        <v>3352.1</v>
      </c>
      <c r="BQ40" s="837">
        <f>BQ36-SUM(BQ38:BQ39)</f>
        <v>761.2000000000005</v>
      </c>
      <c r="BR40" s="406">
        <f>BR36</f>
        <v>798.50000000000023</v>
      </c>
      <c r="BS40" s="406">
        <f>BS36-BS38-BS23</f>
        <v>774.70000000000039</v>
      </c>
      <c r="BT40" s="406">
        <f>BT36-BT38-BT23</f>
        <v>677.10000000000014</v>
      </c>
      <c r="BU40" s="971">
        <f>SUM(BQ40:BT40)</f>
        <v>3011.5000000000009</v>
      </c>
      <c r="BV40" s="988"/>
      <c r="BW40" s="988"/>
      <c r="BX40" s="1009"/>
      <c r="BY40" s="841"/>
      <c r="BZ40" s="841"/>
      <c r="CA40" s="841"/>
      <c r="CB40" s="842"/>
      <c r="CD40" s="841"/>
      <c r="CE40" s="841"/>
      <c r="CG40" s="841"/>
      <c r="CH40" s="841"/>
    </row>
    <row r="41" spans="1:16357" s="411" customFormat="1" ht="22.5" customHeight="1">
      <c r="A41" s="404" t="s">
        <v>93</v>
      </c>
      <c r="B41" s="405" t="s">
        <v>94</v>
      </c>
      <c r="C41" s="406"/>
      <c r="D41" s="406"/>
      <c r="E41" s="406"/>
      <c r="F41" s="406"/>
      <c r="G41" s="407"/>
      <c r="H41" s="408"/>
      <c r="I41" s="406"/>
      <c r="J41" s="406"/>
      <c r="K41" s="406"/>
      <c r="L41" s="407"/>
      <c r="M41" s="408"/>
      <c r="N41" s="406"/>
      <c r="O41" s="406"/>
      <c r="P41" s="406"/>
      <c r="Q41" s="407"/>
      <c r="R41" s="406"/>
      <c r="S41" s="406"/>
      <c r="T41" s="406"/>
      <c r="U41" s="406"/>
      <c r="V41" s="407"/>
      <c r="W41" s="406"/>
      <c r="X41" s="406"/>
      <c r="Y41" s="409"/>
      <c r="Z41" s="409"/>
      <c r="AA41" s="407"/>
      <c r="AB41" s="406"/>
      <c r="AC41" s="406"/>
      <c r="AD41" s="406"/>
      <c r="AE41" s="406"/>
      <c r="AF41" s="407"/>
      <c r="AG41" s="406"/>
      <c r="AH41" s="406"/>
      <c r="AI41" s="406"/>
      <c r="AJ41" s="410"/>
      <c r="AK41" s="407"/>
      <c r="AL41" s="412"/>
      <c r="AM41" s="408"/>
      <c r="AN41" s="406"/>
      <c r="AO41" s="406"/>
      <c r="AP41" s="410"/>
      <c r="AQ41" s="407"/>
      <c r="AR41" s="408"/>
      <c r="AS41" s="406"/>
      <c r="AT41" s="406"/>
      <c r="AU41" s="406"/>
      <c r="AV41" s="407"/>
      <c r="AW41" s="408"/>
      <c r="AX41" s="406"/>
      <c r="AY41" s="406"/>
      <c r="AZ41" s="406"/>
      <c r="BA41" s="407"/>
      <c r="BB41" s="408"/>
      <c r="BC41" s="818">
        <f t="shared" ref="BC41:BP41" si="92">BC40/BC5</f>
        <v>0.3498445523456879</v>
      </c>
      <c r="BD41" s="818">
        <f t="shared" si="92"/>
        <v>0.36031296820376224</v>
      </c>
      <c r="BE41" s="818">
        <f t="shared" si="92"/>
        <v>0.34708453912936393</v>
      </c>
      <c r="BF41" s="819">
        <f t="shared" si="92"/>
        <v>0.35424427409073034</v>
      </c>
      <c r="BG41" s="818">
        <f t="shared" si="92"/>
        <v>0.36242217312713398</v>
      </c>
      <c r="BH41" s="818">
        <f t="shared" si="92"/>
        <v>0.3610785834098173</v>
      </c>
      <c r="BI41" s="818">
        <f t="shared" si="92"/>
        <v>0.29822883340479589</v>
      </c>
      <c r="BJ41" s="818">
        <f t="shared" si="92"/>
        <v>0.27295558958652366</v>
      </c>
      <c r="BK41" s="819">
        <f t="shared" si="92"/>
        <v>0.32296689167470277</v>
      </c>
      <c r="BL41" s="818">
        <f t="shared" si="92"/>
        <v>0.26808852579770315</v>
      </c>
      <c r="BM41" s="818">
        <f t="shared" si="92"/>
        <v>0.27672624763792941</v>
      </c>
      <c r="BN41" s="818">
        <f t="shared" si="92"/>
        <v>0.2566877617781041</v>
      </c>
      <c r="BO41" s="818">
        <f t="shared" si="92"/>
        <v>0.23865756939584767</v>
      </c>
      <c r="BP41" s="828">
        <f t="shared" si="92"/>
        <v>0.25954488087771871</v>
      </c>
      <c r="BQ41" s="840">
        <f t="shared" ref="BQ41:BS41" si="93">BQ40/BQ5</f>
        <v>0.23792704654143107</v>
      </c>
      <c r="BR41" s="818">
        <f t="shared" si="93"/>
        <v>0.24271992218371943</v>
      </c>
      <c r="BS41" s="818">
        <f t="shared" si="93"/>
        <v>0.22418033972856452</v>
      </c>
      <c r="BT41" s="818">
        <f t="shared" ref="BT41" si="94">BT40/BT5</f>
        <v>0.18391959798994981</v>
      </c>
      <c r="BU41" s="974">
        <f>BU40/BU5</f>
        <v>0.22100643608316276</v>
      </c>
      <c r="BV41" s="988"/>
      <c r="BW41" s="988"/>
      <c r="BX41" s="1009"/>
      <c r="BY41" s="842"/>
      <c r="BZ41" s="841"/>
      <c r="CD41" s="841"/>
      <c r="CE41" s="841"/>
      <c r="CG41" s="841"/>
      <c r="CH41" s="841"/>
    </row>
    <row r="42" spans="1:16357" ht="15" customHeight="1">
      <c r="U42" s="6"/>
      <c r="V42" s="6"/>
      <c r="W42" s="6"/>
      <c r="X42" s="6"/>
      <c r="Y42" s="38"/>
      <c r="Z42" s="6"/>
      <c r="AA42" s="6"/>
      <c r="AB42" s="6"/>
      <c r="AC42" s="6"/>
      <c r="AD42" s="38"/>
      <c r="AE42" s="6"/>
      <c r="AF42" s="6"/>
      <c r="AG42" s="6"/>
      <c r="AH42" s="6"/>
      <c r="AI42" s="38"/>
      <c r="AJ42" s="6"/>
      <c r="AK42" s="98"/>
      <c r="AL42" s="5"/>
      <c r="AM42" s="6"/>
      <c r="AN42" s="77"/>
      <c r="AO42" s="38"/>
      <c r="AP42" s="6"/>
      <c r="AQ42" s="77"/>
      <c r="AR42" s="6"/>
      <c r="AS42" s="77"/>
      <c r="AT42" s="38"/>
      <c r="AU42" s="6"/>
      <c r="AV42" s="77"/>
      <c r="AW42" s="6"/>
      <c r="AX42" s="77"/>
      <c r="AY42" s="38"/>
      <c r="AZ42" s="6"/>
      <c r="BA42" s="77"/>
      <c r="BB42" s="6"/>
      <c r="BC42" s="77"/>
      <c r="BD42" s="38"/>
      <c r="BE42" s="6"/>
      <c r="BF42" s="702"/>
      <c r="BG42" s="982"/>
      <c r="BH42" s="982"/>
      <c r="BI42" s="982"/>
      <c r="BJ42" s="982"/>
      <c r="BK42" s="697"/>
      <c r="BL42" s="982"/>
      <c r="BM42" s="982"/>
      <c r="BN42" s="982"/>
      <c r="BO42" s="982"/>
      <c r="BP42" s="982"/>
      <c r="BQ42" s="982"/>
      <c r="BR42" s="982"/>
      <c r="BS42" s="982"/>
      <c r="BT42" s="6"/>
      <c r="BV42" s="988"/>
      <c r="BW42" s="988"/>
      <c r="BX42" s="1009"/>
      <c r="BY42" s="841"/>
      <c r="BZ42" s="841"/>
      <c r="CD42" s="841"/>
      <c r="CE42" s="841"/>
      <c r="CF42" s="411"/>
      <c r="CG42" s="841"/>
      <c r="CH42" s="841"/>
    </row>
    <row r="43" spans="1:16357" ht="23.25" customHeight="1">
      <c r="A43" s="117" t="s">
        <v>95</v>
      </c>
      <c r="B43" s="121" t="s">
        <v>96</v>
      </c>
      <c r="C43" s="120"/>
      <c r="D43" s="120"/>
      <c r="E43" s="120"/>
      <c r="F43" s="120"/>
      <c r="G43" s="120"/>
      <c r="H43" s="120"/>
      <c r="I43" s="120"/>
      <c r="J43" s="120"/>
      <c r="K43" s="120"/>
      <c r="L43" s="120"/>
      <c r="M43" s="120"/>
      <c r="N43" s="120"/>
      <c r="O43" s="117"/>
      <c r="P43" s="117"/>
      <c r="Q43" s="117"/>
      <c r="R43" s="117"/>
      <c r="S43" s="1044"/>
      <c r="T43" s="1044"/>
      <c r="U43" s="1044"/>
      <c r="V43" s="1044"/>
      <c r="W43" s="1044"/>
      <c r="X43" s="1044"/>
      <c r="Y43" s="1044"/>
      <c r="Z43" s="1044"/>
      <c r="AA43" s="1044"/>
      <c r="AB43" s="1044"/>
      <c r="AC43" s="1044"/>
      <c r="AD43" s="1044"/>
      <c r="AE43" s="1044"/>
      <c r="AF43" s="1044"/>
      <c r="AG43" s="1044"/>
      <c r="AH43" s="7"/>
      <c r="AI43" s="35"/>
      <c r="AJ43" s="7"/>
      <c r="AK43" s="99"/>
      <c r="AL43" s="5"/>
      <c r="AM43" s="7"/>
      <c r="AN43" s="7"/>
      <c r="AO43" s="35"/>
      <c r="AP43" s="7"/>
      <c r="AQ43" s="7"/>
      <c r="AR43" s="7"/>
      <c r="AS43" s="7"/>
      <c r="AT43" s="35"/>
      <c r="AU43" s="7"/>
      <c r="AV43" s="7"/>
      <c r="AW43" s="7"/>
      <c r="AX43" s="1044"/>
      <c r="AY43" s="1044"/>
      <c r="AZ43" s="1044"/>
      <c r="BA43" s="1044"/>
      <c r="BB43" s="1044"/>
      <c r="BC43" s="1044"/>
      <c r="BD43" s="1044"/>
      <c r="BE43" s="1044"/>
      <c r="BF43" s="1044"/>
      <c r="BG43" s="1044"/>
      <c r="BH43" s="1044"/>
      <c r="BI43" s="1044"/>
      <c r="BJ43" s="1044"/>
      <c r="BK43" s="1044"/>
      <c r="BL43" s="1044"/>
      <c r="BM43" s="1044"/>
      <c r="BN43" s="1044"/>
      <c r="BO43" s="1044"/>
      <c r="BP43" s="1044"/>
      <c r="BQ43" s="1044"/>
      <c r="BR43" s="1044"/>
      <c r="BS43" s="1044"/>
      <c r="BT43" s="1044"/>
      <c r="BU43" s="1044"/>
      <c r="BY43" s="1044"/>
      <c r="BZ43" s="1044"/>
      <c r="CA43" s="1044"/>
      <c r="CB43" s="1044"/>
      <c r="CC43" s="1044"/>
      <c r="CD43" s="1044"/>
      <c r="CE43" s="1044"/>
      <c r="CF43" s="1044"/>
      <c r="CG43" s="1044"/>
      <c r="CH43" s="1044"/>
      <c r="CI43" s="1044"/>
      <c r="CJ43" s="1044"/>
      <c r="CK43" s="1044"/>
      <c r="CL43" s="1044"/>
      <c r="CM43" s="1044"/>
      <c r="CN43" s="1044"/>
      <c r="CO43" s="1044"/>
      <c r="CP43" s="1044"/>
      <c r="CQ43" s="1044"/>
      <c r="CR43" s="1044"/>
      <c r="CS43" s="1044"/>
      <c r="CT43" s="1044"/>
      <c r="CU43" s="1044"/>
      <c r="CV43" s="1044"/>
      <c r="CW43" s="1044"/>
      <c r="CX43" s="1044"/>
      <c r="CY43" s="1044"/>
      <c r="CZ43" s="1044"/>
      <c r="DA43" s="1044"/>
      <c r="DB43" s="1044"/>
      <c r="DC43" s="1044"/>
      <c r="DD43" s="1044"/>
      <c r="DE43" s="1044"/>
      <c r="DF43" s="1044"/>
      <c r="DG43" s="1044"/>
      <c r="DH43" s="1044"/>
      <c r="DI43" s="1044"/>
      <c r="DJ43" s="1044"/>
      <c r="DK43" s="1044"/>
      <c r="DL43" s="1044"/>
      <c r="DM43" s="1044"/>
      <c r="DN43" s="1044"/>
      <c r="DO43" s="1044"/>
      <c r="DP43" s="1044"/>
      <c r="DQ43" s="1044"/>
      <c r="DR43" s="1044"/>
      <c r="DS43" s="1044"/>
      <c r="DT43" s="1044"/>
      <c r="DU43" s="1044"/>
      <c r="DV43" s="1044"/>
      <c r="DW43" s="1044"/>
      <c r="DX43" s="1044"/>
      <c r="DY43" s="1044"/>
      <c r="DZ43" s="1044"/>
      <c r="EA43" s="1044"/>
      <c r="EB43" s="1044"/>
      <c r="EC43" s="1044"/>
      <c r="ED43" s="1044"/>
      <c r="EE43" s="1044"/>
      <c r="EF43" s="1044"/>
      <c r="EG43" s="1044"/>
      <c r="EH43" s="1044"/>
      <c r="EI43" s="1044"/>
      <c r="EJ43" s="1044"/>
      <c r="EK43" s="1044"/>
      <c r="EL43" s="1044"/>
      <c r="EM43" s="1044"/>
      <c r="EN43" s="1044"/>
      <c r="EO43" s="1044"/>
      <c r="EP43" s="1044"/>
      <c r="EQ43" s="1044"/>
      <c r="ER43" s="1044"/>
      <c r="ES43" s="1044"/>
      <c r="ET43" s="1044"/>
      <c r="EU43" s="1044"/>
      <c r="EV43" s="1044"/>
      <c r="EW43" s="1044"/>
      <c r="EX43" s="1044"/>
      <c r="EY43" s="1044"/>
      <c r="EZ43" s="1044"/>
      <c r="FA43" s="1044"/>
      <c r="FB43" s="1044"/>
      <c r="FC43" s="1044"/>
      <c r="FD43" s="1044"/>
      <c r="FE43" s="1044"/>
      <c r="FF43" s="1044"/>
      <c r="FG43" s="1044"/>
      <c r="FH43" s="1044"/>
      <c r="FI43" s="1044"/>
      <c r="FJ43" s="1044"/>
      <c r="FK43" s="1044"/>
      <c r="FL43" s="1044"/>
      <c r="FM43" s="1044"/>
      <c r="FN43" s="1044"/>
      <c r="FO43" s="1044"/>
      <c r="FP43" s="1044"/>
      <c r="FQ43" s="1044"/>
      <c r="FR43" s="1044"/>
      <c r="FS43" s="1044"/>
      <c r="FT43" s="1044"/>
      <c r="FU43" s="1044"/>
      <c r="FV43" s="1044"/>
      <c r="FW43" s="1044"/>
      <c r="FX43" s="1044"/>
      <c r="FY43" s="1044"/>
      <c r="FZ43" s="1044"/>
      <c r="GA43" s="1044"/>
      <c r="GB43" s="1044"/>
      <c r="GC43" s="1044"/>
      <c r="GD43" s="1044"/>
      <c r="GE43" s="1044"/>
      <c r="GF43" s="1044"/>
      <c r="GG43" s="1044"/>
      <c r="GH43" s="1044"/>
      <c r="GI43" s="1044"/>
      <c r="GJ43" s="1044"/>
      <c r="GK43" s="1044"/>
      <c r="GL43" s="1044"/>
      <c r="GM43" s="1044"/>
      <c r="GN43" s="1044"/>
      <c r="GO43" s="1044"/>
      <c r="GP43" s="1044"/>
      <c r="GQ43" s="1044"/>
      <c r="GR43" s="1044"/>
      <c r="GS43" s="1044"/>
      <c r="GT43" s="1044"/>
      <c r="GU43" s="1044"/>
      <c r="GV43" s="1044"/>
      <c r="GW43" s="1044"/>
      <c r="GX43" s="1044"/>
      <c r="GY43" s="1044"/>
      <c r="GZ43" s="1044"/>
      <c r="HA43" s="1044"/>
      <c r="HB43" s="1044"/>
      <c r="HC43" s="1044"/>
      <c r="HD43" s="1044"/>
      <c r="HE43" s="1044"/>
      <c r="HF43" s="1044"/>
      <c r="HG43" s="1044"/>
      <c r="HH43" s="1044"/>
      <c r="HI43" s="1044"/>
      <c r="HJ43" s="1044"/>
      <c r="HK43" s="1044"/>
      <c r="HL43" s="1044"/>
      <c r="HM43" s="1044"/>
      <c r="HN43" s="1044"/>
      <c r="HO43" s="1044"/>
      <c r="HP43" s="1044"/>
      <c r="HQ43" s="1044"/>
      <c r="HR43" s="1044"/>
      <c r="HS43" s="1044"/>
      <c r="HT43" s="1044"/>
      <c r="HU43" s="1044"/>
      <c r="HV43" s="1044"/>
      <c r="HW43" s="1044"/>
      <c r="HX43" s="1044"/>
      <c r="HY43" s="1044"/>
      <c r="HZ43" s="1044"/>
      <c r="IA43" s="1044"/>
      <c r="IB43" s="1044"/>
      <c r="IC43" s="1044"/>
      <c r="ID43" s="1044"/>
      <c r="IE43" s="1044"/>
      <c r="IF43" s="1044"/>
      <c r="IG43" s="1044"/>
      <c r="IH43" s="1044"/>
      <c r="II43" s="1044"/>
      <c r="IJ43" s="1044"/>
      <c r="IK43" s="1044"/>
      <c r="IL43" s="1044"/>
      <c r="IM43" s="1044"/>
      <c r="IN43" s="1044"/>
      <c r="IO43" s="1044"/>
      <c r="IP43" s="1044"/>
      <c r="IQ43" s="1044"/>
      <c r="IR43" s="1044"/>
      <c r="IS43" s="1044"/>
      <c r="IT43" s="1044"/>
      <c r="IU43" s="1044"/>
      <c r="IV43" s="1044"/>
      <c r="IW43" s="1044"/>
      <c r="IX43" s="1044"/>
      <c r="IY43" s="1044"/>
      <c r="IZ43" s="1044"/>
      <c r="JA43" s="1044"/>
      <c r="JB43" s="1044"/>
      <c r="JC43" s="1044"/>
      <c r="JD43" s="1044"/>
      <c r="JE43" s="1044"/>
      <c r="JF43" s="1044"/>
      <c r="JG43" s="1044"/>
      <c r="JH43" s="1044"/>
      <c r="JI43" s="1044"/>
      <c r="JJ43" s="1044"/>
      <c r="JK43" s="1044"/>
      <c r="JL43" s="1044"/>
      <c r="JM43" s="1044"/>
      <c r="JN43" s="1044"/>
      <c r="JO43" s="1044"/>
      <c r="JP43" s="1044"/>
      <c r="JQ43" s="1044"/>
      <c r="JR43" s="1044"/>
      <c r="JS43" s="1044"/>
      <c r="JT43" s="1044"/>
      <c r="JU43" s="1044"/>
      <c r="JV43" s="1044"/>
      <c r="JW43" s="1044"/>
      <c r="JX43" s="1044"/>
      <c r="JY43" s="1044"/>
      <c r="JZ43" s="1044"/>
      <c r="KA43" s="1044"/>
      <c r="KB43" s="1044"/>
      <c r="KC43" s="1044"/>
      <c r="KD43" s="1044"/>
      <c r="KE43" s="1044"/>
      <c r="KF43" s="1044"/>
      <c r="KG43" s="1044"/>
      <c r="KH43" s="1044"/>
      <c r="KI43" s="1044"/>
      <c r="KJ43" s="1044"/>
      <c r="KK43" s="1044"/>
      <c r="KL43" s="1044"/>
      <c r="KM43" s="1044"/>
      <c r="KN43" s="1044"/>
      <c r="KO43" s="1044"/>
      <c r="KP43" s="1044"/>
      <c r="KQ43" s="1044"/>
      <c r="KR43" s="1044"/>
      <c r="KS43" s="1044"/>
      <c r="KT43" s="1044"/>
      <c r="KU43" s="1044"/>
      <c r="KV43" s="1044"/>
      <c r="KW43" s="1044"/>
      <c r="KX43" s="1044"/>
      <c r="KY43" s="1044"/>
      <c r="KZ43" s="1044"/>
      <c r="LA43" s="1044"/>
      <c r="LB43" s="1044"/>
      <c r="LC43" s="1044"/>
      <c r="LD43" s="1044"/>
      <c r="LE43" s="1044"/>
      <c r="LF43" s="1044"/>
      <c r="LG43" s="1044"/>
      <c r="LH43" s="1044"/>
      <c r="LI43" s="1044"/>
      <c r="LJ43" s="1044"/>
      <c r="LK43" s="1044"/>
      <c r="LL43" s="1044"/>
      <c r="LM43" s="1044"/>
      <c r="LN43" s="1044"/>
      <c r="LO43" s="1044"/>
      <c r="LP43" s="1044"/>
      <c r="LQ43" s="1044"/>
      <c r="LR43" s="1044"/>
      <c r="LS43" s="1044"/>
      <c r="LT43" s="1044"/>
      <c r="LU43" s="1044"/>
      <c r="LV43" s="1044"/>
      <c r="LW43" s="1044"/>
      <c r="LX43" s="1044"/>
      <c r="LY43" s="1044"/>
      <c r="LZ43" s="1044"/>
      <c r="MA43" s="1044"/>
      <c r="MB43" s="1044"/>
      <c r="MC43" s="1044"/>
      <c r="MD43" s="1044"/>
      <c r="ME43" s="1044"/>
      <c r="MF43" s="1044"/>
      <c r="MG43" s="1044"/>
      <c r="MH43" s="1044"/>
      <c r="MI43" s="1044"/>
      <c r="MJ43" s="1044"/>
      <c r="MK43" s="1044"/>
      <c r="ML43" s="1044"/>
      <c r="MM43" s="1044"/>
      <c r="MN43" s="1044"/>
      <c r="MO43" s="1044"/>
      <c r="MP43" s="1044"/>
      <c r="MQ43" s="1044"/>
      <c r="MR43" s="1044"/>
      <c r="MS43" s="1044"/>
      <c r="MT43" s="1044"/>
      <c r="MU43" s="1044"/>
      <c r="MV43" s="1044"/>
      <c r="MW43" s="1044"/>
      <c r="MX43" s="1044"/>
      <c r="MY43" s="1044"/>
      <c r="MZ43" s="1044"/>
      <c r="NA43" s="1044"/>
      <c r="NB43" s="1044"/>
      <c r="NC43" s="1044"/>
      <c r="ND43" s="1044"/>
      <c r="NE43" s="1044"/>
      <c r="NF43" s="1044"/>
      <c r="NG43" s="1044"/>
      <c r="NH43" s="1044"/>
      <c r="NI43" s="1044"/>
      <c r="NJ43" s="1044"/>
      <c r="NK43" s="1044"/>
      <c r="NL43" s="1044"/>
      <c r="NM43" s="1044"/>
      <c r="NN43" s="1044"/>
      <c r="NO43" s="1044"/>
      <c r="NP43" s="1044"/>
      <c r="NQ43" s="1044"/>
      <c r="NR43" s="1044"/>
      <c r="NS43" s="1044"/>
      <c r="NT43" s="1044"/>
      <c r="NU43" s="1044"/>
      <c r="NV43" s="1044"/>
      <c r="NW43" s="1044"/>
      <c r="NX43" s="1044"/>
      <c r="NY43" s="1044"/>
      <c r="NZ43" s="1044"/>
      <c r="OA43" s="1044"/>
      <c r="OB43" s="1044"/>
      <c r="OC43" s="1044"/>
      <c r="OD43" s="1044"/>
      <c r="OE43" s="1044"/>
      <c r="OF43" s="1044"/>
      <c r="OG43" s="1044"/>
      <c r="OH43" s="1044"/>
      <c r="OI43" s="1044"/>
      <c r="OJ43" s="1044"/>
      <c r="OK43" s="1044"/>
      <c r="OL43" s="1044"/>
      <c r="OM43" s="1044"/>
      <c r="ON43" s="1044"/>
      <c r="OO43" s="1044"/>
      <c r="OP43" s="1044"/>
      <c r="OQ43" s="1044"/>
      <c r="OR43" s="1044"/>
      <c r="OS43" s="1044"/>
      <c r="OT43" s="1044"/>
      <c r="OU43" s="1044"/>
      <c r="OV43" s="1044"/>
      <c r="OW43" s="1044"/>
      <c r="OX43" s="1044"/>
      <c r="OY43" s="1044"/>
      <c r="OZ43" s="1044"/>
      <c r="PA43" s="1044"/>
      <c r="PB43" s="1044"/>
      <c r="PC43" s="1044"/>
      <c r="PD43" s="1044"/>
      <c r="PE43" s="1044"/>
      <c r="PF43" s="1044"/>
      <c r="PG43" s="1044"/>
      <c r="PH43" s="1044"/>
      <c r="PI43" s="1044"/>
      <c r="PJ43" s="1044"/>
      <c r="PK43" s="1044"/>
      <c r="PL43" s="1044"/>
      <c r="PM43" s="1044"/>
      <c r="PN43" s="1044"/>
      <c r="PO43" s="1044"/>
      <c r="PP43" s="1044"/>
      <c r="PQ43" s="1044"/>
      <c r="PR43" s="1044"/>
      <c r="PS43" s="1044"/>
      <c r="PT43" s="1044"/>
      <c r="PU43" s="1044"/>
      <c r="PV43" s="1044"/>
      <c r="PW43" s="1044"/>
      <c r="PX43" s="1044"/>
      <c r="PY43" s="1044"/>
      <c r="PZ43" s="1044"/>
      <c r="QA43" s="1044"/>
      <c r="QB43" s="1044"/>
      <c r="QC43" s="1044"/>
      <c r="QD43" s="1044"/>
      <c r="QE43" s="1044"/>
      <c r="QF43" s="1044"/>
      <c r="QG43" s="1044"/>
      <c r="QH43" s="1044"/>
      <c r="QI43" s="1044"/>
      <c r="QJ43" s="1044"/>
      <c r="QK43" s="1044"/>
      <c r="QL43" s="1044"/>
      <c r="QM43" s="1044"/>
      <c r="QN43" s="1044"/>
      <c r="QO43" s="1044"/>
      <c r="QP43" s="1044"/>
      <c r="QQ43" s="1044"/>
      <c r="QR43" s="1044"/>
      <c r="QS43" s="1044"/>
      <c r="QT43" s="1044"/>
      <c r="QU43" s="1044"/>
      <c r="QV43" s="1044"/>
      <c r="QW43" s="1044"/>
      <c r="QX43" s="1044"/>
      <c r="QY43" s="1044"/>
      <c r="QZ43" s="1044"/>
      <c r="RA43" s="1044"/>
      <c r="RB43" s="1044"/>
      <c r="RC43" s="1044"/>
      <c r="RD43" s="1044"/>
      <c r="RE43" s="1044"/>
      <c r="RF43" s="1044"/>
      <c r="RG43" s="1044"/>
      <c r="RH43" s="1044"/>
      <c r="RI43" s="1044"/>
      <c r="RJ43" s="1044"/>
      <c r="RK43" s="1044"/>
      <c r="RL43" s="1044"/>
      <c r="RM43" s="1044"/>
      <c r="RN43" s="1044"/>
      <c r="RO43" s="1044"/>
      <c r="RP43" s="1044"/>
      <c r="RQ43" s="1044"/>
      <c r="RR43" s="1044"/>
      <c r="RS43" s="1044"/>
      <c r="RT43" s="1044"/>
      <c r="RU43" s="1044"/>
      <c r="RV43" s="1044"/>
      <c r="RW43" s="1044"/>
      <c r="RX43" s="1044"/>
      <c r="RY43" s="1044"/>
      <c r="RZ43" s="1044"/>
      <c r="SA43" s="1044"/>
      <c r="SB43" s="1044"/>
      <c r="SC43" s="1044"/>
      <c r="SD43" s="1044"/>
      <c r="SE43" s="1044"/>
      <c r="SF43" s="1044"/>
      <c r="SG43" s="1044"/>
      <c r="SH43" s="1044"/>
      <c r="SI43" s="1044"/>
      <c r="SJ43" s="1044"/>
      <c r="SK43" s="1044"/>
      <c r="SL43" s="1044"/>
      <c r="SM43" s="1044"/>
      <c r="SN43" s="1044"/>
      <c r="SO43" s="1044"/>
      <c r="SP43" s="1044"/>
      <c r="SQ43" s="1044"/>
      <c r="SR43" s="1044"/>
      <c r="SS43" s="1044"/>
      <c r="ST43" s="1044"/>
      <c r="SU43" s="1044"/>
      <c r="SV43" s="1044"/>
      <c r="SW43" s="1044"/>
      <c r="SX43" s="1044"/>
      <c r="SY43" s="1044"/>
      <c r="SZ43" s="1044"/>
      <c r="TA43" s="1044"/>
      <c r="TB43" s="1044"/>
      <c r="TC43" s="1044"/>
      <c r="TD43" s="1044"/>
      <c r="TE43" s="1044"/>
      <c r="TF43" s="1044"/>
      <c r="TG43" s="1044"/>
      <c r="TH43" s="1044"/>
      <c r="TI43" s="1044"/>
      <c r="TJ43" s="1044"/>
      <c r="TK43" s="1044"/>
      <c r="TL43" s="1044"/>
      <c r="TM43" s="1044"/>
      <c r="TN43" s="1044"/>
      <c r="TO43" s="1044"/>
      <c r="TP43" s="1044"/>
      <c r="TQ43" s="1044"/>
      <c r="TR43" s="1044"/>
      <c r="TS43" s="1044"/>
      <c r="TT43" s="1044"/>
      <c r="TU43" s="1044"/>
      <c r="TV43" s="1044"/>
      <c r="TW43" s="1044"/>
      <c r="TX43" s="1044"/>
      <c r="TY43" s="1044"/>
      <c r="TZ43" s="1044"/>
      <c r="UA43" s="1044"/>
      <c r="UB43" s="1044"/>
      <c r="UC43" s="1044"/>
      <c r="UD43" s="1044"/>
      <c r="UE43" s="1044"/>
      <c r="UF43" s="1044"/>
      <c r="UG43" s="1044"/>
      <c r="UH43" s="1044"/>
      <c r="UI43" s="1044"/>
      <c r="UJ43" s="1044"/>
      <c r="UK43" s="1044"/>
      <c r="UL43" s="1044"/>
      <c r="UM43" s="1044"/>
      <c r="UN43" s="1044"/>
      <c r="UO43" s="1044"/>
      <c r="UP43" s="1044"/>
      <c r="UQ43" s="1044"/>
      <c r="UR43" s="1044"/>
      <c r="US43" s="1044"/>
      <c r="UT43" s="1044"/>
      <c r="UU43" s="1044"/>
      <c r="UV43" s="1044"/>
      <c r="UW43" s="1044"/>
      <c r="UX43" s="1044"/>
      <c r="UY43" s="1044"/>
      <c r="UZ43" s="1044"/>
      <c r="VA43" s="1044"/>
      <c r="VB43" s="1044"/>
      <c r="VC43" s="1044"/>
      <c r="VD43" s="1044"/>
      <c r="VE43" s="1044"/>
      <c r="VF43" s="1044"/>
      <c r="VG43" s="1044"/>
      <c r="VH43" s="1044"/>
      <c r="VI43" s="1044"/>
      <c r="VJ43" s="1044"/>
      <c r="VK43" s="1044"/>
      <c r="VL43" s="1044"/>
      <c r="VM43" s="1044"/>
      <c r="VN43" s="1044"/>
      <c r="VO43" s="1044"/>
      <c r="VP43" s="1044"/>
      <c r="VQ43" s="1044"/>
      <c r="VR43" s="1044"/>
      <c r="VS43" s="1044"/>
      <c r="VT43" s="1044"/>
      <c r="VU43" s="1044"/>
      <c r="VV43" s="1044"/>
      <c r="VW43" s="1044"/>
      <c r="VX43" s="1044"/>
      <c r="VY43" s="1044"/>
      <c r="VZ43" s="1044"/>
      <c r="WA43" s="1044"/>
      <c r="WB43" s="1044"/>
      <c r="WC43" s="1044"/>
      <c r="WD43" s="1044"/>
      <c r="WE43" s="1044"/>
      <c r="WF43" s="1044"/>
      <c r="WG43" s="1044"/>
      <c r="WH43" s="1044"/>
      <c r="WI43" s="1044"/>
      <c r="WJ43" s="1044"/>
      <c r="WK43" s="1044"/>
      <c r="WL43" s="1044"/>
      <c r="WM43" s="1044"/>
      <c r="WN43" s="1044"/>
      <c r="WO43" s="1044"/>
      <c r="WP43" s="1044"/>
      <c r="WQ43" s="1044"/>
      <c r="WR43" s="1044"/>
      <c r="WS43" s="1044"/>
      <c r="WT43" s="1044"/>
      <c r="WU43" s="1044"/>
      <c r="WV43" s="1044"/>
      <c r="WW43" s="1044"/>
      <c r="WX43" s="1044"/>
      <c r="WY43" s="1044"/>
      <c r="WZ43" s="1044"/>
      <c r="XA43" s="1044"/>
      <c r="XB43" s="1044"/>
      <c r="XC43" s="1044"/>
      <c r="XD43" s="1044"/>
      <c r="XE43" s="1044"/>
      <c r="XF43" s="1044"/>
      <c r="XG43" s="1044"/>
      <c r="XH43" s="1044"/>
      <c r="XI43" s="1044"/>
      <c r="XJ43" s="1044"/>
      <c r="XK43" s="1044"/>
      <c r="XL43" s="1044"/>
      <c r="XM43" s="1044"/>
      <c r="XN43" s="1044"/>
      <c r="XO43" s="1044"/>
      <c r="XP43" s="1044"/>
      <c r="XQ43" s="1044"/>
      <c r="XR43" s="1044"/>
      <c r="XS43" s="1044"/>
      <c r="XT43" s="1044"/>
      <c r="XU43" s="1044"/>
      <c r="XV43" s="1044"/>
      <c r="XW43" s="1044"/>
      <c r="XX43" s="1044"/>
      <c r="XY43" s="1044"/>
      <c r="XZ43" s="1044"/>
      <c r="YA43" s="1044"/>
      <c r="YB43" s="1044"/>
      <c r="YC43" s="1044"/>
      <c r="YD43" s="1044"/>
      <c r="YE43" s="1044"/>
      <c r="YF43" s="1044"/>
      <c r="YG43" s="1044"/>
      <c r="YH43" s="1044"/>
      <c r="YI43" s="1044"/>
      <c r="YJ43" s="1044"/>
      <c r="YK43" s="1044"/>
      <c r="YL43" s="1044"/>
      <c r="YM43" s="1044"/>
      <c r="YN43" s="1044"/>
      <c r="YO43" s="1044"/>
      <c r="YP43" s="1044"/>
      <c r="YQ43" s="1044"/>
      <c r="YR43" s="1044"/>
      <c r="YS43" s="1044"/>
      <c r="YT43" s="1044"/>
      <c r="YU43" s="1044"/>
      <c r="YV43" s="1044"/>
      <c r="YW43" s="1044"/>
      <c r="YX43" s="1044"/>
      <c r="YY43" s="1044"/>
      <c r="YZ43" s="1044"/>
      <c r="ZA43" s="1044"/>
      <c r="ZB43" s="1044"/>
      <c r="ZC43" s="1044"/>
      <c r="ZD43" s="1044"/>
      <c r="ZE43" s="1044"/>
      <c r="ZF43" s="1044"/>
      <c r="ZG43" s="1044"/>
      <c r="ZH43" s="1044"/>
      <c r="ZI43" s="1044"/>
      <c r="ZJ43" s="1044"/>
      <c r="ZK43" s="1044"/>
      <c r="ZL43" s="1044"/>
      <c r="ZM43" s="1044"/>
      <c r="ZN43" s="1044"/>
      <c r="ZO43" s="1044"/>
      <c r="ZP43" s="1044"/>
      <c r="ZQ43" s="1044"/>
      <c r="ZR43" s="1044"/>
      <c r="ZS43" s="1044"/>
      <c r="ZT43" s="1044"/>
      <c r="ZU43" s="1044"/>
      <c r="ZV43" s="1044"/>
      <c r="ZW43" s="1044"/>
      <c r="ZX43" s="1044"/>
      <c r="ZY43" s="1044"/>
      <c r="ZZ43" s="1044"/>
      <c r="AAA43" s="1044"/>
      <c r="AAB43" s="1044"/>
      <c r="AAC43" s="1044"/>
      <c r="AAD43" s="1044"/>
      <c r="AAE43" s="1044"/>
      <c r="AAF43" s="1044"/>
      <c r="AAG43" s="1044"/>
      <c r="AAH43" s="1044"/>
      <c r="AAI43" s="1044"/>
      <c r="AAJ43" s="1044"/>
      <c r="AAK43" s="1044"/>
      <c r="AAL43" s="1044"/>
      <c r="AAM43" s="1044"/>
      <c r="AAN43" s="1044"/>
      <c r="AAO43" s="1044"/>
      <c r="AAP43" s="1044"/>
      <c r="AAQ43" s="1044"/>
      <c r="AAR43" s="1044"/>
      <c r="AAS43" s="1044"/>
      <c r="AAT43" s="1044"/>
      <c r="AAU43" s="1044"/>
      <c r="AAV43" s="1044"/>
      <c r="AAW43" s="1044"/>
      <c r="AAX43" s="1044"/>
      <c r="AAY43" s="1044"/>
      <c r="AAZ43" s="1044"/>
      <c r="ABA43" s="1044"/>
      <c r="ABB43" s="1044"/>
      <c r="ABC43" s="1044"/>
      <c r="ABD43" s="1044"/>
      <c r="ABE43" s="1044"/>
      <c r="ABF43" s="1044"/>
      <c r="ABG43" s="1044"/>
      <c r="ABH43" s="1044"/>
      <c r="ABI43" s="1044"/>
      <c r="ABJ43" s="1044"/>
      <c r="ABK43" s="1044"/>
      <c r="ABL43" s="1044"/>
      <c r="ABM43" s="1044"/>
      <c r="ABN43" s="1044"/>
      <c r="ABO43" s="1044"/>
      <c r="ABP43" s="1044"/>
      <c r="ABQ43" s="1044"/>
      <c r="ABR43" s="1044"/>
      <c r="ABS43" s="1044"/>
      <c r="ABT43" s="1044"/>
      <c r="ABU43" s="1044"/>
      <c r="ABV43" s="1044"/>
      <c r="ABW43" s="1044"/>
      <c r="ABX43" s="1044"/>
      <c r="ABY43" s="1044"/>
      <c r="ABZ43" s="1044"/>
      <c r="ACA43" s="1044"/>
      <c r="ACB43" s="1044"/>
      <c r="ACC43" s="1044"/>
      <c r="ACD43" s="1044"/>
      <c r="ACE43" s="1044"/>
      <c r="ACF43" s="1044"/>
      <c r="ACG43" s="1044"/>
      <c r="ACH43" s="1044"/>
      <c r="ACI43" s="1044"/>
      <c r="ACJ43" s="1044"/>
      <c r="ACK43" s="1044"/>
      <c r="ACL43" s="1044"/>
      <c r="ACM43" s="1044"/>
      <c r="ACN43" s="1044"/>
      <c r="ACO43" s="1044"/>
      <c r="ACP43" s="1044"/>
      <c r="ACQ43" s="1044"/>
      <c r="ACR43" s="1044"/>
      <c r="ACS43" s="1044"/>
      <c r="ACT43" s="1044"/>
      <c r="ACU43" s="1044"/>
      <c r="ACV43" s="1044"/>
      <c r="ACW43" s="1044"/>
      <c r="ACX43" s="1044"/>
      <c r="ACY43" s="1044"/>
      <c r="ACZ43" s="1044"/>
      <c r="ADA43" s="1044"/>
      <c r="ADB43" s="1044"/>
      <c r="ADC43" s="1044"/>
      <c r="ADD43" s="1044"/>
      <c r="ADE43" s="1044"/>
      <c r="ADF43" s="1044"/>
      <c r="ADG43" s="1044"/>
      <c r="ADH43" s="1044"/>
      <c r="ADI43" s="1044"/>
      <c r="ADJ43" s="1044"/>
      <c r="ADK43" s="1044"/>
      <c r="ADL43" s="1044"/>
      <c r="ADM43" s="1044"/>
      <c r="ADN43" s="1044"/>
      <c r="ADO43" s="1044"/>
      <c r="ADP43" s="1044"/>
      <c r="ADQ43" s="1044"/>
      <c r="ADR43" s="1044"/>
      <c r="ADS43" s="1044"/>
      <c r="ADT43" s="1044"/>
      <c r="ADU43" s="1044"/>
      <c r="ADV43" s="1044"/>
      <c r="ADW43" s="1044"/>
      <c r="ADX43" s="1044"/>
      <c r="ADY43" s="1044"/>
      <c r="ADZ43" s="1044"/>
      <c r="AEA43" s="1044"/>
      <c r="AEB43" s="1044"/>
      <c r="AEC43" s="1044"/>
      <c r="AED43" s="1044"/>
      <c r="AEE43" s="1044"/>
      <c r="AEF43" s="1044"/>
      <c r="AEG43" s="1044"/>
      <c r="AEH43" s="1044"/>
      <c r="AEI43" s="1044"/>
      <c r="AEJ43" s="1044"/>
      <c r="AEK43" s="1044"/>
      <c r="AEL43" s="1044"/>
      <c r="AEM43" s="1044"/>
      <c r="AEN43" s="1044"/>
      <c r="AEO43" s="1044"/>
      <c r="AEP43" s="1044"/>
      <c r="AEQ43" s="1044"/>
      <c r="AER43" s="1044"/>
      <c r="AES43" s="1044"/>
      <c r="AET43" s="1044"/>
      <c r="AEU43" s="1044"/>
      <c r="AEV43" s="1044"/>
      <c r="AEW43" s="1044"/>
      <c r="AEX43" s="1044"/>
      <c r="AEY43" s="1044"/>
      <c r="AEZ43" s="1044"/>
      <c r="AFA43" s="1044"/>
      <c r="AFB43" s="1044"/>
      <c r="AFC43" s="1044"/>
      <c r="AFD43" s="1044"/>
      <c r="AFE43" s="1044"/>
      <c r="AFF43" s="1044"/>
      <c r="AFG43" s="1044"/>
      <c r="AFH43" s="1044"/>
      <c r="AFI43" s="1044"/>
      <c r="AFJ43" s="1044"/>
      <c r="AFK43" s="1044"/>
      <c r="AFL43" s="1044"/>
      <c r="AFM43" s="1044"/>
      <c r="AFN43" s="1044"/>
      <c r="AFO43" s="1044"/>
      <c r="AFP43" s="1044"/>
      <c r="AFQ43" s="1044"/>
      <c r="AFR43" s="1044"/>
      <c r="AFS43" s="1044"/>
      <c r="AFT43" s="1044"/>
      <c r="AFU43" s="1044"/>
      <c r="AFV43" s="1044"/>
      <c r="AFW43" s="1044"/>
      <c r="AFX43" s="1044"/>
      <c r="AFY43" s="1044"/>
      <c r="AFZ43" s="1044"/>
      <c r="AGA43" s="1044"/>
      <c r="AGB43" s="1044"/>
      <c r="AGC43" s="1044"/>
      <c r="AGD43" s="1044"/>
      <c r="AGE43" s="1044"/>
      <c r="AGF43" s="1044"/>
      <c r="AGG43" s="1044"/>
      <c r="AGH43" s="1044"/>
      <c r="AGI43" s="1044"/>
      <c r="AGJ43" s="1044"/>
      <c r="AGK43" s="1044"/>
      <c r="AGL43" s="1044"/>
      <c r="AGM43" s="1044"/>
      <c r="AGN43" s="1044"/>
      <c r="AGO43" s="1044"/>
      <c r="AGP43" s="1044"/>
      <c r="AGQ43" s="1044"/>
      <c r="AGR43" s="1044"/>
      <c r="AGS43" s="1044"/>
      <c r="AGT43" s="1044"/>
      <c r="AGU43" s="1044"/>
      <c r="AGV43" s="1044"/>
      <c r="AGW43" s="1044"/>
      <c r="AGX43" s="1044"/>
      <c r="AGY43" s="1044"/>
      <c r="AGZ43" s="1044"/>
      <c r="AHA43" s="1044"/>
      <c r="AHB43" s="1044"/>
      <c r="AHC43" s="1044"/>
      <c r="AHD43" s="1044"/>
      <c r="AHE43" s="1044"/>
      <c r="AHF43" s="1044"/>
      <c r="AHG43" s="1044"/>
      <c r="AHH43" s="1044"/>
      <c r="AHI43" s="1044"/>
      <c r="AHJ43" s="1044"/>
      <c r="AHK43" s="1044"/>
      <c r="AHL43" s="1044"/>
      <c r="AHM43" s="1044"/>
      <c r="AHN43" s="1044"/>
      <c r="AHO43" s="1044"/>
      <c r="AHP43" s="1044"/>
      <c r="AHQ43" s="1044"/>
      <c r="AHR43" s="1044"/>
      <c r="AHS43" s="1044"/>
      <c r="AHT43" s="1044"/>
      <c r="AHU43" s="1044"/>
      <c r="AHV43" s="1044"/>
      <c r="AHW43" s="1044"/>
      <c r="AHX43" s="1044"/>
      <c r="AHY43" s="1044"/>
      <c r="AHZ43" s="1044"/>
      <c r="AIA43" s="1044"/>
      <c r="AIB43" s="1044"/>
      <c r="AIC43" s="1044"/>
      <c r="AID43" s="1044"/>
      <c r="AIE43" s="1044"/>
      <c r="AIF43" s="1044"/>
      <c r="AIG43" s="1044"/>
      <c r="AIH43" s="1044"/>
      <c r="AII43" s="1044"/>
      <c r="AIJ43" s="1044"/>
      <c r="AIK43" s="1044"/>
      <c r="AIL43" s="1044"/>
      <c r="AIM43" s="1044"/>
      <c r="AIN43" s="1044"/>
      <c r="AIO43" s="1044"/>
      <c r="AIP43" s="1044"/>
      <c r="AIQ43" s="1044"/>
      <c r="AIR43" s="1044"/>
      <c r="AIS43" s="1044"/>
      <c r="AIT43" s="1044"/>
      <c r="AIU43" s="1044"/>
      <c r="AIV43" s="1044"/>
      <c r="AIW43" s="1044"/>
      <c r="AIX43" s="1044"/>
      <c r="AIY43" s="1044"/>
      <c r="AIZ43" s="1044"/>
      <c r="AJA43" s="1044"/>
      <c r="AJB43" s="1044"/>
      <c r="AJC43" s="1044"/>
      <c r="AJD43" s="1044"/>
      <c r="AJE43" s="1044"/>
      <c r="AJF43" s="1044"/>
      <c r="AJG43" s="1044"/>
      <c r="AJH43" s="1044"/>
      <c r="AJI43" s="1044"/>
      <c r="AJJ43" s="1044"/>
      <c r="AJK43" s="1044"/>
      <c r="AJL43" s="1044"/>
      <c r="AJM43" s="1044"/>
      <c r="AJN43" s="1044"/>
      <c r="AJO43" s="1044"/>
      <c r="AJP43" s="1044"/>
      <c r="AJQ43" s="1044"/>
      <c r="AJR43" s="1044"/>
      <c r="AJS43" s="1044"/>
      <c r="AJT43" s="1044"/>
      <c r="AJU43" s="1044"/>
      <c r="AJV43" s="1044"/>
      <c r="AJW43" s="1044"/>
      <c r="AJX43" s="1044"/>
      <c r="AJY43" s="1044"/>
      <c r="AJZ43" s="1044"/>
      <c r="AKA43" s="1044"/>
      <c r="AKB43" s="1044"/>
      <c r="AKC43" s="1044"/>
      <c r="AKD43" s="1044"/>
      <c r="AKE43" s="1044"/>
      <c r="AKF43" s="1044"/>
      <c r="AKG43" s="1044"/>
      <c r="AKH43" s="1044"/>
      <c r="AKI43" s="1044"/>
      <c r="AKJ43" s="1044"/>
      <c r="AKK43" s="1044"/>
      <c r="AKL43" s="1044"/>
      <c r="AKM43" s="1044"/>
      <c r="AKN43" s="1044"/>
      <c r="AKO43" s="1044"/>
      <c r="AKP43" s="1044"/>
      <c r="AKQ43" s="1044"/>
      <c r="AKR43" s="1044"/>
      <c r="AKS43" s="1044"/>
      <c r="AKT43" s="1044"/>
      <c r="AKU43" s="1044"/>
      <c r="AKV43" s="1044"/>
      <c r="AKW43" s="1044"/>
      <c r="AKX43" s="1044"/>
      <c r="AKY43" s="1044"/>
      <c r="AKZ43" s="1044"/>
      <c r="ALA43" s="1044"/>
      <c r="ALB43" s="1044"/>
      <c r="ALC43" s="1044"/>
      <c r="ALD43" s="1044"/>
      <c r="ALE43" s="1044"/>
      <c r="ALF43" s="1044"/>
      <c r="ALG43" s="1044"/>
      <c r="ALH43" s="1044"/>
      <c r="ALI43" s="1044"/>
      <c r="ALJ43" s="1044"/>
      <c r="ALK43" s="1044"/>
      <c r="ALL43" s="1044"/>
      <c r="ALM43" s="1044"/>
      <c r="ALN43" s="1044"/>
      <c r="ALO43" s="1044"/>
      <c r="ALP43" s="1044"/>
      <c r="ALQ43" s="1044"/>
      <c r="ALR43" s="1044"/>
      <c r="ALS43" s="1044"/>
      <c r="ALT43" s="1044"/>
      <c r="ALU43" s="1044"/>
      <c r="ALV43" s="1044"/>
      <c r="ALW43" s="1044"/>
      <c r="ALX43" s="1044"/>
      <c r="ALY43" s="1044"/>
      <c r="ALZ43" s="1044"/>
      <c r="AMA43" s="1044"/>
      <c r="AMB43" s="1044"/>
      <c r="AMC43" s="1044"/>
      <c r="AMD43" s="1044"/>
      <c r="AME43" s="1044"/>
      <c r="AMF43" s="1044"/>
      <c r="AMG43" s="1044"/>
      <c r="AMH43" s="1044"/>
      <c r="AMI43" s="1044"/>
      <c r="AMJ43" s="1044"/>
      <c r="AMK43" s="1044"/>
      <c r="AML43" s="1044"/>
      <c r="AMM43" s="1044"/>
      <c r="AMN43" s="1044"/>
      <c r="AMO43" s="1044"/>
      <c r="AMP43" s="1044"/>
      <c r="AMQ43" s="1044"/>
      <c r="AMR43" s="1044"/>
      <c r="AMS43" s="1044"/>
      <c r="AMT43" s="1044"/>
      <c r="AMU43" s="1044"/>
      <c r="AMV43" s="1044"/>
      <c r="AMW43" s="1044"/>
      <c r="AMX43" s="1044"/>
      <c r="AMY43" s="1044"/>
      <c r="AMZ43" s="1044"/>
      <c r="ANA43" s="1044"/>
      <c r="ANB43" s="1044"/>
      <c r="ANC43" s="1044"/>
      <c r="AND43" s="1044"/>
      <c r="ANE43" s="1044"/>
      <c r="ANF43" s="1044"/>
      <c r="ANG43" s="1044"/>
      <c r="ANH43" s="1044"/>
      <c r="ANI43" s="1044"/>
      <c r="ANJ43" s="1044"/>
      <c r="ANK43" s="1044"/>
      <c r="ANL43" s="1044"/>
      <c r="ANM43" s="1044"/>
      <c r="ANN43" s="1044"/>
      <c r="ANO43" s="1044"/>
      <c r="ANP43" s="1044"/>
      <c r="ANQ43" s="1044"/>
      <c r="ANR43" s="1044"/>
      <c r="ANS43" s="1044"/>
      <c r="ANT43" s="1044"/>
      <c r="ANU43" s="1044"/>
      <c r="ANV43" s="1044"/>
      <c r="ANW43" s="1044"/>
      <c r="ANX43" s="1044"/>
      <c r="ANY43" s="1044"/>
      <c r="ANZ43" s="1044"/>
      <c r="AOA43" s="1044"/>
      <c r="AOB43" s="1044"/>
      <c r="AOC43" s="1044"/>
      <c r="AOD43" s="1044"/>
      <c r="AOE43" s="1044"/>
      <c r="AOF43" s="1044"/>
      <c r="AOG43" s="1044"/>
      <c r="AOH43" s="1044"/>
      <c r="AOI43" s="1044"/>
      <c r="AOJ43" s="1044"/>
      <c r="AOK43" s="1044"/>
      <c r="AOL43" s="1044"/>
      <c r="AOM43" s="1044"/>
      <c r="AON43" s="1044"/>
      <c r="AOO43" s="1044"/>
      <c r="AOP43" s="1044"/>
      <c r="AOQ43" s="1044"/>
      <c r="AOR43" s="1044"/>
      <c r="AOS43" s="1044"/>
      <c r="AOT43" s="1044"/>
      <c r="AOU43" s="1044"/>
      <c r="AOV43" s="1044"/>
      <c r="AOW43" s="1044"/>
      <c r="AOX43" s="1044"/>
      <c r="AOY43" s="1044"/>
      <c r="AOZ43" s="1044"/>
      <c r="APA43" s="1044"/>
      <c r="APB43" s="1044"/>
      <c r="APC43" s="1044"/>
      <c r="APD43" s="1044"/>
      <c r="APE43" s="1044"/>
      <c r="APF43" s="1044"/>
      <c r="APG43" s="1044"/>
      <c r="APH43" s="1044"/>
      <c r="API43" s="1044"/>
      <c r="APJ43" s="1044"/>
      <c r="APK43" s="1044"/>
      <c r="APL43" s="1044"/>
      <c r="APM43" s="1044"/>
      <c r="APN43" s="1044"/>
      <c r="APO43" s="1044"/>
      <c r="APP43" s="1044"/>
      <c r="APQ43" s="1044"/>
      <c r="APR43" s="1044"/>
      <c r="APS43" s="1044"/>
      <c r="APT43" s="1044"/>
      <c r="APU43" s="1044"/>
      <c r="APV43" s="1044"/>
      <c r="APW43" s="1044"/>
      <c r="APX43" s="1044"/>
      <c r="APY43" s="1044"/>
      <c r="APZ43" s="1044"/>
      <c r="AQA43" s="1044"/>
      <c r="AQB43" s="1044"/>
      <c r="AQC43" s="1044"/>
      <c r="AQD43" s="1044"/>
      <c r="AQE43" s="1044"/>
      <c r="AQF43" s="1044"/>
      <c r="AQG43" s="1044"/>
      <c r="AQH43" s="1044"/>
      <c r="AQI43" s="1044"/>
      <c r="AQJ43" s="1044"/>
      <c r="AQK43" s="1044"/>
      <c r="AQL43" s="1044"/>
      <c r="AQM43" s="1044"/>
      <c r="AQN43" s="1044"/>
      <c r="AQO43" s="1044"/>
      <c r="AQP43" s="1044"/>
      <c r="AQQ43" s="1044"/>
      <c r="AQR43" s="1044"/>
      <c r="AQS43" s="1044"/>
      <c r="AQT43" s="1044"/>
      <c r="AQU43" s="1044"/>
      <c r="AQV43" s="1044"/>
      <c r="AQW43" s="1044"/>
      <c r="AQX43" s="1044"/>
      <c r="AQY43" s="1044"/>
      <c r="AQZ43" s="1044"/>
      <c r="ARA43" s="1044"/>
      <c r="ARB43" s="1044"/>
      <c r="ARC43" s="1044"/>
      <c r="ARD43" s="1044"/>
      <c r="ARE43" s="1044"/>
      <c r="ARF43" s="1044"/>
      <c r="ARG43" s="1044"/>
      <c r="ARH43" s="1044"/>
      <c r="ARI43" s="1044"/>
      <c r="ARJ43" s="1044"/>
      <c r="ARK43" s="1044"/>
      <c r="ARL43" s="1044"/>
      <c r="ARM43" s="1044"/>
      <c r="ARN43" s="1044"/>
      <c r="ARO43" s="1044"/>
      <c r="ARP43" s="1044"/>
      <c r="ARQ43" s="1044"/>
      <c r="ARR43" s="1044"/>
      <c r="ARS43" s="1044"/>
      <c r="ART43" s="1044"/>
      <c r="ARU43" s="1044"/>
      <c r="ARV43" s="1044"/>
      <c r="ARW43" s="1044"/>
      <c r="ARX43" s="1044"/>
      <c r="ARY43" s="1044"/>
      <c r="ARZ43" s="1044"/>
      <c r="ASA43" s="1044"/>
      <c r="ASB43" s="1044"/>
      <c r="ASC43" s="1044"/>
      <c r="ASD43" s="1044"/>
      <c r="ASE43" s="1044"/>
      <c r="ASF43" s="1044"/>
      <c r="ASG43" s="1044"/>
      <c r="ASH43" s="1044"/>
      <c r="ASI43" s="1044"/>
      <c r="ASJ43" s="1044"/>
      <c r="ASK43" s="1044"/>
      <c r="ASL43" s="1044"/>
      <c r="ASM43" s="1044"/>
      <c r="ASN43" s="1044"/>
      <c r="ASO43" s="1044"/>
      <c r="ASP43" s="1044"/>
      <c r="ASQ43" s="1044"/>
      <c r="ASR43" s="1044"/>
      <c r="ASS43" s="1044"/>
      <c r="AST43" s="1044"/>
      <c r="ASU43" s="1044"/>
      <c r="ASV43" s="1044"/>
      <c r="ASW43" s="1044"/>
      <c r="ASX43" s="1044"/>
      <c r="ASY43" s="1044"/>
      <c r="ASZ43" s="1044"/>
      <c r="ATA43" s="1044"/>
      <c r="ATB43" s="1044"/>
      <c r="ATC43" s="1044"/>
      <c r="ATD43" s="1044"/>
      <c r="ATE43" s="1044"/>
      <c r="ATF43" s="1044"/>
      <c r="ATG43" s="1044"/>
      <c r="ATH43" s="1044"/>
      <c r="ATI43" s="1044"/>
      <c r="ATJ43" s="1044"/>
      <c r="ATK43" s="1044"/>
      <c r="ATL43" s="1044"/>
      <c r="ATM43" s="1044"/>
      <c r="ATN43" s="1044"/>
      <c r="ATO43" s="1044"/>
      <c r="ATP43" s="1044"/>
      <c r="ATQ43" s="1044"/>
      <c r="ATR43" s="1044"/>
      <c r="ATS43" s="1044"/>
      <c r="ATT43" s="1044"/>
      <c r="ATU43" s="1044"/>
      <c r="ATV43" s="1044"/>
      <c r="ATW43" s="1044"/>
      <c r="ATX43" s="1044"/>
      <c r="ATY43" s="1044"/>
      <c r="ATZ43" s="1044"/>
      <c r="AUA43" s="1044"/>
      <c r="AUB43" s="1044"/>
      <c r="AUC43" s="1044"/>
      <c r="AUD43" s="1044"/>
      <c r="AUE43" s="1044"/>
      <c r="AUF43" s="1044"/>
      <c r="AUG43" s="1044"/>
      <c r="AUH43" s="1044"/>
      <c r="AUI43" s="1044"/>
      <c r="AUJ43" s="1044"/>
      <c r="AUK43" s="1044"/>
      <c r="AUL43" s="1044"/>
      <c r="AUM43" s="1044"/>
      <c r="AUN43" s="1044"/>
      <c r="AUO43" s="1044"/>
      <c r="AUP43" s="1044"/>
      <c r="AUQ43" s="1044"/>
      <c r="AUR43" s="1044"/>
      <c r="AUS43" s="1044"/>
      <c r="AUT43" s="1044"/>
      <c r="AUU43" s="1044"/>
      <c r="AUV43" s="1044"/>
      <c r="AUW43" s="1044"/>
      <c r="AUX43" s="1044"/>
      <c r="AUY43" s="1044"/>
      <c r="AUZ43" s="1044"/>
      <c r="AVA43" s="1044"/>
      <c r="AVB43" s="1044"/>
      <c r="AVC43" s="1044"/>
      <c r="AVD43" s="1044"/>
      <c r="AVE43" s="1044"/>
      <c r="AVF43" s="1044"/>
      <c r="AVG43" s="1044"/>
      <c r="AVH43" s="1044"/>
      <c r="AVI43" s="1044"/>
      <c r="AVJ43" s="1044"/>
      <c r="AVK43" s="1044"/>
      <c r="AVL43" s="1044"/>
      <c r="AVM43" s="1044"/>
      <c r="AVN43" s="1044"/>
      <c r="AVO43" s="1044"/>
      <c r="AVP43" s="1044"/>
      <c r="AVQ43" s="1044"/>
      <c r="AVR43" s="1044"/>
      <c r="AVS43" s="1044"/>
      <c r="AVT43" s="1044"/>
      <c r="AVU43" s="1044"/>
      <c r="AVV43" s="1044"/>
      <c r="AVW43" s="1044"/>
      <c r="AVX43" s="1044"/>
      <c r="AVY43" s="1044"/>
      <c r="AVZ43" s="1044"/>
      <c r="AWA43" s="1044"/>
      <c r="AWB43" s="1044"/>
      <c r="AWC43" s="1044"/>
      <c r="AWD43" s="1044"/>
      <c r="AWE43" s="1044"/>
      <c r="AWF43" s="1044"/>
      <c r="AWG43" s="1044"/>
      <c r="AWH43" s="1044"/>
      <c r="AWI43" s="1044"/>
      <c r="AWJ43" s="1044"/>
      <c r="AWK43" s="1044"/>
      <c r="AWL43" s="1044"/>
      <c r="AWM43" s="1044"/>
      <c r="AWN43" s="1044"/>
      <c r="AWO43" s="1044"/>
      <c r="AWP43" s="1044"/>
      <c r="AWQ43" s="1044"/>
      <c r="AWR43" s="1044"/>
      <c r="AWS43" s="1044"/>
      <c r="AWT43" s="1044"/>
      <c r="AWU43" s="1044"/>
      <c r="AWV43" s="1044"/>
      <c r="AWW43" s="1044"/>
      <c r="AWX43" s="1044"/>
      <c r="AWY43" s="1044"/>
      <c r="AWZ43" s="1044"/>
      <c r="AXA43" s="1044"/>
      <c r="AXB43" s="1044"/>
      <c r="AXC43" s="1044"/>
      <c r="AXD43" s="1044"/>
      <c r="AXE43" s="1044"/>
      <c r="AXF43" s="1044"/>
      <c r="AXG43" s="1044"/>
      <c r="AXH43" s="1044"/>
      <c r="AXI43" s="1044"/>
      <c r="AXJ43" s="1044"/>
      <c r="AXK43" s="1044"/>
      <c r="AXL43" s="1044"/>
      <c r="AXM43" s="1044"/>
      <c r="AXN43" s="1044"/>
      <c r="AXO43" s="1044"/>
      <c r="AXP43" s="1044"/>
      <c r="AXQ43" s="1044"/>
      <c r="AXR43" s="1044"/>
      <c r="AXS43" s="1044"/>
      <c r="AXT43" s="1044"/>
      <c r="AXU43" s="1044"/>
      <c r="AXV43" s="1044"/>
      <c r="AXW43" s="1044"/>
      <c r="AXX43" s="1044"/>
      <c r="AXY43" s="1044"/>
      <c r="AXZ43" s="1044"/>
      <c r="AYA43" s="1044"/>
      <c r="AYB43" s="1044"/>
      <c r="AYC43" s="1044"/>
      <c r="AYD43" s="1044"/>
      <c r="AYE43" s="1044"/>
      <c r="AYF43" s="1044"/>
      <c r="AYG43" s="1044"/>
      <c r="AYH43" s="1044"/>
      <c r="AYI43" s="1044"/>
      <c r="AYJ43" s="1044"/>
      <c r="AYK43" s="1044"/>
      <c r="AYL43" s="1044"/>
      <c r="AYM43" s="1044"/>
      <c r="AYN43" s="1044"/>
      <c r="AYO43" s="1044"/>
      <c r="AYP43" s="1044"/>
      <c r="AYQ43" s="1044"/>
      <c r="AYR43" s="1044"/>
      <c r="AYS43" s="1044"/>
      <c r="AYT43" s="1044"/>
      <c r="AYU43" s="1044"/>
      <c r="AYV43" s="1044"/>
      <c r="AYW43" s="1044"/>
      <c r="AYX43" s="1044"/>
      <c r="AYY43" s="1044"/>
      <c r="AYZ43" s="1044"/>
      <c r="AZA43" s="1044"/>
      <c r="AZB43" s="1044"/>
      <c r="AZC43" s="1044"/>
      <c r="AZD43" s="1044"/>
      <c r="AZE43" s="1044"/>
      <c r="AZF43" s="1044"/>
      <c r="AZG43" s="1044"/>
      <c r="AZH43" s="1044"/>
      <c r="AZI43" s="1044"/>
      <c r="AZJ43" s="1044"/>
      <c r="AZK43" s="1044"/>
      <c r="AZL43" s="1044"/>
      <c r="AZM43" s="1044"/>
      <c r="AZN43" s="1044"/>
      <c r="AZO43" s="1044"/>
      <c r="AZP43" s="1044"/>
      <c r="AZQ43" s="1044"/>
      <c r="AZR43" s="1044"/>
      <c r="AZS43" s="1044"/>
      <c r="AZT43" s="1044"/>
      <c r="AZU43" s="1044"/>
      <c r="AZV43" s="1044"/>
      <c r="AZW43" s="1044"/>
      <c r="AZX43" s="1044"/>
      <c r="AZY43" s="1044"/>
      <c r="AZZ43" s="1044"/>
      <c r="BAA43" s="1044"/>
      <c r="BAB43" s="1044"/>
      <c r="BAC43" s="1044"/>
      <c r="BAD43" s="1044"/>
      <c r="BAE43" s="1044"/>
      <c r="BAF43" s="1044"/>
      <c r="BAG43" s="1044"/>
      <c r="BAH43" s="1044"/>
      <c r="BAI43" s="1044"/>
      <c r="BAJ43" s="1044"/>
      <c r="BAK43" s="1044"/>
      <c r="BAL43" s="1044"/>
      <c r="BAM43" s="1044"/>
      <c r="BAN43" s="1044"/>
      <c r="BAO43" s="1044"/>
      <c r="BAP43" s="1044"/>
      <c r="BAQ43" s="1044"/>
      <c r="BAR43" s="1044"/>
      <c r="BAS43" s="1044"/>
      <c r="BAT43" s="1044"/>
      <c r="BAU43" s="1044"/>
      <c r="BAV43" s="1044"/>
      <c r="BAW43" s="1044"/>
      <c r="BAX43" s="1044"/>
      <c r="BAY43" s="1044"/>
      <c r="BAZ43" s="1044"/>
      <c r="BBA43" s="1044"/>
      <c r="BBB43" s="1044"/>
      <c r="BBC43" s="1044"/>
      <c r="BBD43" s="1044"/>
      <c r="BBE43" s="1044"/>
      <c r="BBF43" s="1044"/>
      <c r="BBG43" s="1044"/>
      <c r="BBH43" s="1044"/>
      <c r="BBI43" s="1044"/>
      <c r="BBJ43" s="1044"/>
      <c r="BBK43" s="1044"/>
      <c r="BBL43" s="1044"/>
      <c r="BBM43" s="1044"/>
      <c r="BBN43" s="1044"/>
      <c r="BBO43" s="1044"/>
      <c r="BBP43" s="1044"/>
      <c r="BBQ43" s="1044"/>
      <c r="BBR43" s="1044"/>
      <c r="BBS43" s="1044"/>
      <c r="BBT43" s="1044"/>
      <c r="BBU43" s="1044"/>
      <c r="BBV43" s="1044"/>
      <c r="BBW43" s="1044"/>
      <c r="BBX43" s="1044"/>
      <c r="BBY43" s="1044"/>
      <c r="BBZ43" s="1044"/>
      <c r="BCA43" s="1044"/>
      <c r="BCB43" s="1044"/>
      <c r="BCC43" s="1044"/>
      <c r="BCD43" s="1044"/>
      <c r="BCE43" s="1044"/>
      <c r="BCF43" s="1044"/>
      <c r="BCG43" s="1044"/>
      <c r="BCH43" s="1044"/>
      <c r="BCI43" s="1044"/>
      <c r="BCJ43" s="1044"/>
      <c r="BCK43" s="1044"/>
      <c r="BCL43" s="1044"/>
      <c r="BCM43" s="1044"/>
      <c r="BCN43" s="1044"/>
      <c r="BCO43" s="1044"/>
      <c r="BCP43" s="1044"/>
      <c r="BCQ43" s="1044"/>
      <c r="BCR43" s="1044"/>
      <c r="BCS43" s="1044"/>
      <c r="BCT43" s="1044"/>
      <c r="BCU43" s="1044"/>
      <c r="BCV43" s="1044"/>
      <c r="BCW43" s="1044"/>
      <c r="BCX43" s="1044"/>
      <c r="BCY43" s="1044"/>
      <c r="BCZ43" s="1044"/>
      <c r="BDA43" s="1044"/>
      <c r="BDB43" s="1044"/>
      <c r="BDC43" s="1044"/>
      <c r="BDD43" s="1044"/>
      <c r="BDE43" s="1044"/>
      <c r="BDF43" s="1044"/>
      <c r="BDG43" s="1044"/>
      <c r="BDH43" s="1044"/>
      <c r="BDI43" s="1044"/>
      <c r="BDJ43" s="1044"/>
      <c r="BDK43" s="1044"/>
      <c r="BDL43" s="1044"/>
      <c r="BDM43" s="1044"/>
      <c r="BDN43" s="1044"/>
      <c r="BDO43" s="1044"/>
      <c r="BDP43" s="1044"/>
      <c r="BDQ43" s="1044"/>
      <c r="BDR43" s="1044"/>
      <c r="BDS43" s="1044"/>
      <c r="BDT43" s="1044"/>
      <c r="BDU43" s="1044"/>
      <c r="BDV43" s="1044"/>
      <c r="BDW43" s="1044"/>
      <c r="BDX43" s="1044"/>
      <c r="BDY43" s="1044"/>
      <c r="BDZ43" s="1044"/>
      <c r="BEA43" s="1044"/>
      <c r="BEB43" s="1044"/>
      <c r="BEC43" s="1044"/>
      <c r="BED43" s="1044"/>
      <c r="BEE43" s="1044"/>
      <c r="BEF43" s="1044"/>
      <c r="BEG43" s="1044"/>
      <c r="BEH43" s="1044"/>
      <c r="BEI43" s="1044"/>
      <c r="BEJ43" s="1044"/>
      <c r="BEK43" s="1044"/>
      <c r="BEL43" s="1044"/>
      <c r="BEM43" s="1044"/>
      <c r="BEN43" s="1044"/>
      <c r="BEO43" s="1044"/>
      <c r="BEP43" s="1044"/>
      <c r="BEQ43" s="1044"/>
      <c r="BER43" s="1044"/>
      <c r="BES43" s="1044"/>
      <c r="BET43" s="1044"/>
      <c r="BEU43" s="1044"/>
      <c r="BEV43" s="1044"/>
      <c r="BEW43" s="1044"/>
      <c r="BEX43" s="1044"/>
      <c r="BEY43" s="1044"/>
      <c r="BEZ43" s="1044"/>
      <c r="BFA43" s="1044"/>
      <c r="BFB43" s="1044"/>
      <c r="BFC43" s="1044"/>
      <c r="BFD43" s="1044"/>
      <c r="BFE43" s="1044"/>
      <c r="BFF43" s="1044"/>
      <c r="BFG43" s="1044"/>
      <c r="BFH43" s="1044"/>
      <c r="BFI43" s="1044"/>
      <c r="BFJ43" s="1044"/>
      <c r="BFK43" s="1044"/>
      <c r="BFL43" s="1044"/>
      <c r="BFM43" s="1044"/>
      <c r="BFN43" s="1044"/>
      <c r="BFO43" s="1044"/>
      <c r="BFP43" s="1044"/>
      <c r="BFQ43" s="1044"/>
      <c r="BFR43" s="1044"/>
      <c r="BFS43" s="1044"/>
      <c r="BFT43" s="1044"/>
      <c r="BFU43" s="1044"/>
      <c r="BFV43" s="1044"/>
      <c r="BFW43" s="1044"/>
      <c r="BFX43" s="1044"/>
      <c r="BFY43" s="1044"/>
      <c r="BFZ43" s="1044"/>
      <c r="BGA43" s="1044"/>
      <c r="BGB43" s="1044"/>
      <c r="BGC43" s="1044"/>
      <c r="BGD43" s="1044"/>
      <c r="BGE43" s="1044"/>
      <c r="BGF43" s="1044"/>
      <c r="BGG43" s="1044"/>
      <c r="BGH43" s="1044"/>
      <c r="BGI43" s="1044"/>
      <c r="BGJ43" s="1044"/>
      <c r="BGK43" s="1044"/>
      <c r="BGL43" s="1044"/>
      <c r="BGM43" s="1044"/>
      <c r="BGN43" s="1044"/>
      <c r="BGO43" s="1044"/>
      <c r="BGP43" s="1044"/>
      <c r="BGQ43" s="1044"/>
      <c r="BGR43" s="1044"/>
      <c r="BGS43" s="1044"/>
      <c r="BGT43" s="1044"/>
      <c r="BGU43" s="1044"/>
      <c r="BGV43" s="1044"/>
      <c r="BGW43" s="1044"/>
      <c r="BGX43" s="1044"/>
      <c r="BGY43" s="1044"/>
      <c r="BGZ43" s="1044"/>
      <c r="BHA43" s="1044"/>
      <c r="BHB43" s="1044"/>
      <c r="BHC43" s="1044"/>
      <c r="BHD43" s="1044"/>
      <c r="BHE43" s="1044"/>
      <c r="BHF43" s="1044"/>
      <c r="BHG43" s="1044"/>
      <c r="BHH43" s="1044"/>
      <c r="BHI43" s="1044"/>
      <c r="BHJ43" s="1044"/>
      <c r="BHK43" s="1044"/>
      <c r="BHL43" s="1044"/>
      <c r="BHM43" s="1044"/>
      <c r="BHN43" s="1044"/>
      <c r="BHO43" s="1044"/>
      <c r="BHP43" s="1044"/>
      <c r="BHQ43" s="1044"/>
      <c r="BHR43" s="1044"/>
      <c r="BHS43" s="1044"/>
      <c r="BHT43" s="1044"/>
      <c r="BHU43" s="1044"/>
      <c r="BHV43" s="1044"/>
      <c r="BHW43" s="1044"/>
      <c r="BHX43" s="1044"/>
      <c r="BHY43" s="1044"/>
      <c r="BHZ43" s="1044"/>
      <c r="BIA43" s="1044"/>
      <c r="BIB43" s="1044"/>
      <c r="BIC43" s="1044"/>
      <c r="BID43" s="1044"/>
      <c r="BIE43" s="1044"/>
      <c r="BIF43" s="1044"/>
      <c r="BIG43" s="1044"/>
      <c r="BIH43" s="1044"/>
      <c r="BII43" s="1044"/>
      <c r="BIJ43" s="1044"/>
      <c r="BIK43" s="1044"/>
      <c r="BIL43" s="1044"/>
      <c r="BIM43" s="1044"/>
      <c r="BIN43" s="1044"/>
      <c r="BIO43" s="1044"/>
      <c r="BIP43" s="1044"/>
      <c r="BIQ43" s="1044"/>
      <c r="BIR43" s="1044"/>
      <c r="BIS43" s="1044"/>
      <c r="BIT43" s="1044"/>
      <c r="BIU43" s="1044"/>
      <c r="BIV43" s="1044"/>
      <c r="BIW43" s="1044"/>
      <c r="BIX43" s="1044"/>
      <c r="BIY43" s="1044"/>
      <c r="BIZ43" s="1044"/>
      <c r="BJA43" s="1044"/>
      <c r="BJB43" s="1044"/>
      <c r="BJC43" s="1044"/>
      <c r="BJD43" s="1044"/>
      <c r="BJE43" s="1044"/>
      <c r="BJF43" s="1044"/>
      <c r="BJG43" s="1044"/>
      <c r="BJH43" s="1044"/>
      <c r="BJI43" s="1044"/>
      <c r="BJJ43" s="1044"/>
      <c r="BJK43" s="1044"/>
      <c r="BJL43" s="1044"/>
      <c r="BJM43" s="1044"/>
      <c r="BJN43" s="1044"/>
      <c r="BJO43" s="1044"/>
      <c r="BJP43" s="1044"/>
      <c r="BJQ43" s="1044"/>
      <c r="BJR43" s="1044"/>
      <c r="BJS43" s="1044"/>
      <c r="BJT43" s="1044"/>
      <c r="BJU43" s="1044"/>
      <c r="BJV43" s="1044"/>
      <c r="BJW43" s="1044"/>
      <c r="BJX43" s="1044"/>
      <c r="BJY43" s="1044"/>
      <c r="BJZ43" s="1044"/>
      <c r="BKA43" s="1044"/>
      <c r="BKB43" s="1044"/>
      <c r="BKC43" s="1044"/>
      <c r="BKD43" s="1044"/>
      <c r="BKE43" s="1044"/>
      <c r="BKF43" s="1044"/>
      <c r="BKG43" s="1044"/>
      <c r="BKH43" s="1044"/>
      <c r="BKI43" s="1044"/>
      <c r="BKJ43" s="1044"/>
      <c r="BKK43" s="1044"/>
      <c r="BKL43" s="1044"/>
      <c r="BKM43" s="1044"/>
      <c r="BKN43" s="1044"/>
      <c r="BKO43" s="1044"/>
      <c r="BKP43" s="1044"/>
      <c r="BKQ43" s="1044"/>
      <c r="BKR43" s="1044"/>
      <c r="BKS43" s="1044"/>
      <c r="BKT43" s="1044"/>
      <c r="BKU43" s="1044"/>
      <c r="BKV43" s="1044"/>
      <c r="BKW43" s="1044"/>
      <c r="BKX43" s="1044"/>
      <c r="BKY43" s="1044"/>
      <c r="BKZ43" s="1044"/>
      <c r="BLA43" s="1044"/>
      <c r="BLB43" s="1044"/>
      <c r="BLC43" s="1044"/>
      <c r="BLD43" s="1044"/>
      <c r="BLE43" s="1044"/>
      <c r="BLF43" s="1044"/>
      <c r="BLG43" s="1044"/>
      <c r="BLH43" s="1044"/>
      <c r="BLI43" s="1044"/>
      <c r="BLJ43" s="1044"/>
      <c r="BLK43" s="1044"/>
      <c r="BLL43" s="1044"/>
      <c r="BLM43" s="1044"/>
      <c r="BLN43" s="1044"/>
      <c r="BLO43" s="1044"/>
      <c r="BLP43" s="1044"/>
      <c r="BLQ43" s="1044"/>
      <c r="BLR43" s="1044"/>
      <c r="BLS43" s="1044"/>
      <c r="BLT43" s="1044"/>
      <c r="BLU43" s="1044"/>
      <c r="BLV43" s="1044"/>
      <c r="BLW43" s="1044"/>
      <c r="BLX43" s="1044"/>
      <c r="BLY43" s="1044"/>
      <c r="BLZ43" s="1044"/>
      <c r="BMA43" s="1044"/>
      <c r="BMB43" s="1044"/>
      <c r="BMC43" s="1044"/>
      <c r="BMD43" s="1044"/>
      <c r="BME43" s="1044"/>
      <c r="BMF43" s="1044"/>
      <c r="BMG43" s="1044"/>
      <c r="BMH43" s="1044"/>
      <c r="BMI43" s="1044"/>
      <c r="BMJ43" s="1044"/>
      <c r="BMK43" s="1044"/>
      <c r="BML43" s="1044"/>
      <c r="BMM43" s="1044"/>
      <c r="BMN43" s="1044"/>
      <c r="BMO43" s="1044"/>
      <c r="BMP43" s="1044"/>
      <c r="BMQ43" s="1044"/>
      <c r="BMR43" s="1044"/>
      <c r="BMS43" s="1044"/>
      <c r="BMT43" s="1044"/>
      <c r="BMU43" s="1044"/>
      <c r="BMV43" s="1044"/>
      <c r="BMW43" s="1044"/>
      <c r="BMX43" s="1044"/>
      <c r="BMY43" s="1044"/>
      <c r="BMZ43" s="1044"/>
      <c r="BNA43" s="1044"/>
      <c r="BNB43" s="1044"/>
      <c r="BNC43" s="1044"/>
      <c r="BND43" s="1044"/>
      <c r="BNE43" s="1044"/>
      <c r="BNF43" s="1044"/>
      <c r="BNG43" s="1044"/>
      <c r="BNH43" s="1044"/>
      <c r="BNI43" s="1044"/>
      <c r="BNJ43" s="1044"/>
      <c r="BNK43" s="1044"/>
      <c r="BNL43" s="1044"/>
      <c r="BNM43" s="1044"/>
      <c r="BNN43" s="1044"/>
      <c r="BNO43" s="1044"/>
      <c r="BNP43" s="1044"/>
      <c r="BNQ43" s="1044"/>
      <c r="BNR43" s="1044"/>
      <c r="BNS43" s="1044"/>
      <c r="BNT43" s="1044"/>
      <c r="BNU43" s="1044"/>
      <c r="BNV43" s="1044"/>
      <c r="BNW43" s="1044"/>
      <c r="BNX43" s="1044"/>
      <c r="BNY43" s="1044"/>
      <c r="BNZ43" s="1044"/>
      <c r="BOA43" s="1044"/>
      <c r="BOB43" s="1044"/>
      <c r="BOC43" s="1044"/>
      <c r="BOD43" s="1044"/>
      <c r="BOE43" s="1044"/>
      <c r="BOF43" s="1044"/>
      <c r="BOG43" s="1044"/>
      <c r="BOH43" s="1044"/>
      <c r="BOI43" s="1044"/>
      <c r="BOJ43" s="1044"/>
      <c r="BOK43" s="1044"/>
      <c r="BOL43" s="1044"/>
      <c r="BOM43" s="1044"/>
      <c r="BON43" s="1044"/>
      <c r="BOO43" s="1044"/>
      <c r="BOP43" s="1044"/>
      <c r="BOQ43" s="1044"/>
      <c r="BOR43" s="1044"/>
      <c r="BOS43" s="1044"/>
      <c r="BOT43" s="1044"/>
      <c r="BOU43" s="1044"/>
      <c r="BOV43" s="1044"/>
      <c r="BOW43" s="1044"/>
      <c r="BOX43" s="1044"/>
      <c r="BOY43" s="1044"/>
      <c r="BOZ43" s="1044"/>
      <c r="BPA43" s="1044"/>
      <c r="BPB43" s="1044"/>
      <c r="BPC43" s="1044"/>
      <c r="BPD43" s="1044"/>
      <c r="BPE43" s="1044"/>
      <c r="BPF43" s="1044"/>
      <c r="BPG43" s="1044"/>
      <c r="BPH43" s="1044"/>
      <c r="BPI43" s="1044"/>
      <c r="BPJ43" s="1044"/>
      <c r="BPK43" s="1044"/>
      <c r="BPL43" s="1044"/>
      <c r="BPM43" s="1044"/>
      <c r="BPN43" s="1044"/>
      <c r="BPO43" s="1044"/>
      <c r="BPP43" s="1044"/>
      <c r="BPQ43" s="1044"/>
      <c r="BPR43" s="1044"/>
      <c r="BPS43" s="1044"/>
      <c r="BPT43" s="1044"/>
      <c r="BPU43" s="1044"/>
      <c r="BPV43" s="1044"/>
      <c r="BPW43" s="1044"/>
      <c r="BPX43" s="1044"/>
      <c r="BPY43" s="1044"/>
      <c r="BPZ43" s="1044"/>
      <c r="BQA43" s="1044"/>
      <c r="BQB43" s="1044"/>
      <c r="BQC43" s="1044"/>
      <c r="BQD43" s="1044"/>
      <c r="BQE43" s="1044"/>
      <c r="BQF43" s="1044"/>
      <c r="BQG43" s="1044"/>
      <c r="BQH43" s="1044"/>
      <c r="BQI43" s="1044"/>
      <c r="BQJ43" s="1044"/>
      <c r="BQK43" s="1044"/>
      <c r="BQL43" s="1044"/>
      <c r="BQM43" s="1044"/>
      <c r="BQN43" s="1044"/>
      <c r="BQO43" s="1044"/>
      <c r="BQP43" s="1044"/>
      <c r="BQQ43" s="1044"/>
      <c r="BQR43" s="1044"/>
      <c r="BQS43" s="1044"/>
      <c r="BQT43" s="1044"/>
      <c r="BQU43" s="1044"/>
      <c r="BQV43" s="1044"/>
      <c r="BQW43" s="1044"/>
      <c r="BQX43" s="1044"/>
      <c r="BQY43" s="1044"/>
      <c r="BQZ43" s="1044"/>
      <c r="BRA43" s="1044"/>
      <c r="BRB43" s="1044"/>
      <c r="BRC43" s="1044"/>
      <c r="BRD43" s="1044"/>
      <c r="BRE43" s="1044"/>
      <c r="BRF43" s="1044"/>
      <c r="BRG43" s="1044"/>
      <c r="BRH43" s="1044"/>
      <c r="BRI43" s="1044"/>
      <c r="BRJ43" s="1044"/>
      <c r="BRK43" s="1044"/>
      <c r="BRL43" s="1044"/>
      <c r="BRM43" s="1044"/>
      <c r="BRN43" s="1044"/>
      <c r="BRO43" s="1044"/>
      <c r="BRP43" s="1044"/>
      <c r="BRQ43" s="1044"/>
      <c r="BRR43" s="1044"/>
      <c r="BRS43" s="1044"/>
      <c r="BRT43" s="1044"/>
      <c r="BRU43" s="1044"/>
      <c r="BRV43" s="1044"/>
      <c r="BRW43" s="1044"/>
      <c r="BRX43" s="1044"/>
      <c r="BRY43" s="1044"/>
      <c r="BRZ43" s="1044"/>
      <c r="BSA43" s="1044"/>
      <c r="BSB43" s="1044"/>
      <c r="BSC43" s="1044"/>
      <c r="BSD43" s="1044"/>
      <c r="BSE43" s="1044"/>
      <c r="BSF43" s="1044"/>
      <c r="BSG43" s="1044"/>
      <c r="BSH43" s="1044"/>
      <c r="BSI43" s="1044"/>
      <c r="BSJ43" s="1044"/>
      <c r="BSK43" s="1044"/>
      <c r="BSL43" s="1044"/>
      <c r="BSM43" s="1044"/>
      <c r="BSN43" s="1044"/>
      <c r="BSO43" s="1044"/>
      <c r="BSP43" s="1044"/>
      <c r="BSQ43" s="1044"/>
      <c r="BSR43" s="1044"/>
      <c r="BSS43" s="1044"/>
      <c r="BST43" s="1044"/>
      <c r="BSU43" s="1044"/>
      <c r="BSV43" s="1044"/>
      <c r="BSW43" s="1044"/>
      <c r="BSX43" s="1044"/>
      <c r="BSY43" s="1044"/>
      <c r="BSZ43" s="1044"/>
      <c r="BTA43" s="1044"/>
      <c r="BTB43" s="1044"/>
      <c r="BTC43" s="1044"/>
      <c r="BTD43" s="1044"/>
      <c r="BTE43" s="1044"/>
      <c r="BTF43" s="1044"/>
      <c r="BTG43" s="1044"/>
      <c r="BTH43" s="1044"/>
      <c r="BTI43" s="1044"/>
      <c r="BTJ43" s="1044"/>
      <c r="BTK43" s="1044"/>
      <c r="BTL43" s="1044"/>
      <c r="BTM43" s="1044"/>
      <c r="BTN43" s="1044"/>
      <c r="BTO43" s="1044"/>
      <c r="BTP43" s="1044"/>
      <c r="BTQ43" s="1044"/>
      <c r="BTR43" s="1044"/>
      <c r="BTS43" s="1044"/>
      <c r="BTT43" s="1044"/>
      <c r="BTU43" s="1044"/>
      <c r="BTV43" s="1044"/>
      <c r="BTW43" s="1044"/>
      <c r="BTX43" s="1044"/>
      <c r="BTY43" s="1044"/>
      <c r="BTZ43" s="1044"/>
      <c r="BUA43" s="1044"/>
      <c r="BUB43" s="1044"/>
      <c r="BUC43" s="1044"/>
      <c r="BUD43" s="1044"/>
      <c r="BUE43" s="1044"/>
      <c r="BUF43" s="1044"/>
      <c r="BUG43" s="1044"/>
      <c r="BUH43" s="1044"/>
      <c r="BUI43" s="1044"/>
      <c r="BUJ43" s="1044"/>
      <c r="BUK43" s="1044"/>
      <c r="BUL43" s="1044"/>
      <c r="BUM43" s="1044"/>
      <c r="BUN43" s="1044"/>
      <c r="BUO43" s="1044"/>
      <c r="BUP43" s="1044"/>
      <c r="BUQ43" s="1044"/>
      <c r="BUR43" s="1044"/>
      <c r="BUS43" s="1044"/>
      <c r="BUT43" s="1044"/>
      <c r="BUU43" s="1044"/>
      <c r="BUV43" s="1044"/>
      <c r="BUW43" s="1044"/>
      <c r="BUX43" s="1044"/>
      <c r="BUY43" s="1044"/>
      <c r="BUZ43" s="1044"/>
      <c r="BVA43" s="1044"/>
      <c r="BVB43" s="1044"/>
      <c r="BVC43" s="1044"/>
      <c r="BVD43" s="1044"/>
      <c r="BVE43" s="1044"/>
      <c r="BVF43" s="1044"/>
      <c r="BVG43" s="1044"/>
      <c r="BVH43" s="1044"/>
      <c r="BVI43" s="1044"/>
      <c r="BVJ43" s="1044"/>
      <c r="BVK43" s="1044"/>
      <c r="BVL43" s="1044"/>
      <c r="BVM43" s="1044"/>
      <c r="BVN43" s="1044"/>
      <c r="BVO43" s="1044"/>
      <c r="BVP43" s="1044"/>
      <c r="BVQ43" s="1044"/>
      <c r="BVR43" s="1044"/>
      <c r="BVS43" s="1044"/>
      <c r="BVT43" s="1044"/>
      <c r="BVU43" s="1044"/>
      <c r="BVV43" s="1044"/>
      <c r="BVW43" s="1044"/>
      <c r="BVX43" s="1044"/>
      <c r="BVY43" s="1044"/>
      <c r="BVZ43" s="1044"/>
      <c r="BWA43" s="1044"/>
      <c r="BWB43" s="1044"/>
      <c r="BWC43" s="1044"/>
      <c r="BWD43" s="1044"/>
      <c r="BWE43" s="1044"/>
      <c r="BWF43" s="1044"/>
      <c r="BWG43" s="1044"/>
      <c r="BWH43" s="1044"/>
      <c r="BWI43" s="1044"/>
      <c r="BWJ43" s="1044"/>
      <c r="BWK43" s="1044"/>
      <c r="BWL43" s="1044"/>
      <c r="BWM43" s="1044"/>
      <c r="BWN43" s="1044"/>
      <c r="BWO43" s="1044"/>
      <c r="BWP43" s="1044"/>
      <c r="BWQ43" s="1044"/>
      <c r="BWR43" s="1044"/>
      <c r="BWS43" s="1044"/>
      <c r="BWT43" s="1044"/>
      <c r="BWU43" s="1044"/>
      <c r="BWV43" s="1044"/>
      <c r="BWW43" s="1044"/>
      <c r="BWX43" s="1044"/>
      <c r="BWY43" s="1044"/>
      <c r="BWZ43" s="1044"/>
      <c r="BXA43" s="1044"/>
      <c r="BXB43" s="1044"/>
      <c r="BXC43" s="1044"/>
      <c r="BXD43" s="1044"/>
      <c r="BXE43" s="1044"/>
      <c r="BXF43" s="1044"/>
      <c r="BXG43" s="1044"/>
      <c r="BXH43" s="1044"/>
      <c r="BXI43" s="1044"/>
      <c r="BXJ43" s="1044"/>
      <c r="BXK43" s="1044"/>
      <c r="BXL43" s="1044"/>
      <c r="BXM43" s="1044"/>
      <c r="BXN43" s="1044"/>
      <c r="BXO43" s="1044"/>
      <c r="BXP43" s="1044"/>
      <c r="BXQ43" s="1044"/>
      <c r="BXR43" s="1044"/>
      <c r="BXS43" s="1044"/>
      <c r="BXT43" s="1044"/>
      <c r="BXU43" s="1044"/>
      <c r="BXV43" s="1044"/>
      <c r="BXW43" s="1044"/>
      <c r="BXX43" s="1044"/>
      <c r="BXY43" s="1044"/>
      <c r="BXZ43" s="1044"/>
      <c r="BYA43" s="1044"/>
      <c r="BYB43" s="1044"/>
      <c r="BYC43" s="1044"/>
      <c r="BYD43" s="1044"/>
      <c r="BYE43" s="1044"/>
      <c r="BYF43" s="1044"/>
      <c r="BYG43" s="1044"/>
      <c r="BYH43" s="1044"/>
      <c r="BYI43" s="1044"/>
      <c r="BYJ43" s="1044"/>
      <c r="BYK43" s="1044"/>
      <c r="BYL43" s="1044"/>
      <c r="BYM43" s="1044"/>
      <c r="BYN43" s="1044"/>
      <c r="BYO43" s="1044"/>
      <c r="BYP43" s="1044"/>
      <c r="BYQ43" s="1044"/>
      <c r="BYR43" s="1044"/>
      <c r="BYS43" s="1044"/>
      <c r="BYT43" s="1044"/>
      <c r="BYU43" s="1044"/>
      <c r="BYV43" s="1044"/>
      <c r="BYW43" s="1044"/>
      <c r="BYX43" s="1044"/>
      <c r="BYY43" s="1044"/>
      <c r="BYZ43" s="1044"/>
      <c r="BZA43" s="1044"/>
      <c r="BZB43" s="1044"/>
      <c r="BZC43" s="1044"/>
      <c r="BZD43" s="1044"/>
      <c r="BZE43" s="1044"/>
      <c r="BZF43" s="1044"/>
      <c r="BZG43" s="1044"/>
      <c r="BZH43" s="1044"/>
      <c r="BZI43" s="1044"/>
      <c r="BZJ43" s="1044"/>
      <c r="BZK43" s="1044"/>
      <c r="BZL43" s="1044"/>
      <c r="BZM43" s="1044"/>
      <c r="BZN43" s="1044"/>
      <c r="BZO43" s="1044"/>
      <c r="BZP43" s="1044"/>
      <c r="BZQ43" s="1044"/>
      <c r="BZR43" s="1044"/>
      <c r="BZS43" s="1044"/>
      <c r="BZT43" s="1044"/>
      <c r="BZU43" s="1044"/>
      <c r="BZV43" s="1044"/>
      <c r="BZW43" s="1044"/>
      <c r="BZX43" s="1044"/>
      <c r="BZY43" s="1044"/>
      <c r="BZZ43" s="1044"/>
      <c r="CAA43" s="1044"/>
      <c r="CAB43" s="1044"/>
      <c r="CAC43" s="1044"/>
      <c r="CAD43" s="1044"/>
      <c r="CAE43" s="1044"/>
      <c r="CAF43" s="1044"/>
      <c r="CAG43" s="1044"/>
      <c r="CAH43" s="1044"/>
      <c r="CAI43" s="1044"/>
      <c r="CAJ43" s="1044"/>
      <c r="CAK43" s="1044"/>
      <c r="CAL43" s="1044"/>
      <c r="CAM43" s="1044"/>
      <c r="CAN43" s="1044"/>
      <c r="CAO43" s="1044"/>
      <c r="CAP43" s="1044"/>
      <c r="CAQ43" s="1044"/>
      <c r="CAR43" s="1044"/>
      <c r="CAS43" s="1044"/>
      <c r="CAT43" s="1044"/>
      <c r="CAU43" s="1044"/>
      <c r="CAV43" s="1044"/>
      <c r="CAW43" s="1044"/>
      <c r="CAX43" s="1044"/>
      <c r="CAY43" s="1044"/>
      <c r="CAZ43" s="1044"/>
      <c r="CBA43" s="1044"/>
      <c r="CBB43" s="1044"/>
      <c r="CBC43" s="1044"/>
      <c r="CBD43" s="1044"/>
      <c r="CBE43" s="1044"/>
      <c r="CBF43" s="1044"/>
      <c r="CBG43" s="1044"/>
      <c r="CBH43" s="1044"/>
      <c r="CBI43" s="1044"/>
      <c r="CBJ43" s="1044"/>
      <c r="CBK43" s="1044"/>
      <c r="CBL43" s="1044"/>
      <c r="CBM43" s="1044"/>
      <c r="CBN43" s="1044"/>
      <c r="CBO43" s="1044"/>
      <c r="CBP43" s="1044"/>
      <c r="CBQ43" s="1044"/>
      <c r="CBR43" s="1044"/>
      <c r="CBS43" s="1044"/>
      <c r="CBT43" s="1044"/>
      <c r="CBU43" s="1044"/>
      <c r="CBV43" s="1044"/>
      <c r="CBW43" s="1044"/>
      <c r="CBX43" s="1044"/>
      <c r="CBY43" s="1044"/>
      <c r="CBZ43" s="1044"/>
      <c r="CCA43" s="1044"/>
      <c r="CCB43" s="1044"/>
      <c r="CCC43" s="1044"/>
      <c r="CCD43" s="1044"/>
      <c r="CCE43" s="1044"/>
      <c r="CCF43" s="1044"/>
      <c r="CCG43" s="1044"/>
      <c r="CCH43" s="1044"/>
      <c r="CCI43" s="1044"/>
      <c r="CCJ43" s="1044"/>
      <c r="CCK43" s="1044"/>
      <c r="CCL43" s="1044"/>
      <c r="CCM43" s="1044"/>
      <c r="CCN43" s="1044"/>
      <c r="CCO43" s="1044"/>
      <c r="CCP43" s="1044"/>
      <c r="CCQ43" s="1044"/>
      <c r="CCR43" s="1044"/>
      <c r="CCS43" s="1044"/>
      <c r="CCT43" s="1044"/>
      <c r="CCU43" s="1044"/>
      <c r="CCV43" s="1044"/>
      <c r="CCW43" s="1044"/>
      <c r="CCX43" s="1044"/>
      <c r="CCY43" s="1044"/>
      <c r="CCZ43" s="1044"/>
      <c r="CDA43" s="1044"/>
      <c r="CDB43" s="1044"/>
      <c r="CDC43" s="1044"/>
      <c r="CDD43" s="1044"/>
      <c r="CDE43" s="1044"/>
      <c r="CDF43" s="1044"/>
      <c r="CDG43" s="1044"/>
      <c r="CDH43" s="1044"/>
      <c r="CDI43" s="1044"/>
      <c r="CDJ43" s="1044"/>
      <c r="CDK43" s="1044"/>
      <c r="CDL43" s="1044"/>
      <c r="CDM43" s="1044"/>
      <c r="CDN43" s="1044"/>
      <c r="CDO43" s="1044"/>
      <c r="CDP43" s="1044"/>
      <c r="CDQ43" s="1044"/>
      <c r="CDR43" s="1044"/>
      <c r="CDS43" s="1044"/>
      <c r="CDT43" s="1044"/>
      <c r="CDU43" s="1044"/>
      <c r="CDV43" s="1044"/>
      <c r="CDW43" s="1044"/>
      <c r="CDX43" s="1044"/>
      <c r="CDY43" s="1044"/>
      <c r="CDZ43" s="1044"/>
      <c r="CEA43" s="1044"/>
      <c r="CEB43" s="1044"/>
      <c r="CEC43" s="1044"/>
      <c r="CED43" s="1044"/>
      <c r="CEE43" s="1044"/>
      <c r="CEF43" s="1044"/>
      <c r="CEG43" s="1044"/>
      <c r="CEH43" s="1044"/>
      <c r="CEI43" s="1044"/>
      <c r="CEJ43" s="1044"/>
      <c r="CEK43" s="1044"/>
      <c r="CEL43" s="1044"/>
      <c r="CEM43" s="1044"/>
      <c r="CEN43" s="1044"/>
      <c r="CEO43" s="1044"/>
      <c r="CEP43" s="1044"/>
      <c r="CEQ43" s="1044"/>
      <c r="CER43" s="1044"/>
      <c r="CES43" s="1044"/>
      <c r="CET43" s="1044"/>
      <c r="CEU43" s="1044"/>
      <c r="CEV43" s="1044"/>
      <c r="CEW43" s="1044"/>
      <c r="CEX43" s="1044"/>
      <c r="CEY43" s="1044"/>
      <c r="CEZ43" s="1044"/>
      <c r="CFA43" s="1044"/>
      <c r="CFB43" s="1044"/>
      <c r="CFC43" s="1044"/>
      <c r="CFD43" s="1044"/>
      <c r="CFE43" s="1044"/>
      <c r="CFF43" s="1044"/>
      <c r="CFG43" s="1044"/>
      <c r="CFH43" s="1044"/>
      <c r="CFI43" s="1044"/>
      <c r="CFJ43" s="1044"/>
      <c r="CFK43" s="1044"/>
      <c r="CFL43" s="1044"/>
      <c r="CFM43" s="1044"/>
      <c r="CFN43" s="1044"/>
      <c r="CFO43" s="1044"/>
      <c r="CFP43" s="1044"/>
      <c r="CFQ43" s="1044"/>
      <c r="CFR43" s="1044"/>
      <c r="CFS43" s="1044"/>
      <c r="CFT43" s="1044"/>
      <c r="CFU43" s="1044"/>
      <c r="CFV43" s="1044"/>
      <c r="CFW43" s="1044"/>
      <c r="CFX43" s="1044"/>
      <c r="CFY43" s="1044"/>
      <c r="CFZ43" s="1044"/>
      <c r="CGA43" s="1044"/>
      <c r="CGB43" s="1044"/>
      <c r="CGC43" s="1044"/>
      <c r="CGD43" s="1044"/>
      <c r="CGE43" s="1044"/>
      <c r="CGF43" s="1044"/>
      <c r="CGG43" s="1044"/>
      <c r="CGH43" s="1044"/>
      <c r="CGI43" s="1044"/>
      <c r="CGJ43" s="1044"/>
      <c r="CGK43" s="1044"/>
      <c r="CGL43" s="1044"/>
      <c r="CGM43" s="1044"/>
      <c r="CGN43" s="1044"/>
      <c r="CGO43" s="1044"/>
      <c r="CGP43" s="1044"/>
      <c r="CGQ43" s="1044"/>
      <c r="CGR43" s="1044"/>
      <c r="CGS43" s="1044"/>
      <c r="CGT43" s="1044"/>
      <c r="CGU43" s="1044"/>
      <c r="CGV43" s="1044"/>
      <c r="CGW43" s="1044"/>
      <c r="CGX43" s="1044"/>
      <c r="CGY43" s="1044"/>
      <c r="CGZ43" s="1044"/>
      <c r="CHA43" s="1044"/>
      <c r="CHB43" s="1044"/>
      <c r="CHC43" s="1044"/>
      <c r="CHD43" s="1044"/>
      <c r="CHE43" s="1044"/>
      <c r="CHF43" s="1044"/>
      <c r="CHG43" s="1044"/>
      <c r="CHH43" s="1044"/>
      <c r="CHI43" s="1044"/>
      <c r="CHJ43" s="1044"/>
      <c r="CHK43" s="1044"/>
      <c r="CHL43" s="1044"/>
      <c r="CHM43" s="1044"/>
      <c r="CHN43" s="1044"/>
      <c r="CHO43" s="1044"/>
      <c r="CHP43" s="1044"/>
      <c r="CHQ43" s="1044"/>
      <c r="CHR43" s="1044"/>
      <c r="CHS43" s="1044"/>
      <c r="CHT43" s="1044"/>
      <c r="CHU43" s="1044"/>
      <c r="CHV43" s="1044"/>
      <c r="CHW43" s="1044"/>
      <c r="CHX43" s="1044"/>
      <c r="CHY43" s="1044"/>
      <c r="CHZ43" s="1044"/>
      <c r="CIA43" s="1044"/>
      <c r="CIB43" s="1044"/>
      <c r="CIC43" s="1044"/>
      <c r="CID43" s="1044"/>
      <c r="CIE43" s="1044"/>
      <c r="CIF43" s="1044"/>
      <c r="CIG43" s="1044"/>
      <c r="CIH43" s="1044"/>
      <c r="CII43" s="1044"/>
      <c r="CIJ43" s="1044"/>
      <c r="CIK43" s="1044"/>
      <c r="CIL43" s="1044"/>
      <c r="CIM43" s="1044"/>
      <c r="CIN43" s="1044"/>
      <c r="CIO43" s="1044"/>
      <c r="CIP43" s="1044"/>
      <c r="CIQ43" s="1044"/>
      <c r="CIR43" s="1044"/>
      <c r="CIS43" s="1044"/>
      <c r="CIT43" s="1044"/>
      <c r="CIU43" s="1044"/>
      <c r="CIV43" s="1044"/>
      <c r="CIW43" s="1044"/>
      <c r="CIX43" s="1044"/>
      <c r="CIY43" s="1044"/>
      <c r="CIZ43" s="1044"/>
      <c r="CJA43" s="1044"/>
      <c r="CJB43" s="1044"/>
      <c r="CJC43" s="1044"/>
      <c r="CJD43" s="1044"/>
      <c r="CJE43" s="1044"/>
      <c r="CJF43" s="1044"/>
      <c r="CJG43" s="1044"/>
      <c r="CJH43" s="1044"/>
      <c r="CJI43" s="1044"/>
      <c r="CJJ43" s="1044"/>
      <c r="CJK43" s="1044"/>
      <c r="CJL43" s="1044"/>
      <c r="CJM43" s="1044"/>
      <c r="CJN43" s="1044"/>
      <c r="CJO43" s="1044"/>
      <c r="CJP43" s="1044"/>
      <c r="CJQ43" s="1044"/>
      <c r="CJR43" s="1044"/>
      <c r="CJS43" s="1044"/>
      <c r="CJT43" s="1044"/>
      <c r="CJU43" s="1044"/>
      <c r="CJV43" s="1044"/>
      <c r="CJW43" s="1044"/>
      <c r="CJX43" s="1044"/>
      <c r="CJY43" s="1044"/>
      <c r="CJZ43" s="1044"/>
      <c r="CKA43" s="1044"/>
      <c r="CKB43" s="1044"/>
      <c r="CKC43" s="1044"/>
      <c r="CKD43" s="1044"/>
      <c r="CKE43" s="1044"/>
      <c r="CKF43" s="1044"/>
      <c r="CKG43" s="1044"/>
      <c r="CKH43" s="1044"/>
      <c r="CKI43" s="1044"/>
      <c r="CKJ43" s="1044"/>
      <c r="CKK43" s="1044"/>
      <c r="CKL43" s="1044"/>
      <c r="CKM43" s="1044"/>
      <c r="CKN43" s="1044"/>
      <c r="CKO43" s="1044"/>
      <c r="CKP43" s="1044"/>
      <c r="CKQ43" s="1044"/>
      <c r="CKR43" s="1044"/>
      <c r="CKS43" s="1044"/>
      <c r="CKT43" s="1044"/>
      <c r="CKU43" s="1044"/>
      <c r="CKV43" s="1044"/>
      <c r="CKW43" s="1044"/>
      <c r="CKX43" s="1044"/>
      <c r="CKY43" s="1044"/>
      <c r="CKZ43" s="1044"/>
      <c r="CLA43" s="1044"/>
      <c r="CLB43" s="1044"/>
      <c r="CLC43" s="1044"/>
      <c r="CLD43" s="1044"/>
      <c r="CLE43" s="1044"/>
      <c r="CLF43" s="1044"/>
      <c r="CLG43" s="1044"/>
      <c r="CLH43" s="1044"/>
      <c r="CLI43" s="1044"/>
      <c r="CLJ43" s="1044"/>
      <c r="CLK43" s="1044"/>
      <c r="CLL43" s="1044"/>
      <c r="CLM43" s="1044"/>
      <c r="CLN43" s="1044"/>
      <c r="CLO43" s="1044"/>
      <c r="CLP43" s="1044"/>
      <c r="CLQ43" s="1044"/>
      <c r="CLR43" s="1044"/>
      <c r="CLS43" s="1044"/>
      <c r="CLT43" s="1044"/>
      <c r="CLU43" s="1044"/>
      <c r="CLV43" s="1044"/>
      <c r="CLW43" s="1044"/>
      <c r="CLX43" s="1044"/>
      <c r="CLY43" s="1044"/>
      <c r="CLZ43" s="1044"/>
      <c r="CMA43" s="1044"/>
      <c r="CMB43" s="1044"/>
      <c r="CMC43" s="1044"/>
      <c r="CMD43" s="1044"/>
      <c r="CME43" s="1044"/>
      <c r="CMF43" s="1044"/>
      <c r="CMG43" s="1044"/>
      <c r="CMH43" s="1044"/>
      <c r="CMI43" s="1044"/>
      <c r="CMJ43" s="1044"/>
      <c r="CMK43" s="1044"/>
      <c r="CML43" s="1044"/>
      <c r="CMM43" s="1044"/>
      <c r="CMN43" s="1044"/>
      <c r="CMO43" s="1044"/>
      <c r="CMP43" s="1044"/>
      <c r="CMQ43" s="1044"/>
      <c r="CMR43" s="1044"/>
      <c r="CMS43" s="1044"/>
      <c r="CMT43" s="1044"/>
      <c r="CMU43" s="1044"/>
      <c r="CMV43" s="1044"/>
      <c r="CMW43" s="1044"/>
      <c r="CMX43" s="1044"/>
      <c r="CMY43" s="1044"/>
      <c r="CMZ43" s="1044"/>
      <c r="CNA43" s="1044"/>
      <c r="CNB43" s="1044"/>
      <c r="CNC43" s="1044"/>
      <c r="CND43" s="1044"/>
      <c r="CNE43" s="1044"/>
      <c r="CNF43" s="1044"/>
      <c r="CNG43" s="1044"/>
      <c r="CNH43" s="1044"/>
      <c r="CNI43" s="1044"/>
      <c r="CNJ43" s="1044"/>
      <c r="CNK43" s="1044"/>
      <c r="CNL43" s="1044"/>
      <c r="CNM43" s="1044"/>
      <c r="CNN43" s="1044"/>
      <c r="CNO43" s="1044"/>
      <c r="CNP43" s="1044"/>
      <c r="CNQ43" s="1044"/>
      <c r="CNR43" s="1044"/>
      <c r="CNS43" s="1044"/>
      <c r="CNT43" s="1044"/>
      <c r="CNU43" s="1044"/>
      <c r="CNV43" s="1044"/>
      <c r="CNW43" s="1044"/>
      <c r="CNX43" s="1044"/>
      <c r="CNY43" s="1044"/>
      <c r="CNZ43" s="1044"/>
      <c r="COA43" s="1044"/>
      <c r="COB43" s="1044"/>
      <c r="COC43" s="1044"/>
      <c r="COD43" s="1044"/>
      <c r="COE43" s="1044"/>
      <c r="COF43" s="1044"/>
      <c r="COG43" s="1044"/>
      <c r="COH43" s="1044"/>
      <c r="COI43" s="1044"/>
      <c r="COJ43" s="1044"/>
      <c r="COK43" s="1044"/>
      <c r="COL43" s="1044"/>
      <c r="COM43" s="1044"/>
      <c r="CON43" s="1044"/>
      <c r="COO43" s="1044"/>
      <c r="COP43" s="1044"/>
      <c r="COQ43" s="1044"/>
      <c r="COR43" s="1044"/>
      <c r="COS43" s="1044"/>
      <c r="COT43" s="1044"/>
      <c r="COU43" s="1044"/>
      <c r="COV43" s="1044"/>
      <c r="COW43" s="1044"/>
      <c r="COX43" s="1044"/>
      <c r="COY43" s="1044"/>
      <c r="COZ43" s="1044"/>
      <c r="CPA43" s="1044"/>
      <c r="CPB43" s="1044"/>
      <c r="CPC43" s="1044"/>
      <c r="CPD43" s="1044"/>
      <c r="CPE43" s="1044"/>
      <c r="CPF43" s="1044"/>
      <c r="CPG43" s="1044"/>
      <c r="CPH43" s="1044"/>
      <c r="CPI43" s="1044"/>
      <c r="CPJ43" s="1044"/>
      <c r="CPK43" s="1044"/>
      <c r="CPL43" s="1044"/>
      <c r="CPM43" s="1044"/>
      <c r="CPN43" s="1044"/>
      <c r="CPO43" s="1044"/>
      <c r="CPP43" s="1044"/>
      <c r="CPQ43" s="1044"/>
      <c r="CPR43" s="1044"/>
      <c r="CPS43" s="1044"/>
      <c r="CPT43" s="1044"/>
      <c r="CPU43" s="1044"/>
      <c r="CPV43" s="1044"/>
      <c r="CPW43" s="1044"/>
      <c r="CPX43" s="1044"/>
      <c r="CPY43" s="1044"/>
      <c r="CPZ43" s="1044"/>
      <c r="CQA43" s="1044"/>
      <c r="CQB43" s="1044"/>
      <c r="CQC43" s="1044"/>
      <c r="CQD43" s="1044"/>
      <c r="CQE43" s="1044"/>
      <c r="CQF43" s="1044"/>
      <c r="CQG43" s="1044"/>
      <c r="CQH43" s="1044"/>
      <c r="CQI43" s="1044"/>
      <c r="CQJ43" s="1044"/>
      <c r="CQK43" s="1044"/>
      <c r="CQL43" s="1044"/>
      <c r="CQM43" s="1044"/>
      <c r="CQN43" s="1044"/>
      <c r="CQO43" s="1044"/>
      <c r="CQP43" s="1044"/>
      <c r="CQQ43" s="1044"/>
      <c r="CQR43" s="1044"/>
      <c r="CQS43" s="1044"/>
      <c r="CQT43" s="1044"/>
      <c r="CQU43" s="1044"/>
      <c r="CQV43" s="1044"/>
      <c r="CQW43" s="1044"/>
      <c r="CQX43" s="1044"/>
      <c r="CQY43" s="1044"/>
      <c r="CQZ43" s="1044"/>
      <c r="CRA43" s="1044"/>
      <c r="CRB43" s="1044"/>
      <c r="CRC43" s="1044"/>
      <c r="CRD43" s="1044"/>
      <c r="CRE43" s="1044"/>
      <c r="CRF43" s="1044"/>
      <c r="CRG43" s="1044"/>
      <c r="CRH43" s="1044"/>
      <c r="CRI43" s="1044"/>
      <c r="CRJ43" s="1044"/>
      <c r="CRK43" s="1044"/>
      <c r="CRL43" s="1044"/>
      <c r="CRM43" s="1044"/>
      <c r="CRN43" s="1044"/>
      <c r="CRO43" s="1044"/>
      <c r="CRP43" s="1044"/>
      <c r="CRQ43" s="1044"/>
      <c r="CRR43" s="1044"/>
      <c r="CRS43" s="1044"/>
      <c r="CRT43" s="1044"/>
      <c r="CRU43" s="1044"/>
      <c r="CRV43" s="1044"/>
      <c r="CRW43" s="1044"/>
      <c r="CRX43" s="1044"/>
      <c r="CRY43" s="1044"/>
      <c r="CRZ43" s="1044"/>
      <c r="CSA43" s="1044"/>
      <c r="CSB43" s="1044"/>
      <c r="CSC43" s="1044"/>
      <c r="CSD43" s="1044"/>
      <c r="CSE43" s="1044"/>
      <c r="CSF43" s="1044"/>
      <c r="CSG43" s="1044"/>
      <c r="CSH43" s="1044"/>
      <c r="CSI43" s="1044"/>
      <c r="CSJ43" s="1044"/>
      <c r="CSK43" s="1044"/>
      <c r="CSL43" s="1044"/>
      <c r="CSM43" s="1044"/>
      <c r="CSN43" s="1044"/>
      <c r="CSO43" s="1044"/>
      <c r="CSP43" s="1044"/>
      <c r="CSQ43" s="1044"/>
      <c r="CSR43" s="1044"/>
      <c r="CSS43" s="1044"/>
      <c r="CST43" s="1044"/>
      <c r="CSU43" s="1044"/>
      <c r="CSV43" s="1044"/>
      <c r="CSW43" s="1044"/>
      <c r="CSX43" s="1044"/>
      <c r="CSY43" s="1044"/>
      <c r="CSZ43" s="1044"/>
      <c r="CTA43" s="1044"/>
      <c r="CTB43" s="1044"/>
      <c r="CTC43" s="1044"/>
      <c r="CTD43" s="1044"/>
      <c r="CTE43" s="1044"/>
      <c r="CTF43" s="1044"/>
      <c r="CTG43" s="1044"/>
      <c r="CTH43" s="1044"/>
      <c r="CTI43" s="1044"/>
      <c r="CTJ43" s="1044"/>
      <c r="CTK43" s="1044"/>
      <c r="CTL43" s="1044"/>
      <c r="CTM43" s="1044"/>
      <c r="CTN43" s="1044"/>
      <c r="CTO43" s="1044"/>
      <c r="CTP43" s="1044"/>
      <c r="CTQ43" s="1044"/>
      <c r="CTR43" s="1044"/>
      <c r="CTS43" s="1044"/>
      <c r="CTT43" s="1044"/>
      <c r="CTU43" s="1044"/>
      <c r="CTV43" s="1044"/>
      <c r="CTW43" s="1044"/>
      <c r="CTX43" s="1044"/>
      <c r="CTY43" s="1044"/>
      <c r="CTZ43" s="1044"/>
      <c r="CUA43" s="1044"/>
      <c r="CUB43" s="1044"/>
      <c r="CUC43" s="1044"/>
      <c r="CUD43" s="1044"/>
      <c r="CUE43" s="1044"/>
      <c r="CUF43" s="1044"/>
      <c r="CUG43" s="1044"/>
      <c r="CUH43" s="1044"/>
      <c r="CUI43" s="1044"/>
      <c r="CUJ43" s="1044"/>
      <c r="CUK43" s="1044"/>
      <c r="CUL43" s="1044"/>
      <c r="CUM43" s="1044"/>
      <c r="CUN43" s="1044"/>
      <c r="CUO43" s="1044"/>
      <c r="CUP43" s="1044"/>
      <c r="CUQ43" s="1044"/>
      <c r="CUR43" s="1044"/>
      <c r="CUS43" s="1044"/>
      <c r="CUT43" s="1044"/>
      <c r="CUU43" s="1044"/>
      <c r="CUV43" s="1044"/>
      <c r="CUW43" s="1044"/>
      <c r="CUX43" s="1044"/>
      <c r="CUY43" s="1044"/>
      <c r="CUZ43" s="1044"/>
      <c r="CVA43" s="1044"/>
      <c r="CVB43" s="1044"/>
      <c r="CVC43" s="1044"/>
      <c r="CVD43" s="1044"/>
      <c r="CVE43" s="1044"/>
      <c r="CVF43" s="1044"/>
      <c r="CVG43" s="1044"/>
      <c r="CVH43" s="1044"/>
      <c r="CVI43" s="1044"/>
      <c r="CVJ43" s="1044"/>
      <c r="CVK43" s="1044"/>
      <c r="CVL43" s="1044"/>
      <c r="CVM43" s="1044"/>
      <c r="CVN43" s="1044"/>
      <c r="CVO43" s="1044"/>
      <c r="CVP43" s="1044"/>
      <c r="CVQ43" s="1044"/>
      <c r="CVR43" s="1044"/>
      <c r="CVS43" s="1044"/>
      <c r="CVT43" s="1044"/>
      <c r="CVU43" s="1044"/>
      <c r="CVV43" s="1044"/>
      <c r="CVW43" s="1044"/>
      <c r="CVX43" s="1044"/>
      <c r="CVY43" s="1044"/>
      <c r="CVZ43" s="1044"/>
      <c r="CWA43" s="1044"/>
      <c r="CWB43" s="1044"/>
      <c r="CWC43" s="1044"/>
      <c r="CWD43" s="1044"/>
      <c r="CWE43" s="1044"/>
      <c r="CWF43" s="1044"/>
      <c r="CWG43" s="1044"/>
      <c r="CWH43" s="1044"/>
      <c r="CWI43" s="1044"/>
      <c r="CWJ43" s="1044"/>
      <c r="CWK43" s="1044"/>
      <c r="CWL43" s="1044"/>
      <c r="CWM43" s="1044"/>
      <c r="CWN43" s="1044"/>
      <c r="CWO43" s="1044"/>
      <c r="CWP43" s="1044"/>
      <c r="CWQ43" s="1044"/>
      <c r="CWR43" s="1044"/>
      <c r="CWS43" s="1044"/>
      <c r="CWT43" s="1044"/>
      <c r="CWU43" s="1044"/>
      <c r="CWV43" s="1044"/>
      <c r="CWW43" s="1044"/>
      <c r="CWX43" s="1044"/>
      <c r="CWY43" s="1044"/>
      <c r="CWZ43" s="1044"/>
      <c r="CXA43" s="1044"/>
      <c r="CXB43" s="1044"/>
      <c r="CXC43" s="1044"/>
      <c r="CXD43" s="1044"/>
      <c r="CXE43" s="1044"/>
      <c r="CXF43" s="1044"/>
      <c r="CXG43" s="1044"/>
      <c r="CXH43" s="1044"/>
      <c r="CXI43" s="1044"/>
      <c r="CXJ43" s="1044"/>
      <c r="CXK43" s="1044"/>
      <c r="CXL43" s="1044"/>
      <c r="CXM43" s="1044"/>
      <c r="CXN43" s="1044"/>
      <c r="CXO43" s="1044"/>
      <c r="CXP43" s="1044"/>
      <c r="CXQ43" s="1044"/>
      <c r="CXR43" s="1044"/>
      <c r="CXS43" s="1044"/>
      <c r="CXT43" s="1044"/>
      <c r="CXU43" s="1044"/>
      <c r="CXV43" s="1044"/>
      <c r="CXW43" s="1044"/>
      <c r="CXX43" s="1044"/>
      <c r="CXY43" s="1044"/>
      <c r="CXZ43" s="1044"/>
      <c r="CYA43" s="1044"/>
      <c r="CYB43" s="1044"/>
      <c r="CYC43" s="1044"/>
      <c r="CYD43" s="1044"/>
      <c r="CYE43" s="1044"/>
      <c r="CYF43" s="1044"/>
      <c r="CYG43" s="1044"/>
      <c r="CYH43" s="1044"/>
      <c r="CYI43" s="1044"/>
      <c r="CYJ43" s="1044"/>
      <c r="CYK43" s="1044"/>
      <c r="CYL43" s="1044"/>
      <c r="CYM43" s="1044"/>
      <c r="CYN43" s="1044"/>
      <c r="CYO43" s="1044"/>
      <c r="CYP43" s="1044"/>
      <c r="CYQ43" s="1044"/>
      <c r="CYR43" s="1044"/>
      <c r="CYS43" s="1044"/>
      <c r="CYT43" s="1044"/>
      <c r="CYU43" s="1044"/>
      <c r="CYV43" s="1044"/>
      <c r="CYW43" s="1044"/>
      <c r="CYX43" s="1044"/>
      <c r="CYY43" s="1044"/>
      <c r="CYZ43" s="1044"/>
      <c r="CZA43" s="1044"/>
      <c r="CZB43" s="1044"/>
      <c r="CZC43" s="1044"/>
      <c r="CZD43" s="1044"/>
      <c r="CZE43" s="1044"/>
      <c r="CZF43" s="1044"/>
      <c r="CZG43" s="1044"/>
      <c r="CZH43" s="1044"/>
      <c r="CZI43" s="1044"/>
      <c r="CZJ43" s="1044"/>
      <c r="CZK43" s="1044"/>
      <c r="CZL43" s="1044"/>
      <c r="CZM43" s="1044"/>
      <c r="CZN43" s="1044"/>
      <c r="CZO43" s="1044"/>
      <c r="CZP43" s="1044"/>
      <c r="CZQ43" s="1044"/>
      <c r="CZR43" s="1044"/>
      <c r="CZS43" s="1044"/>
      <c r="CZT43" s="1044"/>
      <c r="CZU43" s="1044"/>
      <c r="CZV43" s="1044"/>
      <c r="CZW43" s="1044"/>
      <c r="CZX43" s="1044"/>
      <c r="CZY43" s="1044"/>
      <c r="CZZ43" s="1044"/>
      <c r="DAA43" s="1044"/>
      <c r="DAB43" s="1044"/>
      <c r="DAC43" s="1044"/>
      <c r="DAD43" s="1044"/>
      <c r="DAE43" s="1044"/>
      <c r="DAF43" s="1044"/>
      <c r="DAG43" s="1044"/>
      <c r="DAH43" s="1044"/>
      <c r="DAI43" s="1044"/>
      <c r="DAJ43" s="1044"/>
      <c r="DAK43" s="1044"/>
      <c r="DAL43" s="1044"/>
      <c r="DAM43" s="1044"/>
      <c r="DAN43" s="1044"/>
      <c r="DAO43" s="1044"/>
      <c r="DAP43" s="1044"/>
      <c r="DAQ43" s="1044"/>
      <c r="DAR43" s="1044"/>
      <c r="DAS43" s="1044"/>
      <c r="DAT43" s="1044"/>
      <c r="DAU43" s="1044"/>
      <c r="DAV43" s="1044"/>
      <c r="DAW43" s="1044"/>
      <c r="DAX43" s="1044"/>
      <c r="DAY43" s="1044"/>
      <c r="DAZ43" s="1044"/>
      <c r="DBA43" s="1044"/>
      <c r="DBB43" s="1044"/>
      <c r="DBC43" s="1044"/>
      <c r="DBD43" s="1044"/>
      <c r="DBE43" s="1044"/>
      <c r="DBF43" s="1044"/>
      <c r="DBG43" s="1044"/>
      <c r="DBH43" s="1044"/>
      <c r="DBI43" s="1044"/>
      <c r="DBJ43" s="1044"/>
      <c r="DBK43" s="1044"/>
      <c r="DBL43" s="1044"/>
      <c r="DBM43" s="1044"/>
      <c r="DBN43" s="1044"/>
      <c r="DBO43" s="1044"/>
      <c r="DBP43" s="1044"/>
      <c r="DBQ43" s="1044"/>
      <c r="DBR43" s="1044"/>
      <c r="DBS43" s="1044"/>
      <c r="DBT43" s="1044"/>
      <c r="DBU43" s="1044"/>
      <c r="DBV43" s="1044"/>
      <c r="DBW43" s="1044"/>
      <c r="DBX43" s="1044"/>
      <c r="DBY43" s="1044"/>
      <c r="DBZ43" s="1044"/>
      <c r="DCA43" s="1044"/>
      <c r="DCB43" s="1044"/>
      <c r="DCC43" s="1044"/>
      <c r="DCD43" s="1044"/>
      <c r="DCE43" s="1044"/>
      <c r="DCF43" s="1044"/>
      <c r="DCG43" s="1044"/>
      <c r="DCH43" s="1044"/>
      <c r="DCI43" s="1044"/>
      <c r="DCJ43" s="1044"/>
      <c r="DCK43" s="1044"/>
      <c r="DCL43" s="1044"/>
      <c r="DCM43" s="1044"/>
      <c r="DCN43" s="1044"/>
      <c r="DCO43" s="1044"/>
      <c r="DCP43" s="1044"/>
      <c r="DCQ43" s="1044"/>
      <c r="DCR43" s="1044"/>
      <c r="DCS43" s="1044"/>
      <c r="DCT43" s="1044"/>
      <c r="DCU43" s="1044"/>
      <c r="DCV43" s="1044"/>
      <c r="DCW43" s="1044"/>
      <c r="DCX43" s="1044"/>
      <c r="DCY43" s="1044"/>
      <c r="DCZ43" s="1044"/>
      <c r="DDA43" s="1044"/>
      <c r="DDB43" s="1044"/>
      <c r="DDC43" s="1044"/>
      <c r="DDD43" s="1044"/>
      <c r="DDE43" s="1044"/>
      <c r="DDF43" s="1044"/>
      <c r="DDG43" s="1044"/>
      <c r="DDH43" s="1044"/>
      <c r="DDI43" s="1044"/>
      <c r="DDJ43" s="1044"/>
      <c r="DDK43" s="1044"/>
      <c r="DDL43" s="1044"/>
      <c r="DDM43" s="1044"/>
      <c r="DDN43" s="1044"/>
      <c r="DDO43" s="1044"/>
      <c r="DDP43" s="1044"/>
      <c r="DDQ43" s="1044"/>
      <c r="DDR43" s="1044"/>
      <c r="DDS43" s="1044"/>
      <c r="DDT43" s="1044"/>
      <c r="DDU43" s="1044"/>
      <c r="DDV43" s="1044"/>
      <c r="DDW43" s="1044"/>
      <c r="DDX43" s="1044"/>
      <c r="DDY43" s="1044"/>
      <c r="DDZ43" s="1044"/>
      <c r="DEA43" s="1044"/>
      <c r="DEB43" s="1044"/>
      <c r="DEC43" s="1044"/>
      <c r="DED43" s="1044"/>
      <c r="DEE43" s="1044"/>
      <c r="DEF43" s="1044"/>
      <c r="DEG43" s="1044"/>
      <c r="DEH43" s="1044"/>
      <c r="DEI43" s="1044"/>
      <c r="DEJ43" s="1044"/>
      <c r="DEK43" s="1044"/>
      <c r="DEL43" s="1044"/>
      <c r="DEM43" s="1044"/>
      <c r="DEN43" s="1044"/>
      <c r="DEO43" s="1044"/>
      <c r="DEP43" s="1044"/>
      <c r="DEQ43" s="1044"/>
      <c r="DER43" s="1044"/>
      <c r="DES43" s="1044"/>
      <c r="DET43" s="1044"/>
      <c r="DEU43" s="1044"/>
      <c r="DEV43" s="1044"/>
      <c r="DEW43" s="1044"/>
      <c r="DEX43" s="1044"/>
      <c r="DEY43" s="1044"/>
      <c r="DEZ43" s="1044"/>
      <c r="DFA43" s="1044"/>
      <c r="DFB43" s="1044"/>
      <c r="DFC43" s="1044"/>
      <c r="DFD43" s="1044"/>
      <c r="DFE43" s="1044"/>
      <c r="DFF43" s="1044"/>
      <c r="DFG43" s="1044"/>
      <c r="DFH43" s="1044"/>
      <c r="DFI43" s="1044"/>
      <c r="DFJ43" s="1044"/>
      <c r="DFK43" s="1044"/>
      <c r="DFL43" s="1044"/>
      <c r="DFM43" s="1044"/>
      <c r="DFN43" s="1044"/>
      <c r="DFO43" s="1044"/>
      <c r="DFP43" s="1044"/>
      <c r="DFQ43" s="1044"/>
      <c r="DFR43" s="1044"/>
      <c r="DFS43" s="1044"/>
      <c r="DFT43" s="1044"/>
      <c r="DFU43" s="1044"/>
      <c r="DFV43" s="1044"/>
      <c r="DFW43" s="1044"/>
      <c r="DFX43" s="1044"/>
      <c r="DFY43" s="1044"/>
      <c r="DFZ43" s="1044"/>
      <c r="DGA43" s="1044"/>
      <c r="DGB43" s="1044"/>
      <c r="DGC43" s="1044"/>
      <c r="DGD43" s="1044"/>
      <c r="DGE43" s="1044"/>
      <c r="DGF43" s="1044"/>
      <c r="DGG43" s="1044"/>
      <c r="DGH43" s="1044"/>
      <c r="DGI43" s="1044"/>
      <c r="DGJ43" s="1044"/>
      <c r="DGK43" s="1044"/>
      <c r="DGL43" s="1044"/>
      <c r="DGM43" s="1044"/>
      <c r="DGN43" s="1044"/>
      <c r="DGO43" s="1044"/>
      <c r="DGP43" s="1044"/>
      <c r="DGQ43" s="1044"/>
      <c r="DGR43" s="1044"/>
      <c r="DGS43" s="1044"/>
      <c r="DGT43" s="1044"/>
      <c r="DGU43" s="1044"/>
      <c r="DGV43" s="1044"/>
      <c r="DGW43" s="1044"/>
      <c r="DGX43" s="1044"/>
      <c r="DGY43" s="1044"/>
      <c r="DGZ43" s="1044"/>
      <c r="DHA43" s="1044"/>
      <c r="DHB43" s="1044"/>
      <c r="DHC43" s="1044"/>
      <c r="DHD43" s="1044"/>
      <c r="DHE43" s="1044"/>
      <c r="DHF43" s="1044"/>
      <c r="DHG43" s="1044"/>
      <c r="DHH43" s="1044"/>
      <c r="DHI43" s="1044"/>
      <c r="DHJ43" s="1044"/>
      <c r="DHK43" s="1044"/>
      <c r="DHL43" s="1044"/>
      <c r="DHM43" s="1044"/>
      <c r="DHN43" s="1044"/>
      <c r="DHO43" s="1044"/>
      <c r="DHP43" s="1044"/>
      <c r="DHQ43" s="1044"/>
      <c r="DHR43" s="1044"/>
      <c r="DHS43" s="1044"/>
      <c r="DHT43" s="1044"/>
      <c r="DHU43" s="1044"/>
      <c r="DHV43" s="1044"/>
      <c r="DHW43" s="1044"/>
      <c r="DHX43" s="1044"/>
      <c r="DHY43" s="1044"/>
      <c r="DHZ43" s="1044"/>
      <c r="DIA43" s="1044"/>
      <c r="DIB43" s="1044"/>
      <c r="DIC43" s="1044"/>
      <c r="DID43" s="1044"/>
      <c r="DIE43" s="1044"/>
      <c r="DIF43" s="1044"/>
      <c r="DIG43" s="1044"/>
      <c r="DIH43" s="1044"/>
      <c r="DII43" s="1044"/>
      <c r="DIJ43" s="1044"/>
      <c r="DIK43" s="1044"/>
      <c r="DIL43" s="1044"/>
      <c r="DIM43" s="1044"/>
      <c r="DIN43" s="1044"/>
      <c r="DIO43" s="1044"/>
      <c r="DIP43" s="1044"/>
      <c r="DIQ43" s="1044"/>
      <c r="DIR43" s="1044"/>
      <c r="DIS43" s="1044"/>
      <c r="DIT43" s="1044"/>
      <c r="DIU43" s="1044"/>
      <c r="DIV43" s="1044"/>
      <c r="DIW43" s="1044"/>
      <c r="DIX43" s="1044"/>
      <c r="DIY43" s="1044"/>
      <c r="DIZ43" s="1044"/>
      <c r="DJA43" s="1044"/>
      <c r="DJB43" s="1044"/>
      <c r="DJC43" s="1044"/>
      <c r="DJD43" s="1044"/>
      <c r="DJE43" s="1044"/>
      <c r="DJF43" s="1044"/>
      <c r="DJG43" s="1044"/>
      <c r="DJH43" s="1044"/>
      <c r="DJI43" s="1044"/>
      <c r="DJJ43" s="1044"/>
      <c r="DJK43" s="1044"/>
      <c r="DJL43" s="1044"/>
      <c r="DJM43" s="1044"/>
      <c r="DJN43" s="1044"/>
      <c r="DJO43" s="1044"/>
      <c r="DJP43" s="1044"/>
      <c r="DJQ43" s="1044"/>
      <c r="DJR43" s="1044"/>
      <c r="DJS43" s="1044"/>
      <c r="DJT43" s="1044"/>
      <c r="DJU43" s="1044"/>
      <c r="DJV43" s="1044"/>
      <c r="DJW43" s="1044"/>
      <c r="DJX43" s="1044"/>
      <c r="DJY43" s="1044"/>
      <c r="DJZ43" s="1044"/>
      <c r="DKA43" s="1044"/>
      <c r="DKB43" s="1044"/>
      <c r="DKC43" s="1044"/>
      <c r="DKD43" s="1044"/>
      <c r="DKE43" s="1044"/>
      <c r="DKF43" s="1044"/>
      <c r="DKG43" s="1044"/>
      <c r="DKH43" s="1044"/>
      <c r="DKI43" s="1044"/>
      <c r="DKJ43" s="1044"/>
      <c r="DKK43" s="1044"/>
      <c r="DKL43" s="1044"/>
      <c r="DKM43" s="1044"/>
      <c r="DKN43" s="1044"/>
      <c r="DKO43" s="1044"/>
      <c r="DKP43" s="1044"/>
      <c r="DKQ43" s="1044"/>
      <c r="DKR43" s="1044"/>
      <c r="DKS43" s="1044"/>
      <c r="DKT43" s="1044"/>
      <c r="DKU43" s="1044"/>
      <c r="DKV43" s="1044"/>
      <c r="DKW43" s="1044"/>
      <c r="DKX43" s="1044"/>
      <c r="DKY43" s="1044"/>
      <c r="DKZ43" s="1044"/>
      <c r="DLA43" s="1044"/>
      <c r="DLB43" s="1044"/>
      <c r="DLC43" s="1044"/>
      <c r="DLD43" s="1044"/>
      <c r="DLE43" s="1044"/>
      <c r="DLF43" s="1044"/>
      <c r="DLG43" s="1044"/>
      <c r="DLH43" s="1044"/>
      <c r="DLI43" s="1044"/>
      <c r="DLJ43" s="1044"/>
      <c r="DLK43" s="1044"/>
      <c r="DLL43" s="1044"/>
      <c r="DLM43" s="1044"/>
      <c r="DLN43" s="1044"/>
      <c r="DLO43" s="1044"/>
      <c r="DLP43" s="1044"/>
      <c r="DLQ43" s="1044"/>
      <c r="DLR43" s="1044"/>
      <c r="DLS43" s="1044"/>
      <c r="DLT43" s="1044"/>
      <c r="DLU43" s="1044"/>
      <c r="DLV43" s="1044"/>
      <c r="DLW43" s="1044"/>
      <c r="DLX43" s="1044"/>
      <c r="DLY43" s="1044"/>
      <c r="DLZ43" s="1044"/>
      <c r="DMA43" s="1044"/>
      <c r="DMB43" s="1044"/>
      <c r="DMC43" s="1044"/>
      <c r="DMD43" s="1044"/>
      <c r="DME43" s="1044"/>
      <c r="DMF43" s="1044"/>
      <c r="DMG43" s="1044"/>
      <c r="DMH43" s="1044"/>
      <c r="DMI43" s="1044"/>
      <c r="DMJ43" s="1044"/>
      <c r="DMK43" s="1044"/>
      <c r="DML43" s="1044"/>
      <c r="DMM43" s="1044"/>
      <c r="DMN43" s="1044"/>
      <c r="DMO43" s="1044"/>
      <c r="DMP43" s="1044"/>
      <c r="DMQ43" s="1044"/>
      <c r="DMR43" s="1044"/>
      <c r="DMS43" s="1044"/>
      <c r="DMT43" s="1044"/>
      <c r="DMU43" s="1044"/>
      <c r="DMV43" s="1044"/>
      <c r="DMW43" s="1044"/>
      <c r="DMX43" s="1044"/>
      <c r="DMY43" s="1044"/>
      <c r="DMZ43" s="1044"/>
      <c r="DNA43" s="1044"/>
      <c r="DNB43" s="1044"/>
      <c r="DNC43" s="1044"/>
      <c r="DND43" s="1044"/>
      <c r="DNE43" s="1044"/>
      <c r="DNF43" s="1044"/>
      <c r="DNG43" s="1044"/>
      <c r="DNH43" s="1044"/>
      <c r="DNI43" s="1044"/>
      <c r="DNJ43" s="1044"/>
      <c r="DNK43" s="1044"/>
      <c r="DNL43" s="1044"/>
      <c r="DNM43" s="1044"/>
      <c r="DNN43" s="1044"/>
      <c r="DNO43" s="1044"/>
      <c r="DNP43" s="1044"/>
      <c r="DNQ43" s="1044"/>
      <c r="DNR43" s="1044"/>
      <c r="DNS43" s="1044"/>
      <c r="DNT43" s="1044"/>
      <c r="DNU43" s="1044"/>
      <c r="DNV43" s="1044"/>
      <c r="DNW43" s="1044"/>
      <c r="DNX43" s="1044"/>
      <c r="DNY43" s="1044"/>
      <c r="DNZ43" s="1044"/>
      <c r="DOA43" s="1044"/>
      <c r="DOB43" s="1044"/>
      <c r="DOC43" s="1044"/>
      <c r="DOD43" s="1044"/>
      <c r="DOE43" s="1044"/>
      <c r="DOF43" s="1044"/>
      <c r="DOG43" s="1044"/>
      <c r="DOH43" s="1044"/>
      <c r="DOI43" s="1044"/>
      <c r="DOJ43" s="1044"/>
      <c r="DOK43" s="1044"/>
      <c r="DOL43" s="1044"/>
      <c r="DOM43" s="1044"/>
      <c r="DON43" s="1044"/>
      <c r="DOO43" s="1044"/>
      <c r="DOP43" s="1044"/>
      <c r="DOQ43" s="1044"/>
      <c r="DOR43" s="1044"/>
      <c r="DOS43" s="1044"/>
      <c r="DOT43" s="1044"/>
      <c r="DOU43" s="1044"/>
      <c r="DOV43" s="1044"/>
      <c r="DOW43" s="1044"/>
      <c r="DOX43" s="1044"/>
      <c r="DOY43" s="1044"/>
      <c r="DOZ43" s="1044"/>
      <c r="DPA43" s="1044"/>
      <c r="DPB43" s="1044"/>
      <c r="DPC43" s="1044"/>
      <c r="DPD43" s="1044"/>
      <c r="DPE43" s="1044"/>
      <c r="DPF43" s="1044"/>
      <c r="DPG43" s="1044"/>
      <c r="DPH43" s="1044"/>
      <c r="DPI43" s="1044"/>
      <c r="DPJ43" s="1044"/>
      <c r="DPK43" s="1044"/>
      <c r="DPL43" s="1044"/>
      <c r="DPM43" s="1044"/>
      <c r="DPN43" s="1044"/>
      <c r="DPO43" s="1044"/>
      <c r="DPP43" s="1044"/>
      <c r="DPQ43" s="1044"/>
      <c r="DPR43" s="1044"/>
      <c r="DPS43" s="1044"/>
      <c r="DPT43" s="1044"/>
      <c r="DPU43" s="1044"/>
      <c r="DPV43" s="1044"/>
      <c r="DPW43" s="1044"/>
      <c r="DPX43" s="1044"/>
      <c r="DPY43" s="1044"/>
      <c r="DPZ43" s="1044"/>
      <c r="DQA43" s="1044"/>
      <c r="DQB43" s="1044"/>
      <c r="DQC43" s="1044"/>
      <c r="DQD43" s="1044"/>
      <c r="DQE43" s="1044"/>
      <c r="DQF43" s="1044"/>
      <c r="DQG43" s="1044"/>
      <c r="DQH43" s="1044"/>
      <c r="DQI43" s="1044"/>
      <c r="DQJ43" s="1044"/>
      <c r="DQK43" s="1044"/>
      <c r="DQL43" s="1044"/>
      <c r="DQM43" s="1044"/>
      <c r="DQN43" s="1044"/>
      <c r="DQO43" s="1044"/>
      <c r="DQP43" s="1044"/>
      <c r="DQQ43" s="1044"/>
      <c r="DQR43" s="1044"/>
      <c r="DQS43" s="1044"/>
      <c r="DQT43" s="1044"/>
      <c r="DQU43" s="1044"/>
      <c r="DQV43" s="1044"/>
      <c r="DQW43" s="1044"/>
      <c r="DQX43" s="1044"/>
      <c r="DQY43" s="1044"/>
      <c r="DQZ43" s="1044"/>
      <c r="DRA43" s="1044"/>
      <c r="DRB43" s="1044"/>
      <c r="DRC43" s="1044"/>
      <c r="DRD43" s="1044"/>
      <c r="DRE43" s="1044"/>
      <c r="DRF43" s="1044"/>
      <c r="DRG43" s="1044"/>
      <c r="DRH43" s="1044"/>
      <c r="DRI43" s="1044"/>
      <c r="DRJ43" s="1044"/>
      <c r="DRK43" s="1044"/>
      <c r="DRL43" s="1044"/>
      <c r="DRM43" s="1044"/>
      <c r="DRN43" s="1044"/>
      <c r="DRO43" s="1044"/>
      <c r="DRP43" s="1044"/>
      <c r="DRQ43" s="1044"/>
      <c r="DRR43" s="1044"/>
      <c r="DRS43" s="1044"/>
      <c r="DRT43" s="1044"/>
      <c r="DRU43" s="1044"/>
      <c r="DRV43" s="1044"/>
      <c r="DRW43" s="1044"/>
      <c r="DRX43" s="1044"/>
      <c r="DRY43" s="1044"/>
      <c r="DRZ43" s="1044"/>
      <c r="DSA43" s="1044"/>
      <c r="DSB43" s="1044"/>
      <c r="DSC43" s="1044"/>
      <c r="DSD43" s="1044"/>
      <c r="DSE43" s="1044"/>
      <c r="DSF43" s="1044"/>
      <c r="DSG43" s="1044"/>
      <c r="DSH43" s="1044"/>
      <c r="DSI43" s="1044"/>
      <c r="DSJ43" s="1044"/>
      <c r="DSK43" s="1044"/>
      <c r="DSL43" s="1044"/>
      <c r="DSM43" s="1044"/>
      <c r="DSN43" s="1044"/>
      <c r="DSO43" s="1044"/>
      <c r="DSP43" s="1044"/>
      <c r="DSQ43" s="1044"/>
      <c r="DSR43" s="1044"/>
      <c r="DSS43" s="1044"/>
      <c r="DST43" s="1044"/>
      <c r="DSU43" s="1044"/>
      <c r="DSV43" s="1044"/>
      <c r="DSW43" s="1044"/>
      <c r="DSX43" s="1044"/>
      <c r="DSY43" s="1044"/>
      <c r="DSZ43" s="1044"/>
      <c r="DTA43" s="1044"/>
      <c r="DTB43" s="1044"/>
      <c r="DTC43" s="1044"/>
      <c r="DTD43" s="1044"/>
      <c r="DTE43" s="1044"/>
      <c r="DTF43" s="1044"/>
      <c r="DTG43" s="1044"/>
      <c r="DTH43" s="1044"/>
      <c r="DTI43" s="1044"/>
      <c r="DTJ43" s="1044"/>
      <c r="DTK43" s="1044"/>
      <c r="DTL43" s="1044"/>
      <c r="DTM43" s="1044"/>
      <c r="DTN43" s="1044"/>
      <c r="DTO43" s="1044"/>
      <c r="DTP43" s="1044"/>
      <c r="DTQ43" s="1044"/>
      <c r="DTR43" s="1044"/>
      <c r="DTS43" s="1044"/>
      <c r="DTT43" s="1044"/>
      <c r="DTU43" s="1044"/>
      <c r="DTV43" s="1044"/>
      <c r="DTW43" s="1044"/>
      <c r="DTX43" s="1044"/>
      <c r="DTY43" s="1044"/>
      <c r="DTZ43" s="1044"/>
      <c r="DUA43" s="1044"/>
      <c r="DUB43" s="1044"/>
      <c r="DUC43" s="1044"/>
      <c r="DUD43" s="1044"/>
      <c r="DUE43" s="1044"/>
      <c r="DUF43" s="1044"/>
      <c r="DUG43" s="1044"/>
      <c r="DUH43" s="1044"/>
      <c r="DUI43" s="1044"/>
      <c r="DUJ43" s="1044"/>
      <c r="DUK43" s="1044"/>
      <c r="DUL43" s="1044"/>
      <c r="DUM43" s="1044"/>
      <c r="DUN43" s="1044"/>
      <c r="DUO43" s="1044"/>
      <c r="DUP43" s="1044"/>
      <c r="DUQ43" s="1044"/>
      <c r="DUR43" s="1044"/>
      <c r="DUS43" s="1044"/>
      <c r="DUT43" s="1044"/>
      <c r="DUU43" s="1044"/>
      <c r="DUV43" s="1044"/>
      <c r="DUW43" s="1044"/>
      <c r="DUX43" s="1044"/>
      <c r="DUY43" s="1044"/>
      <c r="DUZ43" s="1044"/>
      <c r="DVA43" s="1044"/>
      <c r="DVB43" s="1044"/>
      <c r="DVC43" s="1044"/>
      <c r="DVD43" s="1044"/>
      <c r="DVE43" s="1044"/>
      <c r="DVF43" s="1044"/>
      <c r="DVG43" s="1044"/>
      <c r="DVH43" s="1044"/>
      <c r="DVI43" s="1044"/>
      <c r="DVJ43" s="1044"/>
      <c r="DVK43" s="1044"/>
      <c r="DVL43" s="1044"/>
      <c r="DVM43" s="1044"/>
      <c r="DVN43" s="1044"/>
      <c r="DVO43" s="1044"/>
      <c r="DVP43" s="1044"/>
      <c r="DVQ43" s="1044"/>
      <c r="DVR43" s="1044"/>
      <c r="DVS43" s="1044"/>
      <c r="DVT43" s="1044"/>
      <c r="DVU43" s="1044"/>
      <c r="DVV43" s="1044"/>
      <c r="DVW43" s="1044"/>
      <c r="DVX43" s="1044"/>
      <c r="DVY43" s="1044"/>
      <c r="DVZ43" s="1044"/>
      <c r="DWA43" s="1044"/>
      <c r="DWB43" s="1044"/>
      <c r="DWC43" s="1044"/>
      <c r="DWD43" s="1044"/>
      <c r="DWE43" s="1044"/>
      <c r="DWF43" s="1044"/>
      <c r="DWG43" s="1044"/>
      <c r="DWH43" s="1044"/>
      <c r="DWI43" s="1044"/>
      <c r="DWJ43" s="1044"/>
      <c r="DWK43" s="1044"/>
      <c r="DWL43" s="1044"/>
      <c r="DWM43" s="1044"/>
      <c r="DWN43" s="1044"/>
      <c r="DWO43" s="1044"/>
      <c r="DWP43" s="1044"/>
      <c r="DWQ43" s="1044"/>
      <c r="DWR43" s="1044"/>
      <c r="DWS43" s="1044"/>
      <c r="DWT43" s="1044"/>
      <c r="DWU43" s="1044"/>
      <c r="DWV43" s="1044"/>
      <c r="DWW43" s="1044"/>
      <c r="DWX43" s="1044"/>
      <c r="DWY43" s="1044"/>
      <c r="DWZ43" s="1044"/>
      <c r="DXA43" s="1044"/>
      <c r="DXB43" s="1044"/>
      <c r="DXC43" s="1044"/>
      <c r="DXD43" s="1044"/>
      <c r="DXE43" s="1044"/>
      <c r="DXF43" s="1044"/>
      <c r="DXG43" s="1044"/>
      <c r="DXH43" s="1044"/>
      <c r="DXI43" s="1044"/>
      <c r="DXJ43" s="1044"/>
      <c r="DXK43" s="1044"/>
      <c r="DXL43" s="1044"/>
      <c r="DXM43" s="1044"/>
      <c r="DXN43" s="1044"/>
      <c r="DXO43" s="1044"/>
      <c r="DXP43" s="1044"/>
      <c r="DXQ43" s="1044"/>
      <c r="DXR43" s="1044"/>
      <c r="DXS43" s="1044"/>
      <c r="DXT43" s="1044"/>
      <c r="DXU43" s="1044"/>
      <c r="DXV43" s="1044"/>
      <c r="DXW43" s="1044"/>
      <c r="DXX43" s="1044"/>
      <c r="DXY43" s="1044"/>
      <c r="DXZ43" s="1044"/>
      <c r="DYA43" s="1044"/>
      <c r="DYB43" s="1044"/>
      <c r="DYC43" s="1044"/>
      <c r="DYD43" s="1044"/>
      <c r="DYE43" s="1044"/>
      <c r="DYF43" s="1044"/>
      <c r="DYG43" s="1044"/>
      <c r="DYH43" s="1044"/>
      <c r="DYI43" s="1044"/>
      <c r="DYJ43" s="1044"/>
      <c r="DYK43" s="1044"/>
      <c r="DYL43" s="1044"/>
      <c r="DYM43" s="1044"/>
      <c r="DYN43" s="1044"/>
      <c r="DYO43" s="1044"/>
      <c r="DYP43" s="1044"/>
      <c r="DYQ43" s="1044"/>
      <c r="DYR43" s="1044"/>
      <c r="DYS43" s="1044"/>
      <c r="DYT43" s="1044"/>
      <c r="DYU43" s="1044"/>
      <c r="DYV43" s="1044"/>
      <c r="DYW43" s="1044"/>
      <c r="DYX43" s="1044"/>
      <c r="DYY43" s="1044"/>
      <c r="DYZ43" s="1044"/>
      <c r="DZA43" s="1044"/>
      <c r="DZB43" s="1044"/>
      <c r="DZC43" s="1044"/>
      <c r="DZD43" s="1044"/>
      <c r="DZE43" s="1044"/>
      <c r="DZF43" s="1044"/>
      <c r="DZG43" s="1044"/>
      <c r="DZH43" s="1044"/>
      <c r="DZI43" s="1044"/>
      <c r="DZJ43" s="1044"/>
      <c r="DZK43" s="1044"/>
      <c r="DZL43" s="1044"/>
      <c r="DZM43" s="1044"/>
      <c r="DZN43" s="1044"/>
      <c r="DZO43" s="1044"/>
      <c r="DZP43" s="1044"/>
      <c r="DZQ43" s="1044"/>
      <c r="DZR43" s="1044"/>
      <c r="DZS43" s="1044"/>
      <c r="DZT43" s="1044"/>
      <c r="DZU43" s="1044"/>
      <c r="DZV43" s="1044"/>
      <c r="DZW43" s="1044"/>
      <c r="DZX43" s="1044"/>
      <c r="DZY43" s="1044"/>
      <c r="DZZ43" s="1044"/>
      <c r="EAA43" s="1044"/>
      <c r="EAB43" s="1044"/>
      <c r="EAC43" s="1044"/>
      <c r="EAD43" s="1044"/>
      <c r="EAE43" s="1044"/>
      <c r="EAF43" s="1044"/>
      <c r="EAG43" s="1044"/>
      <c r="EAH43" s="1044"/>
      <c r="EAI43" s="1044"/>
      <c r="EAJ43" s="1044"/>
      <c r="EAK43" s="1044"/>
      <c r="EAL43" s="1044"/>
      <c r="EAM43" s="1044"/>
      <c r="EAN43" s="1044"/>
      <c r="EAO43" s="1044"/>
      <c r="EAP43" s="1044"/>
      <c r="EAQ43" s="1044"/>
      <c r="EAR43" s="1044"/>
      <c r="EAS43" s="1044"/>
      <c r="EAT43" s="1044"/>
      <c r="EAU43" s="1044"/>
      <c r="EAV43" s="1044"/>
      <c r="EAW43" s="1044"/>
      <c r="EAX43" s="1044"/>
      <c r="EAY43" s="1044"/>
      <c r="EAZ43" s="1044"/>
      <c r="EBA43" s="1044"/>
      <c r="EBB43" s="1044"/>
      <c r="EBC43" s="1044"/>
      <c r="EBD43" s="1044"/>
      <c r="EBE43" s="1044"/>
      <c r="EBF43" s="1044"/>
      <c r="EBG43" s="1044"/>
      <c r="EBH43" s="1044"/>
      <c r="EBI43" s="1044"/>
      <c r="EBJ43" s="1044"/>
      <c r="EBK43" s="1044"/>
      <c r="EBL43" s="1044"/>
      <c r="EBM43" s="1044"/>
      <c r="EBN43" s="1044"/>
      <c r="EBO43" s="1044"/>
      <c r="EBP43" s="1044"/>
      <c r="EBQ43" s="1044"/>
      <c r="EBR43" s="1044"/>
      <c r="EBS43" s="1044"/>
      <c r="EBT43" s="1044"/>
      <c r="EBU43" s="1044"/>
      <c r="EBV43" s="1044"/>
      <c r="EBW43" s="1044"/>
      <c r="EBX43" s="1044"/>
      <c r="EBY43" s="1044"/>
      <c r="EBZ43" s="1044"/>
      <c r="ECA43" s="1044"/>
      <c r="ECB43" s="1044"/>
      <c r="ECC43" s="1044"/>
      <c r="ECD43" s="1044"/>
      <c r="ECE43" s="1044"/>
      <c r="ECF43" s="1044"/>
      <c r="ECG43" s="1044"/>
      <c r="ECH43" s="1044"/>
      <c r="ECI43" s="1044"/>
      <c r="ECJ43" s="1044"/>
      <c r="ECK43" s="1044"/>
      <c r="ECL43" s="1044"/>
      <c r="ECM43" s="1044"/>
      <c r="ECN43" s="1044"/>
      <c r="ECO43" s="1044"/>
      <c r="ECP43" s="1044"/>
      <c r="ECQ43" s="1044"/>
      <c r="ECR43" s="1044"/>
      <c r="ECS43" s="1044"/>
      <c r="ECT43" s="1044"/>
      <c r="ECU43" s="1044"/>
      <c r="ECV43" s="1044"/>
      <c r="ECW43" s="1044"/>
      <c r="ECX43" s="1044"/>
      <c r="ECY43" s="1044"/>
      <c r="ECZ43" s="1044"/>
      <c r="EDA43" s="1044"/>
      <c r="EDB43" s="1044"/>
      <c r="EDC43" s="1044"/>
      <c r="EDD43" s="1044"/>
      <c r="EDE43" s="1044"/>
      <c r="EDF43" s="1044"/>
      <c r="EDG43" s="1044"/>
      <c r="EDH43" s="1044"/>
      <c r="EDI43" s="1044"/>
      <c r="EDJ43" s="1044"/>
      <c r="EDK43" s="1044"/>
      <c r="EDL43" s="1044"/>
      <c r="EDM43" s="1044"/>
      <c r="EDN43" s="1044"/>
      <c r="EDO43" s="1044"/>
      <c r="EDP43" s="1044"/>
      <c r="EDQ43" s="1044"/>
      <c r="EDR43" s="1044"/>
      <c r="EDS43" s="1044"/>
      <c r="EDT43" s="1044"/>
      <c r="EDU43" s="1044"/>
      <c r="EDV43" s="1044"/>
      <c r="EDW43" s="1044"/>
      <c r="EDX43" s="1044"/>
      <c r="EDY43" s="1044"/>
      <c r="EDZ43" s="1044"/>
      <c r="EEA43" s="1044"/>
      <c r="EEB43" s="1044"/>
      <c r="EEC43" s="1044"/>
      <c r="EED43" s="1044"/>
      <c r="EEE43" s="1044"/>
      <c r="EEF43" s="1044"/>
      <c r="EEG43" s="1044"/>
      <c r="EEH43" s="1044"/>
      <c r="EEI43" s="1044"/>
      <c r="EEJ43" s="1044"/>
      <c r="EEK43" s="1044"/>
      <c r="EEL43" s="1044"/>
      <c r="EEM43" s="1044"/>
      <c r="EEN43" s="1044"/>
      <c r="EEO43" s="1044"/>
      <c r="EEP43" s="1044"/>
      <c r="EEQ43" s="1044"/>
      <c r="EER43" s="1044"/>
      <c r="EES43" s="1044"/>
      <c r="EET43" s="1044"/>
      <c r="EEU43" s="1044"/>
      <c r="EEV43" s="1044"/>
      <c r="EEW43" s="1044"/>
      <c r="EEX43" s="1044"/>
      <c r="EEY43" s="1044"/>
      <c r="EEZ43" s="1044"/>
      <c r="EFA43" s="1044"/>
      <c r="EFB43" s="1044"/>
      <c r="EFC43" s="1044"/>
      <c r="EFD43" s="1044"/>
      <c r="EFE43" s="1044"/>
      <c r="EFF43" s="1044"/>
      <c r="EFG43" s="1044"/>
      <c r="EFH43" s="1044"/>
      <c r="EFI43" s="1044"/>
      <c r="EFJ43" s="1044"/>
      <c r="EFK43" s="1044"/>
      <c r="EFL43" s="1044"/>
      <c r="EFM43" s="1044"/>
      <c r="EFN43" s="1044"/>
      <c r="EFO43" s="1044"/>
      <c r="EFP43" s="1044"/>
      <c r="EFQ43" s="1044"/>
      <c r="EFR43" s="1044"/>
      <c r="EFS43" s="1044"/>
      <c r="EFT43" s="1044"/>
      <c r="EFU43" s="1044"/>
      <c r="EFV43" s="1044"/>
      <c r="EFW43" s="1044"/>
      <c r="EFX43" s="1044"/>
      <c r="EFY43" s="1044"/>
      <c r="EFZ43" s="1044"/>
      <c r="EGA43" s="1044"/>
      <c r="EGB43" s="1044"/>
      <c r="EGC43" s="1044"/>
      <c r="EGD43" s="1044"/>
      <c r="EGE43" s="1044"/>
      <c r="EGF43" s="1044"/>
      <c r="EGG43" s="1044"/>
      <c r="EGH43" s="1044"/>
      <c r="EGI43" s="1044"/>
      <c r="EGJ43" s="1044"/>
      <c r="EGK43" s="1044"/>
      <c r="EGL43" s="1044"/>
      <c r="EGM43" s="1044"/>
      <c r="EGN43" s="1044"/>
      <c r="EGO43" s="1044"/>
      <c r="EGP43" s="1044"/>
      <c r="EGQ43" s="1044"/>
      <c r="EGR43" s="1044"/>
      <c r="EGS43" s="1044"/>
      <c r="EGT43" s="1044"/>
      <c r="EGU43" s="1044"/>
      <c r="EGV43" s="1044"/>
      <c r="EGW43" s="1044"/>
      <c r="EGX43" s="1044"/>
      <c r="EGY43" s="1044"/>
      <c r="EGZ43" s="1044"/>
      <c r="EHA43" s="1044"/>
      <c r="EHB43" s="1044"/>
      <c r="EHC43" s="1044"/>
      <c r="EHD43" s="1044"/>
      <c r="EHE43" s="1044"/>
      <c r="EHF43" s="1044"/>
      <c r="EHG43" s="1044"/>
      <c r="EHH43" s="1044"/>
      <c r="EHI43" s="1044"/>
      <c r="EHJ43" s="1044"/>
      <c r="EHK43" s="1044"/>
      <c r="EHL43" s="1044"/>
      <c r="EHM43" s="1044"/>
      <c r="EHN43" s="1044"/>
      <c r="EHO43" s="1044"/>
      <c r="EHP43" s="1044"/>
      <c r="EHQ43" s="1044"/>
      <c r="EHR43" s="1044"/>
      <c r="EHS43" s="1044"/>
      <c r="EHT43" s="1044"/>
      <c r="EHU43" s="1044"/>
      <c r="EHV43" s="1044"/>
      <c r="EHW43" s="1044"/>
      <c r="EHX43" s="1044"/>
      <c r="EHY43" s="1044"/>
      <c r="EHZ43" s="1044"/>
      <c r="EIA43" s="1044"/>
      <c r="EIB43" s="1044"/>
      <c r="EIC43" s="1044"/>
      <c r="EID43" s="1044"/>
      <c r="EIE43" s="1044"/>
      <c r="EIF43" s="1044"/>
      <c r="EIG43" s="1044"/>
      <c r="EIH43" s="1044"/>
      <c r="EII43" s="1044"/>
      <c r="EIJ43" s="1044"/>
      <c r="EIK43" s="1044"/>
      <c r="EIL43" s="1044"/>
      <c r="EIM43" s="1044"/>
      <c r="EIN43" s="1044"/>
      <c r="EIO43" s="1044"/>
      <c r="EIP43" s="1044"/>
      <c r="EIQ43" s="1044"/>
      <c r="EIR43" s="1044"/>
      <c r="EIS43" s="1044"/>
      <c r="EIT43" s="1044"/>
      <c r="EIU43" s="1044"/>
      <c r="EIV43" s="1044"/>
      <c r="EIW43" s="1044"/>
      <c r="EIX43" s="1044"/>
      <c r="EIY43" s="1044"/>
      <c r="EIZ43" s="1044"/>
      <c r="EJA43" s="1044"/>
      <c r="EJB43" s="1044"/>
      <c r="EJC43" s="1044"/>
      <c r="EJD43" s="1044"/>
      <c r="EJE43" s="1044"/>
      <c r="EJF43" s="1044"/>
      <c r="EJG43" s="1044"/>
      <c r="EJH43" s="1044"/>
      <c r="EJI43" s="1044"/>
      <c r="EJJ43" s="1044"/>
      <c r="EJK43" s="1044"/>
      <c r="EJL43" s="1044"/>
      <c r="EJM43" s="1044"/>
      <c r="EJN43" s="1044"/>
      <c r="EJO43" s="1044"/>
      <c r="EJP43" s="1044"/>
      <c r="EJQ43" s="1044"/>
      <c r="EJR43" s="1044"/>
      <c r="EJS43" s="1044"/>
      <c r="EJT43" s="1044"/>
      <c r="EJU43" s="1044"/>
      <c r="EJV43" s="1044"/>
      <c r="EJW43" s="1044"/>
      <c r="EJX43" s="1044"/>
      <c r="EJY43" s="1044"/>
      <c r="EJZ43" s="1044"/>
      <c r="EKA43" s="1044"/>
      <c r="EKB43" s="1044"/>
      <c r="EKC43" s="1044"/>
      <c r="EKD43" s="1044"/>
      <c r="EKE43" s="1044"/>
      <c r="EKF43" s="1044"/>
      <c r="EKG43" s="1044"/>
      <c r="EKH43" s="1044"/>
      <c r="EKI43" s="1044"/>
      <c r="EKJ43" s="1044"/>
      <c r="EKK43" s="1044"/>
      <c r="EKL43" s="1044"/>
      <c r="EKM43" s="1044"/>
      <c r="EKN43" s="1044"/>
      <c r="EKO43" s="1044"/>
      <c r="EKP43" s="1044"/>
      <c r="EKQ43" s="1044"/>
      <c r="EKR43" s="1044"/>
      <c r="EKS43" s="1044"/>
      <c r="EKT43" s="1044"/>
      <c r="EKU43" s="1044"/>
      <c r="EKV43" s="1044"/>
      <c r="EKW43" s="1044"/>
      <c r="EKX43" s="1044"/>
      <c r="EKY43" s="1044"/>
      <c r="EKZ43" s="1044"/>
      <c r="ELA43" s="1044"/>
      <c r="ELB43" s="1044"/>
      <c r="ELC43" s="1044"/>
      <c r="ELD43" s="1044"/>
      <c r="ELE43" s="1044"/>
      <c r="ELF43" s="1044"/>
      <c r="ELG43" s="1044"/>
      <c r="ELH43" s="1044"/>
      <c r="ELI43" s="1044"/>
      <c r="ELJ43" s="1044"/>
      <c r="ELK43" s="1044"/>
      <c r="ELL43" s="1044"/>
      <c r="ELM43" s="1044"/>
      <c r="ELN43" s="1044"/>
      <c r="ELO43" s="1044"/>
      <c r="ELP43" s="1044"/>
      <c r="ELQ43" s="1044"/>
      <c r="ELR43" s="1044"/>
      <c r="ELS43" s="1044"/>
      <c r="ELT43" s="1044"/>
      <c r="ELU43" s="1044"/>
      <c r="ELV43" s="1044"/>
      <c r="ELW43" s="1044"/>
      <c r="ELX43" s="1044"/>
      <c r="ELY43" s="1044"/>
      <c r="ELZ43" s="1044"/>
      <c r="EMA43" s="1044"/>
      <c r="EMB43" s="1044"/>
      <c r="EMC43" s="1044"/>
      <c r="EMD43" s="1044"/>
      <c r="EME43" s="1044"/>
      <c r="EMF43" s="1044"/>
      <c r="EMG43" s="1044"/>
      <c r="EMH43" s="1044"/>
      <c r="EMI43" s="1044"/>
      <c r="EMJ43" s="1044"/>
      <c r="EMK43" s="1044"/>
      <c r="EML43" s="1044"/>
      <c r="EMM43" s="1044"/>
      <c r="EMN43" s="1044"/>
      <c r="EMO43" s="1044"/>
      <c r="EMP43" s="1044"/>
      <c r="EMQ43" s="1044"/>
      <c r="EMR43" s="1044"/>
      <c r="EMS43" s="1044"/>
      <c r="EMT43" s="1044"/>
      <c r="EMU43" s="1044"/>
      <c r="EMV43" s="1044"/>
      <c r="EMW43" s="1044"/>
      <c r="EMX43" s="1044"/>
      <c r="EMY43" s="1044"/>
      <c r="EMZ43" s="1044"/>
      <c r="ENA43" s="1044"/>
      <c r="ENB43" s="1044"/>
      <c r="ENC43" s="1044"/>
      <c r="END43" s="1044"/>
      <c r="ENE43" s="1044"/>
      <c r="ENF43" s="1044"/>
      <c r="ENG43" s="1044"/>
      <c r="ENH43" s="1044"/>
      <c r="ENI43" s="1044"/>
      <c r="ENJ43" s="1044"/>
      <c r="ENK43" s="1044"/>
      <c r="ENL43" s="1044"/>
      <c r="ENM43" s="1044"/>
      <c r="ENN43" s="1044"/>
      <c r="ENO43" s="1044"/>
      <c r="ENP43" s="1044"/>
      <c r="ENQ43" s="1044"/>
      <c r="ENR43" s="1044"/>
      <c r="ENS43" s="1044"/>
      <c r="ENT43" s="1044"/>
      <c r="ENU43" s="1044"/>
      <c r="ENV43" s="1044"/>
      <c r="ENW43" s="1044"/>
      <c r="ENX43" s="1044"/>
      <c r="ENY43" s="1044"/>
      <c r="ENZ43" s="1044"/>
      <c r="EOA43" s="1044"/>
      <c r="EOB43" s="1044"/>
      <c r="EOC43" s="1044"/>
      <c r="EOD43" s="1044"/>
      <c r="EOE43" s="1044"/>
      <c r="EOF43" s="1044"/>
      <c r="EOG43" s="1044"/>
      <c r="EOH43" s="1044"/>
      <c r="EOI43" s="1044"/>
      <c r="EOJ43" s="1044"/>
      <c r="EOK43" s="1044"/>
      <c r="EOL43" s="1044"/>
      <c r="EOM43" s="1044"/>
      <c r="EON43" s="1044"/>
      <c r="EOO43" s="1044"/>
      <c r="EOP43" s="1044"/>
      <c r="EOQ43" s="1044"/>
      <c r="EOR43" s="1044"/>
      <c r="EOS43" s="1044"/>
      <c r="EOT43" s="1044"/>
      <c r="EOU43" s="1044"/>
      <c r="EOV43" s="1044"/>
      <c r="EOW43" s="1044"/>
      <c r="EOX43" s="1044"/>
      <c r="EOY43" s="1044"/>
      <c r="EOZ43" s="1044"/>
      <c r="EPA43" s="1044"/>
      <c r="EPB43" s="1044"/>
      <c r="EPC43" s="1044"/>
      <c r="EPD43" s="1044"/>
      <c r="EPE43" s="1044"/>
      <c r="EPF43" s="1044"/>
      <c r="EPG43" s="1044"/>
      <c r="EPH43" s="1044"/>
      <c r="EPI43" s="1044"/>
      <c r="EPJ43" s="1044"/>
      <c r="EPK43" s="1044"/>
      <c r="EPL43" s="1044"/>
      <c r="EPM43" s="1044"/>
      <c r="EPN43" s="1044"/>
      <c r="EPO43" s="1044"/>
      <c r="EPP43" s="1044"/>
      <c r="EPQ43" s="1044"/>
      <c r="EPR43" s="1044"/>
      <c r="EPS43" s="1044"/>
      <c r="EPT43" s="1044"/>
      <c r="EPU43" s="1044"/>
      <c r="EPV43" s="1044"/>
      <c r="EPW43" s="1044"/>
      <c r="EPX43" s="1044"/>
      <c r="EPY43" s="1044"/>
      <c r="EPZ43" s="1044"/>
      <c r="EQA43" s="1044"/>
      <c r="EQB43" s="1044"/>
      <c r="EQC43" s="1044"/>
      <c r="EQD43" s="1044"/>
      <c r="EQE43" s="1044"/>
      <c r="EQF43" s="1044"/>
      <c r="EQG43" s="1044"/>
      <c r="EQH43" s="1044"/>
      <c r="EQI43" s="1044"/>
      <c r="EQJ43" s="1044"/>
      <c r="EQK43" s="1044"/>
      <c r="EQL43" s="1044"/>
      <c r="EQM43" s="1044"/>
      <c r="EQN43" s="1044"/>
      <c r="EQO43" s="1044"/>
      <c r="EQP43" s="1044"/>
      <c r="EQQ43" s="1044"/>
      <c r="EQR43" s="1044"/>
      <c r="EQS43" s="1044"/>
      <c r="EQT43" s="1044"/>
      <c r="EQU43" s="1044"/>
      <c r="EQV43" s="1044"/>
      <c r="EQW43" s="1044"/>
      <c r="EQX43" s="1044"/>
      <c r="EQY43" s="1044"/>
      <c r="EQZ43" s="1044"/>
      <c r="ERA43" s="1044"/>
      <c r="ERB43" s="1044"/>
      <c r="ERC43" s="1044"/>
      <c r="ERD43" s="1044"/>
      <c r="ERE43" s="1044"/>
      <c r="ERF43" s="1044"/>
      <c r="ERG43" s="1044"/>
      <c r="ERH43" s="1044"/>
      <c r="ERI43" s="1044"/>
      <c r="ERJ43" s="1044"/>
      <c r="ERK43" s="1044"/>
      <c r="ERL43" s="1044"/>
      <c r="ERM43" s="1044"/>
      <c r="ERN43" s="1044"/>
      <c r="ERO43" s="1044"/>
      <c r="ERP43" s="1044"/>
      <c r="ERQ43" s="1044"/>
      <c r="ERR43" s="1044"/>
      <c r="ERS43" s="1044"/>
      <c r="ERT43" s="1044"/>
      <c r="ERU43" s="1044"/>
      <c r="ERV43" s="1044"/>
      <c r="ERW43" s="1044"/>
      <c r="ERX43" s="1044"/>
      <c r="ERY43" s="1044"/>
      <c r="ERZ43" s="1044"/>
      <c r="ESA43" s="1044"/>
      <c r="ESB43" s="1044"/>
      <c r="ESC43" s="1044"/>
      <c r="ESD43" s="1044"/>
      <c r="ESE43" s="1044"/>
      <c r="ESF43" s="1044"/>
      <c r="ESG43" s="1044"/>
      <c r="ESH43" s="1044"/>
      <c r="ESI43" s="1044"/>
      <c r="ESJ43" s="1044"/>
      <c r="ESK43" s="1044"/>
      <c r="ESL43" s="1044"/>
      <c r="ESM43" s="1044"/>
      <c r="ESN43" s="1044"/>
      <c r="ESO43" s="1044"/>
      <c r="ESP43" s="1044"/>
      <c r="ESQ43" s="1044"/>
      <c r="ESR43" s="1044"/>
      <c r="ESS43" s="1044"/>
      <c r="EST43" s="1044"/>
      <c r="ESU43" s="1044"/>
      <c r="ESV43" s="1044"/>
      <c r="ESW43" s="1044"/>
      <c r="ESX43" s="1044"/>
      <c r="ESY43" s="1044"/>
      <c r="ESZ43" s="1044"/>
      <c r="ETA43" s="1044"/>
      <c r="ETB43" s="1044"/>
      <c r="ETC43" s="1044"/>
      <c r="ETD43" s="1044"/>
      <c r="ETE43" s="1044"/>
      <c r="ETF43" s="1044"/>
      <c r="ETG43" s="1044"/>
      <c r="ETH43" s="1044"/>
      <c r="ETI43" s="1044"/>
      <c r="ETJ43" s="1044"/>
      <c r="ETK43" s="1044"/>
      <c r="ETL43" s="1044"/>
      <c r="ETM43" s="1044"/>
      <c r="ETN43" s="1044"/>
      <c r="ETO43" s="1044"/>
      <c r="ETP43" s="1044"/>
      <c r="ETQ43" s="1044"/>
      <c r="ETR43" s="1044"/>
      <c r="ETS43" s="1044"/>
      <c r="ETT43" s="1044"/>
      <c r="ETU43" s="1044"/>
      <c r="ETV43" s="1044"/>
      <c r="ETW43" s="1044"/>
      <c r="ETX43" s="1044"/>
      <c r="ETY43" s="1044"/>
      <c r="ETZ43" s="1044"/>
      <c r="EUA43" s="1044"/>
      <c r="EUB43" s="1044"/>
      <c r="EUC43" s="1044"/>
      <c r="EUD43" s="1044"/>
      <c r="EUE43" s="1044"/>
      <c r="EUF43" s="1044"/>
      <c r="EUG43" s="1044"/>
      <c r="EUH43" s="1044"/>
      <c r="EUI43" s="1044"/>
      <c r="EUJ43" s="1044"/>
      <c r="EUK43" s="1044"/>
      <c r="EUL43" s="1044"/>
      <c r="EUM43" s="1044"/>
      <c r="EUN43" s="1044"/>
      <c r="EUO43" s="1044"/>
      <c r="EUP43" s="1044"/>
      <c r="EUQ43" s="1044"/>
      <c r="EUR43" s="1044"/>
      <c r="EUS43" s="1044"/>
      <c r="EUT43" s="1044"/>
      <c r="EUU43" s="1044"/>
      <c r="EUV43" s="1044"/>
      <c r="EUW43" s="1044"/>
      <c r="EUX43" s="1044"/>
      <c r="EUY43" s="1044"/>
      <c r="EUZ43" s="1044"/>
      <c r="EVA43" s="1044"/>
      <c r="EVB43" s="1044"/>
      <c r="EVC43" s="1044"/>
      <c r="EVD43" s="1044"/>
      <c r="EVE43" s="1044"/>
      <c r="EVF43" s="1044"/>
      <c r="EVG43" s="1044"/>
      <c r="EVH43" s="1044"/>
      <c r="EVI43" s="1044"/>
      <c r="EVJ43" s="1044"/>
      <c r="EVK43" s="1044"/>
      <c r="EVL43" s="1044"/>
      <c r="EVM43" s="1044"/>
      <c r="EVN43" s="1044"/>
      <c r="EVO43" s="1044"/>
      <c r="EVP43" s="1044"/>
      <c r="EVQ43" s="1044"/>
      <c r="EVR43" s="1044"/>
      <c r="EVS43" s="1044"/>
      <c r="EVT43" s="1044"/>
      <c r="EVU43" s="1044"/>
      <c r="EVV43" s="1044"/>
      <c r="EVW43" s="1044"/>
      <c r="EVX43" s="1044"/>
      <c r="EVY43" s="1044"/>
      <c r="EVZ43" s="1044"/>
      <c r="EWA43" s="1044"/>
      <c r="EWB43" s="1044"/>
      <c r="EWC43" s="1044"/>
      <c r="EWD43" s="1044"/>
      <c r="EWE43" s="1044"/>
      <c r="EWF43" s="1044"/>
      <c r="EWG43" s="1044"/>
      <c r="EWH43" s="1044"/>
      <c r="EWI43" s="1044"/>
      <c r="EWJ43" s="1044"/>
      <c r="EWK43" s="1044"/>
      <c r="EWL43" s="1044"/>
      <c r="EWM43" s="1044"/>
      <c r="EWN43" s="1044"/>
      <c r="EWO43" s="1044"/>
      <c r="EWP43" s="1044"/>
      <c r="EWQ43" s="1044"/>
      <c r="EWR43" s="1044"/>
      <c r="EWS43" s="1044"/>
      <c r="EWT43" s="1044"/>
      <c r="EWU43" s="1044"/>
      <c r="EWV43" s="1044"/>
      <c r="EWW43" s="1044"/>
      <c r="EWX43" s="1044"/>
      <c r="EWY43" s="1044"/>
      <c r="EWZ43" s="1044"/>
      <c r="EXA43" s="1044"/>
      <c r="EXB43" s="1044"/>
      <c r="EXC43" s="1044"/>
      <c r="EXD43" s="1044"/>
      <c r="EXE43" s="1044"/>
      <c r="EXF43" s="1044"/>
      <c r="EXG43" s="1044"/>
      <c r="EXH43" s="1044"/>
      <c r="EXI43" s="1044"/>
      <c r="EXJ43" s="1044"/>
      <c r="EXK43" s="1044"/>
      <c r="EXL43" s="1044"/>
      <c r="EXM43" s="1044"/>
      <c r="EXN43" s="1044"/>
      <c r="EXO43" s="1044"/>
      <c r="EXP43" s="1044"/>
      <c r="EXQ43" s="1044"/>
      <c r="EXR43" s="1044"/>
      <c r="EXS43" s="1044"/>
      <c r="EXT43" s="1044"/>
      <c r="EXU43" s="1044"/>
      <c r="EXV43" s="1044"/>
      <c r="EXW43" s="1044"/>
      <c r="EXX43" s="1044"/>
      <c r="EXY43" s="1044"/>
      <c r="EXZ43" s="1044"/>
      <c r="EYA43" s="1044"/>
      <c r="EYB43" s="1044"/>
      <c r="EYC43" s="1044"/>
      <c r="EYD43" s="1044"/>
      <c r="EYE43" s="1044"/>
      <c r="EYF43" s="1044"/>
      <c r="EYG43" s="1044"/>
      <c r="EYH43" s="1044"/>
      <c r="EYI43" s="1044"/>
      <c r="EYJ43" s="1044"/>
      <c r="EYK43" s="1044"/>
      <c r="EYL43" s="1044"/>
      <c r="EYM43" s="1044"/>
      <c r="EYN43" s="1044"/>
      <c r="EYO43" s="1044"/>
      <c r="EYP43" s="1044"/>
      <c r="EYQ43" s="1044"/>
      <c r="EYR43" s="1044"/>
      <c r="EYS43" s="1044"/>
      <c r="EYT43" s="1044"/>
      <c r="EYU43" s="1044"/>
      <c r="EYV43" s="1044"/>
      <c r="EYW43" s="1044"/>
      <c r="EYX43" s="1044"/>
      <c r="EYY43" s="1044"/>
      <c r="EYZ43" s="1044"/>
      <c r="EZA43" s="1044"/>
      <c r="EZB43" s="1044"/>
      <c r="EZC43" s="1044"/>
      <c r="EZD43" s="1044"/>
      <c r="EZE43" s="1044"/>
      <c r="EZF43" s="1044"/>
      <c r="EZG43" s="1044"/>
      <c r="EZH43" s="1044"/>
      <c r="EZI43" s="1044"/>
      <c r="EZJ43" s="1044"/>
      <c r="EZK43" s="1044"/>
      <c r="EZL43" s="1044"/>
      <c r="EZM43" s="1044"/>
      <c r="EZN43" s="1044"/>
      <c r="EZO43" s="1044"/>
      <c r="EZP43" s="1044"/>
      <c r="EZQ43" s="1044"/>
      <c r="EZR43" s="1044"/>
      <c r="EZS43" s="1044"/>
      <c r="EZT43" s="1044"/>
      <c r="EZU43" s="1044"/>
      <c r="EZV43" s="1044"/>
      <c r="EZW43" s="1044"/>
      <c r="EZX43" s="1044"/>
      <c r="EZY43" s="1044"/>
      <c r="EZZ43" s="1044"/>
      <c r="FAA43" s="1044"/>
      <c r="FAB43" s="1044"/>
      <c r="FAC43" s="1044"/>
      <c r="FAD43" s="1044"/>
      <c r="FAE43" s="1044"/>
      <c r="FAF43" s="1044"/>
      <c r="FAG43" s="1044"/>
      <c r="FAH43" s="1044"/>
      <c r="FAI43" s="1044"/>
      <c r="FAJ43" s="1044"/>
      <c r="FAK43" s="1044"/>
      <c r="FAL43" s="1044"/>
      <c r="FAM43" s="1044"/>
      <c r="FAN43" s="1044"/>
      <c r="FAO43" s="1044"/>
      <c r="FAP43" s="1044"/>
      <c r="FAQ43" s="1044"/>
      <c r="FAR43" s="1044"/>
      <c r="FAS43" s="1044"/>
      <c r="FAT43" s="1044"/>
      <c r="FAU43" s="1044"/>
      <c r="FAV43" s="1044"/>
      <c r="FAW43" s="1044"/>
      <c r="FAX43" s="1044"/>
      <c r="FAY43" s="1044"/>
      <c r="FAZ43" s="1044"/>
      <c r="FBA43" s="1044"/>
      <c r="FBB43" s="1044"/>
      <c r="FBC43" s="1044"/>
      <c r="FBD43" s="1044"/>
      <c r="FBE43" s="1044"/>
      <c r="FBF43" s="1044"/>
      <c r="FBG43" s="1044"/>
      <c r="FBH43" s="1044"/>
      <c r="FBI43" s="1044"/>
      <c r="FBJ43" s="1044"/>
      <c r="FBK43" s="1044"/>
      <c r="FBL43" s="1044"/>
      <c r="FBM43" s="1044"/>
      <c r="FBN43" s="1044"/>
      <c r="FBO43" s="1044"/>
      <c r="FBP43" s="1044"/>
      <c r="FBQ43" s="1044"/>
      <c r="FBR43" s="1044"/>
      <c r="FBS43" s="1044"/>
      <c r="FBT43" s="1044"/>
      <c r="FBU43" s="1044"/>
      <c r="FBV43" s="1044"/>
      <c r="FBW43" s="1044"/>
      <c r="FBX43" s="1044"/>
      <c r="FBY43" s="1044"/>
      <c r="FBZ43" s="1044"/>
      <c r="FCA43" s="1044"/>
      <c r="FCB43" s="1044"/>
      <c r="FCC43" s="1044"/>
      <c r="FCD43" s="1044"/>
      <c r="FCE43" s="1044"/>
      <c r="FCF43" s="1044"/>
      <c r="FCG43" s="1044"/>
      <c r="FCH43" s="1044"/>
      <c r="FCI43" s="1044"/>
      <c r="FCJ43" s="1044"/>
      <c r="FCK43" s="1044"/>
      <c r="FCL43" s="1044"/>
      <c r="FCM43" s="1044"/>
      <c r="FCN43" s="1044"/>
      <c r="FCO43" s="1044"/>
      <c r="FCP43" s="1044"/>
      <c r="FCQ43" s="1044"/>
      <c r="FCR43" s="1044"/>
      <c r="FCS43" s="1044"/>
      <c r="FCT43" s="1044"/>
      <c r="FCU43" s="1044"/>
      <c r="FCV43" s="1044"/>
      <c r="FCW43" s="1044"/>
      <c r="FCX43" s="1044"/>
      <c r="FCY43" s="1044"/>
      <c r="FCZ43" s="1044"/>
      <c r="FDA43" s="1044"/>
      <c r="FDB43" s="1044"/>
      <c r="FDC43" s="1044"/>
      <c r="FDD43" s="1044"/>
      <c r="FDE43" s="1044"/>
      <c r="FDF43" s="1044"/>
      <c r="FDG43" s="1044"/>
      <c r="FDH43" s="1044"/>
      <c r="FDI43" s="1044"/>
      <c r="FDJ43" s="1044"/>
      <c r="FDK43" s="1044"/>
      <c r="FDL43" s="1044"/>
      <c r="FDM43" s="1044"/>
      <c r="FDN43" s="1044"/>
      <c r="FDO43" s="1044"/>
      <c r="FDP43" s="1044"/>
      <c r="FDQ43" s="1044"/>
      <c r="FDR43" s="1044"/>
      <c r="FDS43" s="1044"/>
      <c r="FDT43" s="1044"/>
      <c r="FDU43" s="1044"/>
      <c r="FDV43" s="1044"/>
      <c r="FDW43" s="1044"/>
      <c r="FDX43" s="1044"/>
      <c r="FDY43" s="1044"/>
      <c r="FDZ43" s="1044"/>
      <c r="FEA43" s="1044"/>
      <c r="FEB43" s="1044"/>
      <c r="FEC43" s="1044"/>
      <c r="FED43" s="1044"/>
      <c r="FEE43" s="1044"/>
      <c r="FEF43" s="1044"/>
      <c r="FEG43" s="1044"/>
      <c r="FEH43" s="1044"/>
      <c r="FEI43" s="1044"/>
      <c r="FEJ43" s="1044"/>
      <c r="FEK43" s="1044"/>
      <c r="FEL43" s="1044"/>
      <c r="FEM43" s="1044"/>
      <c r="FEN43" s="1044"/>
      <c r="FEO43" s="1044"/>
      <c r="FEP43" s="1044"/>
      <c r="FEQ43" s="1044"/>
      <c r="FER43" s="1044"/>
      <c r="FES43" s="1044"/>
      <c r="FET43" s="1044"/>
      <c r="FEU43" s="1044"/>
      <c r="FEV43" s="1044"/>
      <c r="FEW43" s="1044"/>
      <c r="FEX43" s="1044"/>
      <c r="FEY43" s="1044"/>
      <c r="FEZ43" s="1044"/>
      <c r="FFA43" s="1044"/>
      <c r="FFB43" s="1044"/>
      <c r="FFC43" s="1044"/>
      <c r="FFD43" s="1044"/>
      <c r="FFE43" s="1044"/>
      <c r="FFF43" s="1044"/>
      <c r="FFG43" s="1044"/>
      <c r="FFH43" s="1044"/>
      <c r="FFI43" s="1044"/>
      <c r="FFJ43" s="1044"/>
      <c r="FFK43" s="1044"/>
      <c r="FFL43" s="1044"/>
      <c r="FFM43" s="1044"/>
      <c r="FFN43" s="1044"/>
      <c r="FFO43" s="1044"/>
      <c r="FFP43" s="1044"/>
      <c r="FFQ43" s="1044"/>
      <c r="FFR43" s="1044"/>
      <c r="FFS43" s="1044"/>
      <c r="FFT43" s="1044"/>
      <c r="FFU43" s="1044"/>
      <c r="FFV43" s="1044"/>
      <c r="FFW43" s="1044"/>
      <c r="FFX43" s="1044"/>
      <c r="FFY43" s="1044"/>
      <c r="FFZ43" s="1044"/>
      <c r="FGA43" s="1044"/>
      <c r="FGB43" s="1044"/>
      <c r="FGC43" s="1044"/>
      <c r="FGD43" s="1044"/>
      <c r="FGE43" s="1044"/>
      <c r="FGF43" s="1044"/>
      <c r="FGG43" s="1044"/>
      <c r="FGH43" s="1044"/>
      <c r="FGI43" s="1044"/>
      <c r="FGJ43" s="1044"/>
      <c r="FGK43" s="1044"/>
      <c r="FGL43" s="1044"/>
      <c r="FGM43" s="1044"/>
      <c r="FGN43" s="1044"/>
      <c r="FGO43" s="1044"/>
      <c r="FGP43" s="1044"/>
      <c r="FGQ43" s="1044"/>
      <c r="FGR43" s="1044"/>
      <c r="FGS43" s="1044"/>
      <c r="FGT43" s="1044"/>
      <c r="FGU43" s="1044"/>
      <c r="FGV43" s="1044"/>
      <c r="FGW43" s="1044"/>
      <c r="FGX43" s="1044"/>
      <c r="FGY43" s="1044"/>
      <c r="FGZ43" s="1044"/>
      <c r="FHA43" s="1044"/>
      <c r="FHB43" s="1044"/>
      <c r="FHC43" s="1044"/>
      <c r="FHD43" s="1044"/>
      <c r="FHE43" s="1044"/>
      <c r="FHF43" s="1044"/>
      <c r="FHG43" s="1044"/>
      <c r="FHH43" s="1044"/>
      <c r="FHI43" s="1044"/>
      <c r="FHJ43" s="1044"/>
      <c r="FHK43" s="1044"/>
      <c r="FHL43" s="1044"/>
      <c r="FHM43" s="1044"/>
      <c r="FHN43" s="1044"/>
      <c r="FHO43" s="1044"/>
      <c r="FHP43" s="1044"/>
      <c r="FHQ43" s="1044"/>
      <c r="FHR43" s="1044"/>
      <c r="FHS43" s="1044"/>
      <c r="FHT43" s="1044"/>
      <c r="FHU43" s="1044"/>
      <c r="FHV43" s="1044"/>
      <c r="FHW43" s="1044"/>
      <c r="FHX43" s="1044"/>
      <c r="FHY43" s="1044"/>
      <c r="FHZ43" s="1044"/>
      <c r="FIA43" s="1044"/>
      <c r="FIB43" s="1044"/>
      <c r="FIC43" s="1044"/>
      <c r="FID43" s="1044"/>
      <c r="FIE43" s="1044"/>
      <c r="FIF43" s="1044"/>
      <c r="FIG43" s="1044"/>
      <c r="FIH43" s="1044"/>
      <c r="FII43" s="1044"/>
      <c r="FIJ43" s="1044"/>
      <c r="FIK43" s="1044"/>
      <c r="FIL43" s="1044"/>
      <c r="FIM43" s="1044"/>
      <c r="FIN43" s="1044"/>
      <c r="FIO43" s="1044"/>
      <c r="FIP43" s="1044"/>
      <c r="FIQ43" s="1044"/>
      <c r="FIR43" s="1044"/>
      <c r="FIS43" s="1044"/>
      <c r="FIT43" s="1044"/>
      <c r="FIU43" s="1044"/>
      <c r="FIV43" s="1044"/>
      <c r="FIW43" s="1044"/>
      <c r="FIX43" s="1044"/>
      <c r="FIY43" s="1044"/>
      <c r="FIZ43" s="1044"/>
      <c r="FJA43" s="1044"/>
      <c r="FJB43" s="1044"/>
      <c r="FJC43" s="1044"/>
      <c r="FJD43" s="1044"/>
      <c r="FJE43" s="1044"/>
      <c r="FJF43" s="1044"/>
      <c r="FJG43" s="1044"/>
      <c r="FJH43" s="1044"/>
      <c r="FJI43" s="1044"/>
      <c r="FJJ43" s="1044"/>
      <c r="FJK43" s="1044"/>
      <c r="FJL43" s="1044"/>
      <c r="FJM43" s="1044"/>
      <c r="FJN43" s="1044"/>
      <c r="FJO43" s="1044"/>
      <c r="FJP43" s="1044"/>
      <c r="FJQ43" s="1044"/>
      <c r="FJR43" s="1044"/>
      <c r="FJS43" s="1044"/>
      <c r="FJT43" s="1044"/>
      <c r="FJU43" s="1044"/>
      <c r="FJV43" s="1044"/>
      <c r="FJW43" s="1044"/>
      <c r="FJX43" s="1044"/>
      <c r="FJY43" s="1044"/>
      <c r="FJZ43" s="1044"/>
      <c r="FKA43" s="1044"/>
      <c r="FKB43" s="1044"/>
      <c r="FKC43" s="1044"/>
      <c r="FKD43" s="1044"/>
      <c r="FKE43" s="1044"/>
      <c r="FKF43" s="1044"/>
      <c r="FKG43" s="1044"/>
      <c r="FKH43" s="1044"/>
      <c r="FKI43" s="1044"/>
      <c r="FKJ43" s="1044"/>
      <c r="FKK43" s="1044"/>
      <c r="FKL43" s="1044"/>
      <c r="FKM43" s="1044"/>
      <c r="FKN43" s="1044"/>
      <c r="FKO43" s="1044"/>
      <c r="FKP43" s="1044"/>
      <c r="FKQ43" s="1044"/>
      <c r="FKR43" s="1044"/>
      <c r="FKS43" s="1044"/>
      <c r="FKT43" s="1044"/>
      <c r="FKU43" s="1044"/>
      <c r="FKV43" s="1044"/>
      <c r="FKW43" s="1044"/>
      <c r="FKX43" s="1044"/>
      <c r="FKY43" s="1044"/>
      <c r="FKZ43" s="1044"/>
      <c r="FLA43" s="1044"/>
      <c r="FLB43" s="1044"/>
      <c r="FLC43" s="1044"/>
      <c r="FLD43" s="1044"/>
      <c r="FLE43" s="1044"/>
      <c r="FLF43" s="1044"/>
      <c r="FLG43" s="1044"/>
      <c r="FLH43" s="1044"/>
      <c r="FLI43" s="1044"/>
      <c r="FLJ43" s="1044"/>
      <c r="FLK43" s="1044"/>
      <c r="FLL43" s="1044"/>
      <c r="FLM43" s="1044"/>
      <c r="FLN43" s="1044"/>
      <c r="FLO43" s="1044"/>
      <c r="FLP43" s="1044"/>
      <c r="FLQ43" s="1044"/>
      <c r="FLR43" s="1044"/>
      <c r="FLS43" s="1044"/>
      <c r="FLT43" s="1044"/>
      <c r="FLU43" s="1044"/>
      <c r="FLV43" s="1044"/>
      <c r="FLW43" s="1044"/>
      <c r="FLX43" s="1044"/>
      <c r="FLY43" s="1044"/>
      <c r="FLZ43" s="1044"/>
      <c r="FMA43" s="1044"/>
      <c r="FMB43" s="1044"/>
      <c r="FMC43" s="1044"/>
      <c r="FMD43" s="1044"/>
      <c r="FME43" s="1044"/>
      <c r="FMF43" s="1044"/>
      <c r="FMG43" s="1044"/>
      <c r="FMH43" s="1044"/>
      <c r="FMI43" s="1044"/>
      <c r="FMJ43" s="1044"/>
      <c r="FMK43" s="1044"/>
      <c r="FML43" s="1044"/>
      <c r="FMM43" s="1044"/>
      <c r="FMN43" s="1044"/>
      <c r="FMO43" s="1044"/>
      <c r="FMP43" s="1044"/>
      <c r="FMQ43" s="1044"/>
      <c r="FMR43" s="1044"/>
      <c r="FMS43" s="1044"/>
      <c r="FMT43" s="1044"/>
      <c r="FMU43" s="1044"/>
      <c r="FMV43" s="1044"/>
      <c r="FMW43" s="1044"/>
      <c r="FMX43" s="1044"/>
      <c r="FMY43" s="1044"/>
      <c r="FMZ43" s="1044"/>
      <c r="FNA43" s="1044"/>
      <c r="FNB43" s="1044"/>
      <c r="FNC43" s="1044"/>
      <c r="FND43" s="1044"/>
      <c r="FNE43" s="1044"/>
      <c r="FNF43" s="1044"/>
      <c r="FNG43" s="1044"/>
      <c r="FNH43" s="1044"/>
      <c r="FNI43" s="1044"/>
      <c r="FNJ43" s="1044"/>
      <c r="FNK43" s="1044"/>
      <c r="FNL43" s="1044"/>
      <c r="FNM43" s="1044"/>
      <c r="FNN43" s="1044"/>
      <c r="FNO43" s="1044"/>
      <c r="FNP43" s="1044"/>
      <c r="FNQ43" s="1044"/>
      <c r="FNR43" s="1044"/>
      <c r="FNS43" s="1044"/>
      <c r="FNT43" s="1044"/>
      <c r="FNU43" s="1044"/>
      <c r="FNV43" s="1044"/>
      <c r="FNW43" s="1044"/>
      <c r="FNX43" s="1044"/>
      <c r="FNY43" s="1044"/>
      <c r="FNZ43" s="1044"/>
      <c r="FOA43" s="1044"/>
      <c r="FOB43" s="1044"/>
      <c r="FOC43" s="1044"/>
      <c r="FOD43" s="1044"/>
      <c r="FOE43" s="1044"/>
      <c r="FOF43" s="1044"/>
      <c r="FOG43" s="1044"/>
      <c r="FOH43" s="1044"/>
      <c r="FOI43" s="1044"/>
      <c r="FOJ43" s="1044"/>
      <c r="FOK43" s="1044"/>
      <c r="FOL43" s="1044"/>
      <c r="FOM43" s="1044"/>
      <c r="FON43" s="1044"/>
      <c r="FOO43" s="1044"/>
      <c r="FOP43" s="1044"/>
      <c r="FOQ43" s="1044"/>
      <c r="FOR43" s="1044"/>
      <c r="FOS43" s="1044"/>
      <c r="FOT43" s="1044"/>
      <c r="FOU43" s="1044"/>
      <c r="FOV43" s="1044"/>
      <c r="FOW43" s="1044"/>
      <c r="FOX43" s="1044"/>
      <c r="FOY43" s="1044"/>
      <c r="FOZ43" s="1044"/>
      <c r="FPA43" s="1044"/>
      <c r="FPB43" s="1044"/>
      <c r="FPC43" s="1044"/>
      <c r="FPD43" s="1044"/>
      <c r="FPE43" s="1044"/>
      <c r="FPF43" s="1044"/>
      <c r="FPG43" s="1044"/>
      <c r="FPH43" s="1044"/>
      <c r="FPI43" s="1044"/>
      <c r="FPJ43" s="1044"/>
      <c r="FPK43" s="1044"/>
      <c r="FPL43" s="1044"/>
      <c r="FPM43" s="1044"/>
      <c r="FPN43" s="1044"/>
      <c r="FPO43" s="1044"/>
      <c r="FPP43" s="1044"/>
      <c r="FPQ43" s="1044"/>
      <c r="FPR43" s="1044"/>
      <c r="FPS43" s="1044"/>
      <c r="FPT43" s="1044"/>
      <c r="FPU43" s="1044"/>
      <c r="FPV43" s="1044"/>
      <c r="FPW43" s="1044"/>
      <c r="FPX43" s="1044"/>
      <c r="FPY43" s="1044"/>
      <c r="FPZ43" s="1044"/>
      <c r="FQA43" s="1044"/>
      <c r="FQB43" s="1044"/>
      <c r="FQC43" s="1044"/>
      <c r="FQD43" s="1044"/>
      <c r="FQE43" s="1044"/>
      <c r="FQF43" s="1044"/>
      <c r="FQG43" s="1044"/>
      <c r="FQH43" s="1044"/>
      <c r="FQI43" s="1044"/>
      <c r="FQJ43" s="1044"/>
      <c r="FQK43" s="1044"/>
      <c r="FQL43" s="1044"/>
      <c r="FQM43" s="1044"/>
      <c r="FQN43" s="1044"/>
      <c r="FQO43" s="1044"/>
      <c r="FQP43" s="1044"/>
      <c r="FQQ43" s="1044"/>
      <c r="FQR43" s="1044"/>
      <c r="FQS43" s="1044"/>
      <c r="FQT43" s="1044"/>
      <c r="FQU43" s="1044"/>
      <c r="FQV43" s="1044"/>
      <c r="FQW43" s="1044"/>
      <c r="FQX43" s="1044"/>
      <c r="FQY43" s="1044"/>
      <c r="FQZ43" s="1044"/>
      <c r="FRA43" s="1044"/>
      <c r="FRB43" s="1044"/>
      <c r="FRC43" s="1044"/>
      <c r="FRD43" s="1044"/>
      <c r="FRE43" s="1044"/>
      <c r="FRF43" s="1044"/>
      <c r="FRG43" s="1044"/>
      <c r="FRH43" s="1044"/>
      <c r="FRI43" s="1044"/>
      <c r="FRJ43" s="1044"/>
      <c r="FRK43" s="1044"/>
      <c r="FRL43" s="1044"/>
      <c r="FRM43" s="1044"/>
      <c r="FRN43" s="1044"/>
      <c r="FRO43" s="1044"/>
      <c r="FRP43" s="1044"/>
      <c r="FRQ43" s="1044"/>
      <c r="FRR43" s="1044"/>
      <c r="FRS43" s="1044"/>
      <c r="FRT43" s="1044"/>
      <c r="FRU43" s="1044"/>
      <c r="FRV43" s="1044"/>
      <c r="FRW43" s="1044"/>
      <c r="FRX43" s="1044"/>
      <c r="FRY43" s="1044"/>
      <c r="FRZ43" s="1044"/>
      <c r="FSA43" s="1044"/>
      <c r="FSB43" s="1044"/>
      <c r="FSC43" s="1044"/>
      <c r="FSD43" s="1044"/>
      <c r="FSE43" s="1044"/>
      <c r="FSF43" s="1044"/>
      <c r="FSG43" s="1044"/>
      <c r="FSH43" s="1044"/>
      <c r="FSI43" s="1044"/>
      <c r="FSJ43" s="1044"/>
      <c r="FSK43" s="1044"/>
      <c r="FSL43" s="1044"/>
      <c r="FSM43" s="1044"/>
      <c r="FSN43" s="1044"/>
      <c r="FSO43" s="1044"/>
      <c r="FSP43" s="1044"/>
      <c r="FSQ43" s="1044"/>
      <c r="FSR43" s="1044"/>
      <c r="FSS43" s="1044"/>
      <c r="FST43" s="1044"/>
      <c r="FSU43" s="1044"/>
      <c r="FSV43" s="1044"/>
      <c r="FSW43" s="1044"/>
      <c r="FSX43" s="1044"/>
      <c r="FSY43" s="1044"/>
      <c r="FSZ43" s="1044"/>
      <c r="FTA43" s="1044"/>
      <c r="FTB43" s="1044"/>
      <c r="FTC43" s="1044"/>
      <c r="FTD43" s="1044"/>
      <c r="FTE43" s="1044"/>
      <c r="FTF43" s="1044"/>
      <c r="FTG43" s="1044"/>
      <c r="FTH43" s="1044"/>
      <c r="FTI43" s="1044"/>
      <c r="FTJ43" s="1044"/>
      <c r="FTK43" s="1044"/>
      <c r="FTL43" s="1044"/>
      <c r="FTM43" s="1044"/>
      <c r="FTN43" s="1044"/>
      <c r="FTO43" s="1044"/>
      <c r="FTP43" s="1044"/>
      <c r="FTQ43" s="1044"/>
      <c r="FTR43" s="1044"/>
      <c r="FTS43" s="1044"/>
      <c r="FTT43" s="1044"/>
      <c r="FTU43" s="1044"/>
      <c r="FTV43" s="1044"/>
      <c r="FTW43" s="1044"/>
      <c r="FTX43" s="1044"/>
      <c r="FTY43" s="1044"/>
      <c r="FTZ43" s="1044"/>
      <c r="FUA43" s="1044"/>
      <c r="FUB43" s="1044"/>
      <c r="FUC43" s="1044"/>
      <c r="FUD43" s="1044"/>
      <c r="FUE43" s="1044"/>
      <c r="FUF43" s="1044"/>
      <c r="FUG43" s="1044"/>
      <c r="FUH43" s="1044"/>
      <c r="FUI43" s="1044"/>
      <c r="FUJ43" s="1044"/>
      <c r="FUK43" s="1044"/>
      <c r="FUL43" s="1044"/>
      <c r="FUM43" s="1044"/>
      <c r="FUN43" s="1044"/>
      <c r="FUO43" s="1044"/>
      <c r="FUP43" s="1044"/>
      <c r="FUQ43" s="1044"/>
      <c r="FUR43" s="1044"/>
      <c r="FUS43" s="1044"/>
      <c r="FUT43" s="1044"/>
      <c r="FUU43" s="1044"/>
      <c r="FUV43" s="1044"/>
      <c r="FUW43" s="1044"/>
      <c r="FUX43" s="1044"/>
      <c r="FUY43" s="1044"/>
      <c r="FUZ43" s="1044"/>
      <c r="FVA43" s="1044"/>
      <c r="FVB43" s="1044"/>
      <c r="FVC43" s="1044"/>
      <c r="FVD43" s="1044"/>
      <c r="FVE43" s="1044"/>
      <c r="FVF43" s="1044"/>
      <c r="FVG43" s="1044"/>
      <c r="FVH43" s="1044"/>
      <c r="FVI43" s="1044"/>
      <c r="FVJ43" s="1044"/>
      <c r="FVK43" s="1044"/>
      <c r="FVL43" s="1044"/>
      <c r="FVM43" s="1044"/>
      <c r="FVN43" s="1044"/>
      <c r="FVO43" s="1044"/>
      <c r="FVP43" s="1044"/>
      <c r="FVQ43" s="1044"/>
      <c r="FVR43" s="1044"/>
      <c r="FVS43" s="1044"/>
      <c r="FVT43" s="1044"/>
      <c r="FVU43" s="1044"/>
      <c r="FVV43" s="1044"/>
      <c r="FVW43" s="1044"/>
      <c r="FVX43" s="1044"/>
      <c r="FVY43" s="1044"/>
      <c r="FVZ43" s="1044"/>
      <c r="FWA43" s="1044"/>
      <c r="FWB43" s="1044"/>
      <c r="FWC43" s="1044"/>
      <c r="FWD43" s="1044"/>
      <c r="FWE43" s="1044"/>
      <c r="FWF43" s="1044"/>
      <c r="FWG43" s="1044"/>
      <c r="FWH43" s="1044"/>
      <c r="FWI43" s="1044"/>
      <c r="FWJ43" s="1044"/>
      <c r="FWK43" s="1044"/>
      <c r="FWL43" s="1044"/>
      <c r="FWM43" s="1044"/>
      <c r="FWN43" s="1044"/>
      <c r="FWO43" s="1044"/>
      <c r="FWP43" s="1044"/>
      <c r="FWQ43" s="1044"/>
      <c r="FWR43" s="1044"/>
      <c r="FWS43" s="1044"/>
      <c r="FWT43" s="1044"/>
      <c r="FWU43" s="1044"/>
      <c r="FWV43" s="1044"/>
      <c r="FWW43" s="1044"/>
      <c r="FWX43" s="1044"/>
      <c r="FWY43" s="1044"/>
      <c r="FWZ43" s="1044"/>
      <c r="FXA43" s="1044"/>
      <c r="FXB43" s="1044"/>
      <c r="FXC43" s="1044"/>
      <c r="FXD43" s="1044"/>
      <c r="FXE43" s="1044"/>
      <c r="FXF43" s="1044"/>
      <c r="FXG43" s="1044"/>
      <c r="FXH43" s="1044"/>
      <c r="FXI43" s="1044"/>
      <c r="FXJ43" s="1044"/>
      <c r="FXK43" s="1044"/>
      <c r="FXL43" s="1044"/>
      <c r="FXM43" s="1044"/>
      <c r="FXN43" s="1044"/>
      <c r="FXO43" s="1044"/>
      <c r="FXP43" s="1044"/>
      <c r="FXQ43" s="1044"/>
      <c r="FXR43" s="1044"/>
      <c r="FXS43" s="1044"/>
      <c r="FXT43" s="1044"/>
      <c r="FXU43" s="1044"/>
      <c r="FXV43" s="1044"/>
      <c r="FXW43" s="1044"/>
      <c r="FXX43" s="1044"/>
      <c r="FXY43" s="1044"/>
      <c r="FXZ43" s="1044"/>
      <c r="FYA43" s="1044"/>
      <c r="FYB43" s="1044"/>
      <c r="FYC43" s="1044"/>
      <c r="FYD43" s="1044"/>
      <c r="FYE43" s="1044"/>
      <c r="FYF43" s="1044"/>
      <c r="FYG43" s="1044"/>
      <c r="FYH43" s="1044"/>
      <c r="FYI43" s="1044"/>
      <c r="FYJ43" s="1044"/>
      <c r="FYK43" s="1044"/>
      <c r="FYL43" s="1044"/>
      <c r="FYM43" s="1044"/>
      <c r="FYN43" s="1044"/>
      <c r="FYO43" s="1044"/>
      <c r="FYP43" s="1044"/>
      <c r="FYQ43" s="1044"/>
      <c r="FYR43" s="1044"/>
      <c r="FYS43" s="1044"/>
      <c r="FYT43" s="1044"/>
      <c r="FYU43" s="1044"/>
      <c r="FYV43" s="1044"/>
      <c r="FYW43" s="1044"/>
      <c r="FYX43" s="1044"/>
      <c r="FYY43" s="1044"/>
      <c r="FYZ43" s="1044"/>
      <c r="FZA43" s="1044"/>
      <c r="FZB43" s="1044"/>
      <c r="FZC43" s="1044"/>
      <c r="FZD43" s="1044"/>
      <c r="FZE43" s="1044"/>
      <c r="FZF43" s="1044"/>
      <c r="FZG43" s="1044"/>
      <c r="FZH43" s="1044"/>
      <c r="FZI43" s="1044"/>
      <c r="FZJ43" s="1044"/>
      <c r="FZK43" s="1044"/>
      <c r="FZL43" s="1044"/>
      <c r="FZM43" s="1044"/>
      <c r="FZN43" s="1044"/>
      <c r="FZO43" s="1044"/>
      <c r="FZP43" s="1044"/>
      <c r="FZQ43" s="1044"/>
      <c r="FZR43" s="1044"/>
      <c r="FZS43" s="1044"/>
      <c r="FZT43" s="1044"/>
      <c r="FZU43" s="1044"/>
      <c r="FZV43" s="1044"/>
      <c r="FZW43" s="1044"/>
      <c r="FZX43" s="1044"/>
      <c r="FZY43" s="1044"/>
      <c r="FZZ43" s="1044"/>
      <c r="GAA43" s="1044"/>
      <c r="GAB43" s="1044"/>
      <c r="GAC43" s="1044"/>
      <c r="GAD43" s="1044"/>
      <c r="GAE43" s="1044"/>
      <c r="GAF43" s="1044"/>
      <c r="GAG43" s="1044"/>
      <c r="GAH43" s="1044"/>
      <c r="GAI43" s="1044"/>
      <c r="GAJ43" s="1044"/>
      <c r="GAK43" s="1044"/>
      <c r="GAL43" s="1044"/>
      <c r="GAM43" s="1044"/>
      <c r="GAN43" s="1044"/>
      <c r="GAO43" s="1044"/>
      <c r="GAP43" s="1044"/>
      <c r="GAQ43" s="1044"/>
      <c r="GAR43" s="1044"/>
      <c r="GAS43" s="1044"/>
      <c r="GAT43" s="1044"/>
      <c r="GAU43" s="1044"/>
      <c r="GAV43" s="1044"/>
      <c r="GAW43" s="1044"/>
      <c r="GAX43" s="1044"/>
      <c r="GAY43" s="1044"/>
      <c r="GAZ43" s="1044"/>
      <c r="GBA43" s="1044"/>
      <c r="GBB43" s="1044"/>
      <c r="GBC43" s="1044"/>
      <c r="GBD43" s="1044"/>
      <c r="GBE43" s="1044"/>
      <c r="GBF43" s="1044"/>
      <c r="GBG43" s="1044"/>
      <c r="GBH43" s="1044"/>
      <c r="GBI43" s="1044"/>
      <c r="GBJ43" s="1044"/>
      <c r="GBK43" s="1044"/>
      <c r="GBL43" s="1044"/>
      <c r="GBM43" s="1044"/>
      <c r="GBN43" s="1044"/>
      <c r="GBO43" s="1044"/>
      <c r="GBP43" s="1044"/>
      <c r="GBQ43" s="1044"/>
      <c r="GBR43" s="1044"/>
      <c r="GBS43" s="1044"/>
      <c r="GBT43" s="1044"/>
      <c r="GBU43" s="1044"/>
      <c r="GBV43" s="1044"/>
      <c r="GBW43" s="1044"/>
      <c r="GBX43" s="1044"/>
      <c r="GBY43" s="1044"/>
      <c r="GBZ43" s="1044"/>
      <c r="GCA43" s="1044"/>
      <c r="GCB43" s="1044"/>
      <c r="GCC43" s="1044"/>
      <c r="GCD43" s="1044"/>
      <c r="GCE43" s="1044"/>
      <c r="GCF43" s="1044"/>
      <c r="GCG43" s="1044"/>
      <c r="GCH43" s="1044"/>
      <c r="GCI43" s="1044"/>
      <c r="GCJ43" s="1044"/>
      <c r="GCK43" s="1044"/>
      <c r="GCL43" s="1044"/>
      <c r="GCM43" s="1044"/>
      <c r="GCN43" s="1044"/>
      <c r="GCO43" s="1044"/>
      <c r="GCP43" s="1044"/>
      <c r="GCQ43" s="1044"/>
      <c r="GCR43" s="1044"/>
      <c r="GCS43" s="1044"/>
      <c r="GCT43" s="1044"/>
      <c r="GCU43" s="1044"/>
      <c r="GCV43" s="1044"/>
      <c r="GCW43" s="1044"/>
      <c r="GCX43" s="1044"/>
      <c r="GCY43" s="1044"/>
      <c r="GCZ43" s="1044"/>
      <c r="GDA43" s="1044"/>
      <c r="GDB43" s="1044"/>
      <c r="GDC43" s="1044"/>
      <c r="GDD43" s="1044"/>
      <c r="GDE43" s="1044"/>
      <c r="GDF43" s="1044"/>
      <c r="GDG43" s="1044"/>
      <c r="GDH43" s="1044"/>
      <c r="GDI43" s="1044"/>
      <c r="GDJ43" s="1044"/>
      <c r="GDK43" s="1044"/>
      <c r="GDL43" s="1044"/>
      <c r="GDM43" s="1044"/>
      <c r="GDN43" s="1044"/>
      <c r="GDO43" s="1044"/>
      <c r="GDP43" s="1044"/>
      <c r="GDQ43" s="1044"/>
      <c r="GDR43" s="1044"/>
      <c r="GDS43" s="1044"/>
      <c r="GDT43" s="1044"/>
      <c r="GDU43" s="1044"/>
      <c r="GDV43" s="1044"/>
      <c r="GDW43" s="1044"/>
      <c r="GDX43" s="1044"/>
      <c r="GDY43" s="1044"/>
      <c r="GDZ43" s="1044"/>
      <c r="GEA43" s="1044"/>
      <c r="GEB43" s="1044"/>
      <c r="GEC43" s="1044"/>
      <c r="GED43" s="1044"/>
      <c r="GEE43" s="1044"/>
      <c r="GEF43" s="1044"/>
      <c r="GEG43" s="1044"/>
      <c r="GEH43" s="1044"/>
      <c r="GEI43" s="1044"/>
      <c r="GEJ43" s="1044"/>
      <c r="GEK43" s="1044"/>
      <c r="GEL43" s="1044"/>
      <c r="GEM43" s="1044"/>
      <c r="GEN43" s="1044"/>
      <c r="GEO43" s="1044"/>
      <c r="GEP43" s="1044"/>
      <c r="GEQ43" s="1044"/>
      <c r="GER43" s="1044"/>
      <c r="GES43" s="1044"/>
      <c r="GET43" s="1044"/>
      <c r="GEU43" s="1044"/>
      <c r="GEV43" s="1044"/>
      <c r="GEW43" s="1044"/>
      <c r="GEX43" s="1044"/>
      <c r="GEY43" s="1044"/>
      <c r="GEZ43" s="1044"/>
      <c r="GFA43" s="1044"/>
      <c r="GFB43" s="1044"/>
      <c r="GFC43" s="1044"/>
      <c r="GFD43" s="1044"/>
      <c r="GFE43" s="1044"/>
      <c r="GFF43" s="1044"/>
      <c r="GFG43" s="1044"/>
      <c r="GFH43" s="1044"/>
      <c r="GFI43" s="1044"/>
      <c r="GFJ43" s="1044"/>
      <c r="GFK43" s="1044"/>
      <c r="GFL43" s="1044"/>
      <c r="GFM43" s="1044"/>
      <c r="GFN43" s="1044"/>
      <c r="GFO43" s="1044"/>
      <c r="GFP43" s="1044"/>
      <c r="GFQ43" s="1044"/>
      <c r="GFR43" s="1044"/>
      <c r="GFS43" s="1044"/>
      <c r="GFT43" s="1044"/>
      <c r="GFU43" s="1044"/>
      <c r="GFV43" s="1044"/>
      <c r="GFW43" s="1044"/>
      <c r="GFX43" s="1044"/>
      <c r="GFY43" s="1044"/>
      <c r="GFZ43" s="1044"/>
      <c r="GGA43" s="1044"/>
      <c r="GGB43" s="1044"/>
      <c r="GGC43" s="1044"/>
      <c r="GGD43" s="1044"/>
      <c r="GGE43" s="1044"/>
      <c r="GGF43" s="1044"/>
      <c r="GGG43" s="1044"/>
      <c r="GGH43" s="1044"/>
      <c r="GGI43" s="1044"/>
      <c r="GGJ43" s="1044"/>
      <c r="GGK43" s="1044"/>
      <c r="GGL43" s="1044"/>
      <c r="GGM43" s="1044"/>
      <c r="GGN43" s="1044"/>
      <c r="GGO43" s="1044"/>
      <c r="GGP43" s="1044"/>
      <c r="GGQ43" s="1044"/>
      <c r="GGR43" s="1044"/>
      <c r="GGS43" s="1044"/>
      <c r="GGT43" s="1044"/>
      <c r="GGU43" s="1044"/>
      <c r="GGV43" s="1044"/>
      <c r="GGW43" s="1044"/>
      <c r="GGX43" s="1044"/>
      <c r="GGY43" s="1044"/>
      <c r="GGZ43" s="1044"/>
      <c r="GHA43" s="1044"/>
      <c r="GHB43" s="1044"/>
      <c r="GHC43" s="1044"/>
      <c r="GHD43" s="1044"/>
      <c r="GHE43" s="1044"/>
      <c r="GHF43" s="1044"/>
      <c r="GHG43" s="1044"/>
      <c r="GHH43" s="1044"/>
      <c r="GHI43" s="1044"/>
      <c r="GHJ43" s="1044"/>
      <c r="GHK43" s="1044"/>
      <c r="GHL43" s="1044"/>
      <c r="GHM43" s="1044"/>
      <c r="GHN43" s="1044"/>
      <c r="GHO43" s="1044"/>
      <c r="GHP43" s="1044"/>
      <c r="GHQ43" s="1044"/>
      <c r="GHR43" s="1044"/>
      <c r="GHS43" s="1044"/>
      <c r="GHT43" s="1044"/>
      <c r="GHU43" s="1044"/>
      <c r="GHV43" s="1044"/>
      <c r="GHW43" s="1044"/>
      <c r="GHX43" s="1044"/>
      <c r="GHY43" s="1044"/>
      <c r="GHZ43" s="1044"/>
      <c r="GIA43" s="1044"/>
      <c r="GIB43" s="1044"/>
      <c r="GIC43" s="1044"/>
      <c r="GID43" s="1044"/>
      <c r="GIE43" s="1044"/>
      <c r="GIF43" s="1044"/>
      <c r="GIG43" s="1044"/>
      <c r="GIH43" s="1044"/>
      <c r="GII43" s="1044"/>
      <c r="GIJ43" s="1044"/>
      <c r="GIK43" s="1044"/>
      <c r="GIL43" s="1044"/>
      <c r="GIM43" s="1044"/>
      <c r="GIN43" s="1044"/>
      <c r="GIO43" s="1044"/>
      <c r="GIP43" s="1044"/>
      <c r="GIQ43" s="1044"/>
      <c r="GIR43" s="1044"/>
      <c r="GIS43" s="1044"/>
      <c r="GIT43" s="1044"/>
      <c r="GIU43" s="1044"/>
      <c r="GIV43" s="1044"/>
      <c r="GIW43" s="1044"/>
      <c r="GIX43" s="1044"/>
      <c r="GIY43" s="1044"/>
      <c r="GIZ43" s="1044"/>
      <c r="GJA43" s="1044"/>
      <c r="GJB43" s="1044"/>
      <c r="GJC43" s="1044"/>
      <c r="GJD43" s="1044"/>
      <c r="GJE43" s="1044"/>
      <c r="GJF43" s="1044"/>
      <c r="GJG43" s="1044"/>
      <c r="GJH43" s="1044"/>
      <c r="GJI43" s="1044"/>
      <c r="GJJ43" s="1044"/>
      <c r="GJK43" s="1044"/>
      <c r="GJL43" s="1044"/>
      <c r="GJM43" s="1044"/>
      <c r="GJN43" s="1044"/>
      <c r="GJO43" s="1044"/>
      <c r="GJP43" s="1044"/>
      <c r="GJQ43" s="1044"/>
      <c r="GJR43" s="1044"/>
      <c r="GJS43" s="1044"/>
      <c r="GJT43" s="1044"/>
      <c r="GJU43" s="1044"/>
      <c r="GJV43" s="1044"/>
      <c r="GJW43" s="1044"/>
      <c r="GJX43" s="1044"/>
      <c r="GJY43" s="1044"/>
      <c r="GJZ43" s="1044"/>
      <c r="GKA43" s="1044"/>
      <c r="GKB43" s="1044"/>
      <c r="GKC43" s="1044"/>
      <c r="GKD43" s="1044"/>
      <c r="GKE43" s="1044"/>
      <c r="GKF43" s="1044"/>
      <c r="GKG43" s="1044"/>
      <c r="GKH43" s="1044"/>
      <c r="GKI43" s="1044"/>
      <c r="GKJ43" s="1044"/>
      <c r="GKK43" s="1044"/>
      <c r="GKL43" s="1044"/>
      <c r="GKM43" s="1044"/>
      <c r="GKN43" s="1044"/>
      <c r="GKO43" s="1044"/>
      <c r="GKP43" s="1044"/>
      <c r="GKQ43" s="1044"/>
      <c r="GKR43" s="1044"/>
      <c r="GKS43" s="1044"/>
      <c r="GKT43" s="1044"/>
      <c r="GKU43" s="1044"/>
      <c r="GKV43" s="1044"/>
      <c r="GKW43" s="1044"/>
      <c r="GKX43" s="1044"/>
      <c r="GKY43" s="1044"/>
      <c r="GKZ43" s="1044"/>
      <c r="GLA43" s="1044"/>
      <c r="GLB43" s="1044"/>
      <c r="GLC43" s="1044"/>
      <c r="GLD43" s="1044"/>
      <c r="GLE43" s="1044"/>
      <c r="GLF43" s="1044"/>
      <c r="GLG43" s="1044"/>
      <c r="GLH43" s="1044"/>
      <c r="GLI43" s="1044"/>
      <c r="GLJ43" s="1044"/>
      <c r="GLK43" s="1044"/>
      <c r="GLL43" s="1044"/>
      <c r="GLM43" s="1044"/>
      <c r="GLN43" s="1044"/>
      <c r="GLO43" s="1044"/>
      <c r="GLP43" s="1044"/>
      <c r="GLQ43" s="1044"/>
      <c r="GLR43" s="1044"/>
      <c r="GLS43" s="1044"/>
      <c r="GLT43" s="1044"/>
      <c r="GLU43" s="1044"/>
      <c r="GLV43" s="1044"/>
      <c r="GLW43" s="1044"/>
      <c r="GLX43" s="1044"/>
      <c r="GLY43" s="1044"/>
      <c r="GLZ43" s="1044"/>
      <c r="GMA43" s="1044"/>
      <c r="GMB43" s="1044"/>
      <c r="GMC43" s="1044"/>
      <c r="GMD43" s="1044"/>
      <c r="GME43" s="1044"/>
      <c r="GMF43" s="1044"/>
      <c r="GMG43" s="1044"/>
      <c r="GMH43" s="1044"/>
      <c r="GMI43" s="1044"/>
      <c r="GMJ43" s="1044"/>
      <c r="GMK43" s="1044"/>
      <c r="GML43" s="1044"/>
      <c r="GMM43" s="1044"/>
      <c r="GMN43" s="1044"/>
      <c r="GMO43" s="1044"/>
      <c r="GMP43" s="1044"/>
      <c r="GMQ43" s="1044"/>
      <c r="GMR43" s="1044"/>
      <c r="GMS43" s="1044"/>
      <c r="GMT43" s="1044"/>
      <c r="GMU43" s="1044"/>
      <c r="GMV43" s="1044"/>
      <c r="GMW43" s="1044"/>
      <c r="GMX43" s="1044"/>
      <c r="GMY43" s="1044"/>
      <c r="GMZ43" s="1044"/>
      <c r="GNA43" s="1044"/>
      <c r="GNB43" s="1044"/>
      <c r="GNC43" s="1044"/>
      <c r="GND43" s="1044"/>
      <c r="GNE43" s="1044"/>
      <c r="GNF43" s="1044"/>
      <c r="GNG43" s="1044"/>
      <c r="GNH43" s="1044"/>
      <c r="GNI43" s="1044"/>
      <c r="GNJ43" s="1044"/>
      <c r="GNK43" s="1044"/>
      <c r="GNL43" s="1044"/>
      <c r="GNM43" s="1044"/>
      <c r="GNN43" s="1044"/>
      <c r="GNO43" s="1044"/>
      <c r="GNP43" s="1044"/>
      <c r="GNQ43" s="1044"/>
      <c r="GNR43" s="1044"/>
      <c r="GNS43" s="1044"/>
      <c r="GNT43" s="1044"/>
      <c r="GNU43" s="1044"/>
      <c r="GNV43" s="1044"/>
      <c r="GNW43" s="1044"/>
      <c r="GNX43" s="1044"/>
      <c r="GNY43" s="1044"/>
      <c r="GNZ43" s="1044"/>
      <c r="GOA43" s="1044"/>
      <c r="GOB43" s="1044"/>
      <c r="GOC43" s="1044"/>
      <c r="GOD43" s="1044"/>
      <c r="GOE43" s="1044"/>
      <c r="GOF43" s="1044"/>
      <c r="GOG43" s="1044"/>
      <c r="GOH43" s="1044"/>
      <c r="GOI43" s="1044"/>
      <c r="GOJ43" s="1044"/>
      <c r="GOK43" s="1044"/>
      <c r="GOL43" s="1044"/>
      <c r="GOM43" s="1044"/>
      <c r="GON43" s="1044"/>
      <c r="GOO43" s="1044"/>
      <c r="GOP43" s="1044"/>
      <c r="GOQ43" s="1044"/>
      <c r="GOR43" s="1044"/>
      <c r="GOS43" s="1044"/>
      <c r="GOT43" s="1044"/>
      <c r="GOU43" s="1044"/>
      <c r="GOV43" s="1044"/>
      <c r="GOW43" s="1044"/>
      <c r="GOX43" s="1044"/>
      <c r="GOY43" s="1044"/>
      <c r="GOZ43" s="1044"/>
      <c r="GPA43" s="1044"/>
      <c r="GPB43" s="1044"/>
      <c r="GPC43" s="1044"/>
      <c r="GPD43" s="1044"/>
      <c r="GPE43" s="1044"/>
      <c r="GPF43" s="1044"/>
      <c r="GPG43" s="1044"/>
      <c r="GPH43" s="1044"/>
      <c r="GPI43" s="1044"/>
      <c r="GPJ43" s="1044"/>
      <c r="GPK43" s="1044"/>
      <c r="GPL43" s="1044"/>
      <c r="GPM43" s="1044"/>
      <c r="GPN43" s="1044"/>
      <c r="GPO43" s="1044"/>
      <c r="GPP43" s="1044"/>
      <c r="GPQ43" s="1044"/>
      <c r="GPR43" s="1044"/>
      <c r="GPS43" s="1044"/>
      <c r="GPT43" s="1044"/>
      <c r="GPU43" s="1044"/>
      <c r="GPV43" s="1044"/>
      <c r="GPW43" s="1044"/>
      <c r="GPX43" s="1044"/>
      <c r="GPY43" s="1044"/>
      <c r="GPZ43" s="1044"/>
      <c r="GQA43" s="1044"/>
      <c r="GQB43" s="1044"/>
      <c r="GQC43" s="1044"/>
      <c r="GQD43" s="1044"/>
      <c r="GQE43" s="1044"/>
      <c r="GQF43" s="1044"/>
      <c r="GQG43" s="1044"/>
      <c r="GQH43" s="1044"/>
      <c r="GQI43" s="1044"/>
      <c r="GQJ43" s="1044"/>
      <c r="GQK43" s="1044"/>
      <c r="GQL43" s="1044"/>
      <c r="GQM43" s="1044"/>
      <c r="GQN43" s="1044"/>
      <c r="GQO43" s="1044"/>
      <c r="GQP43" s="1044"/>
      <c r="GQQ43" s="1044"/>
      <c r="GQR43" s="1044"/>
      <c r="GQS43" s="1044"/>
      <c r="GQT43" s="1044"/>
      <c r="GQU43" s="1044"/>
      <c r="GQV43" s="1044"/>
      <c r="GQW43" s="1044"/>
      <c r="GQX43" s="1044"/>
      <c r="GQY43" s="1044"/>
      <c r="GQZ43" s="1044"/>
      <c r="GRA43" s="1044"/>
      <c r="GRB43" s="1044"/>
      <c r="GRC43" s="1044"/>
      <c r="GRD43" s="1044"/>
      <c r="GRE43" s="1044"/>
      <c r="GRF43" s="1044"/>
      <c r="GRG43" s="1044"/>
      <c r="GRH43" s="1044"/>
      <c r="GRI43" s="1044"/>
      <c r="GRJ43" s="1044"/>
      <c r="GRK43" s="1044"/>
      <c r="GRL43" s="1044"/>
      <c r="GRM43" s="1044"/>
      <c r="GRN43" s="1044"/>
      <c r="GRO43" s="1044"/>
      <c r="GRP43" s="1044"/>
      <c r="GRQ43" s="1044"/>
      <c r="GRR43" s="1044"/>
      <c r="GRS43" s="1044"/>
      <c r="GRT43" s="1044"/>
      <c r="GRU43" s="1044"/>
      <c r="GRV43" s="1044"/>
      <c r="GRW43" s="1044"/>
      <c r="GRX43" s="1044"/>
      <c r="GRY43" s="1044"/>
      <c r="GRZ43" s="1044"/>
      <c r="GSA43" s="1044"/>
      <c r="GSB43" s="1044"/>
      <c r="GSC43" s="1044"/>
      <c r="GSD43" s="1044"/>
      <c r="GSE43" s="1044"/>
      <c r="GSF43" s="1044"/>
      <c r="GSG43" s="1044"/>
      <c r="GSH43" s="1044"/>
      <c r="GSI43" s="1044"/>
      <c r="GSJ43" s="1044"/>
      <c r="GSK43" s="1044"/>
      <c r="GSL43" s="1044"/>
      <c r="GSM43" s="1044"/>
      <c r="GSN43" s="1044"/>
      <c r="GSO43" s="1044"/>
      <c r="GSP43" s="1044"/>
      <c r="GSQ43" s="1044"/>
      <c r="GSR43" s="1044"/>
      <c r="GSS43" s="1044"/>
      <c r="GST43" s="1044"/>
      <c r="GSU43" s="1044"/>
      <c r="GSV43" s="1044"/>
      <c r="GSW43" s="1044"/>
      <c r="GSX43" s="1044"/>
      <c r="GSY43" s="1044"/>
      <c r="GSZ43" s="1044"/>
      <c r="GTA43" s="1044"/>
      <c r="GTB43" s="1044"/>
      <c r="GTC43" s="1044"/>
      <c r="GTD43" s="1044"/>
      <c r="GTE43" s="1044"/>
      <c r="GTF43" s="1044"/>
      <c r="GTG43" s="1044"/>
      <c r="GTH43" s="1044"/>
      <c r="GTI43" s="1044"/>
      <c r="GTJ43" s="1044"/>
      <c r="GTK43" s="1044"/>
      <c r="GTL43" s="1044"/>
      <c r="GTM43" s="1044"/>
      <c r="GTN43" s="1044"/>
      <c r="GTO43" s="1044"/>
      <c r="GTP43" s="1044"/>
      <c r="GTQ43" s="1044"/>
      <c r="GTR43" s="1044"/>
      <c r="GTS43" s="1044"/>
      <c r="GTT43" s="1044"/>
      <c r="GTU43" s="1044"/>
      <c r="GTV43" s="1044"/>
      <c r="GTW43" s="1044"/>
      <c r="GTX43" s="1044"/>
      <c r="GTY43" s="1044"/>
      <c r="GTZ43" s="1044"/>
      <c r="GUA43" s="1044"/>
      <c r="GUB43" s="1044"/>
      <c r="GUC43" s="1044"/>
      <c r="GUD43" s="1044"/>
      <c r="GUE43" s="1044"/>
      <c r="GUF43" s="1044"/>
      <c r="GUG43" s="1044"/>
      <c r="GUH43" s="1044"/>
      <c r="GUI43" s="1044"/>
      <c r="GUJ43" s="1044"/>
      <c r="GUK43" s="1044"/>
      <c r="GUL43" s="1044"/>
      <c r="GUM43" s="1044"/>
      <c r="GUN43" s="1044"/>
      <c r="GUO43" s="1044"/>
      <c r="GUP43" s="1044"/>
      <c r="GUQ43" s="1044"/>
      <c r="GUR43" s="1044"/>
      <c r="GUS43" s="1044"/>
      <c r="GUT43" s="1044"/>
      <c r="GUU43" s="1044"/>
      <c r="GUV43" s="1044"/>
      <c r="GUW43" s="1044"/>
      <c r="GUX43" s="1044"/>
      <c r="GUY43" s="1044"/>
      <c r="GUZ43" s="1044"/>
      <c r="GVA43" s="1044"/>
      <c r="GVB43" s="1044"/>
      <c r="GVC43" s="1044"/>
      <c r="GVD43" s="1044"/>
      <c r="GVE43" s="1044"/>
      <c r="GVF43" s="1044"/>
      <c r="GVG43" s="1044"/>
      <c r="GVH43" s="1044"/>
      <c r="GVI43" s="1044"/>
      <c r="GVJ43" s="1044"/>
      <c r="GVK43" s="1044"/>
      <c r="GVL43" s="1044"/>
      <c r="GVM43" s="1044"/>
      <c r="GVN43" s="1044"/>
      <c r="GVO43" s="1044"/>
      <c r="GVP43" s="1044"/>
      <c r="GVQ43" s="1044"/>
      <c r="GVR43" s="1044"/>
      <c r="GVS43" s="1044"/>
      <c r="GVT43" s="1044"/>
      <c r="GVU43" s="1044"/>
      <c r="GVV43" s="1044"/>
      <c r="GVW43" s="1044"/>
      <c r="GVX43" s="1044"/>
      <c r="GVY43" s="1044"/>
      <c r="GVZ43" s="1044"/>
      <c r="GWA43" s="1044"/>
      <c r="GWB43" s="1044"/>
      <c r="GWC43" s="1044"/>
      <c r="GWD43" s="1044"/>
      <c r="GWE43" s="1044"/>
      <c r="GWF43" s="1044"/>
      <c r="GWG43" s="1044"/>
      <c r="GWH43" s="1044"/>
      <c r="GWI43" s="1044"/>
      <c r="GWJ43" s="1044"/>
      <c r="GWK43" s="1044"/>
      <c r="GWL43" s="1044"/>
      <c r="GWM43" s="1044"/>
      <c r="GWN43" s="1044"/>
      <c r="GWO43" s="1044"/>
      <c r="GWP43" s="1044"/>
      <c r="GWQ43" s="1044"/>
      <c r="GWR43" s="1044"/>
      <c r="GWS43" s="1044"/>
      <c r="GWT43" s="1044"/>
      <c r="GWU43" s="1044"/>
      <c r="GWV43" s="1044"/>
      <c r="GWW43" s="1044"/>
      <c r="GWX43" s="1044"/>
      <c r="GWY43" s="1044"/>
      <c r="GWZ43" s="1044"/>
      <c r="GXA43" s="1044"/>
      <c r="GXB43" s="1044"/>
      <c r="GXC43" s="1044"/>
      <c r="GXD43" s="1044"/>
      <c r="GXE43" s="1044"/>
      <c r="GXF43" s="1044"/>
      <c r="GXG43" s="1044"/>
      <c r="GXH43" s="1044"/>
      <c r="GXI43" s="1044"/>
      <c r="GXJ43" s="1044"/>
      <c r="GXK43" s="1044"/>
      <c r="GXL43" s="1044"/>
      <c r="GXM43" s="1044"/>
      <c r="GXN43" s="1044"/>
      <c r="GXO43" s="1044"/>
      <c r="GXP43" s="1044"/>
      <c r="GXQ43" s="1044"/>
      <c r="GXR43" s="1044"/>
      <c r="GXS43" s="1044"/>
      <c r="GXT43" s="1044"/>
      <c r="GXU43" s="1044"/>
      <c r="GXV43" s="1044"/>
      <c r="GXW43" s="1044"/>
      <c r="GXX43" s="1044"/>
      <c r="GXY43" s="1044"/>
      <c r="GXZ43" s="1044"/>
      <c r="GYA43" s="1044"/>
      <c r="GYB43" s="1044"/>
      <c r="GYC43" s="1044"/>
      <c r="GYD43" s="1044"/>
      <c r="GYE43" s="1044"/>
      <c r="GYF43" s="1044"/>
      <c r="GYG43" s="1044"/>
      <c r="GYH43" s="1044"/>
      <c r="GYI43" s="1044"/>
      <c r="GYJ43" s="1044"/>
      <c r="GYK43" s="1044"/>
      <c r="GYL43" s="1044"/>
      <c r="GYM43" s="1044"/>
      <c r="GYN43" s="1044"/>
      <c r="GYO43" s="1044"/>
      <c r="GYP43" s="1044"/>
      <c r="GYQ43" s="1044"/>
      <c r="GYR43" s="1044"/>
      <c r="GYS43" s="1044"/>
      <c r="GYT43" s="1044"/>
      <c r="GYU43" s="1044"/>
      <c r="GYV43" s="1044"/>
      <c r="GYW43" s="1044"/>
      <c r="GYX43" s="1044"/>
      <c r="GYY43" s="1044"/>
      <c r="GYZ43" s="1044"/>
      <c r="GZA43" s="1044"/>
      <c r="GZB43" s="1044"/>
      <c r="GZC43" s="1044"/>
      <c r="GZD43" s="1044"/>
      <c r="GZE43" s="1044"/>
      <c r="GZF43" s="1044"/>
      <c r="GZG43" s="1044"/>
      <c r="GZH43" s="1044"/>
      <c r="GZI43" s="1044"/>
      <c r="GZJ43" s="1044"/>
      <c r="GZK43" s="1044"/>
      <c r="GZL43" s="1044"/>
      <c r="GZM43" s="1044"/>
      <c r="GZN43" s="1044"/>
      <c r="GZO43" s="1044"/>
      <c r="GZP43" s="1044"/>
      <c r="GZQ43" s="1044"/>
      <c r="GZR43" s="1044"/>
      <c r="GZS43" s="1044"/>
      <c r="GZT43" s="1044"/>
      <c r="GZU43" s="1044"/>
      <c r="GZV43" s="1044"/>
      <c r="GZW43" s="1044"/>
      <c r="GZX43" s="1044"/>
      <c r="GZY43" s="1044"/>
      <c r="GZZ43" s="1044"/>
      <c r="HAA43" s="1044"/>
      <c r="HAB43" s="1044"/>
      <c r="HAC43" s="1044"/>
      <c r="HAD43" s="1044"/>
      <c r="HAE43" s="1044"/>
      <c r="HAF43" s="1044"/>
      <c r="HAG43" s="1044"/>
      <c r="HAH43" s="1044"/>
      <c r="HAI43" s="1044"/>
      <c r="HAJ43" s="1044"/>
      <c r="HAK43" s="1044"/>
      <c r="HAL43" s="1044"/>
      <c r="HAM43" s="1044"/>
      <c r="HAN43" s="1044"/>
      <c r="HAO43" s="1044"/>
      <c r="HAP43" s="1044"/>
      <c r="HAQ43" s="1044"/>
      <c r="HAR43" s="1044"/>
      <c r="HAS43" s="1044"/>
      <c r="HAT43" s="1044"/>
      <c r="HAU43" s="1044"/>
      <c r="HAV43" s="1044"/>
      <c r="HAW43" s="1044"/>
      <c r="HAX43" s="1044"/>
      <c r="HAY43" s="1044"/>
      <c r="HAZ43" s="1044"/>
      <c r="HBA43" s="1044"/>
      <c r="HBB43" s="1044"/>
      <c r="HBC43" s="1044"/>
      <c r="HBD43" s="1044"/>
      <c r="HBE43" s="1044"/>
      <c r="HBF43" s="1044"/>
      <c r="HBG43" s="1044"/>
      <c r="HBH43" s="1044"/>
      <c r="HBI43" s="1044"/>
      <c r="HBJ43" s="1044"/>
      <c r="HBK43" s="1044"/>
      <c r="HBL43" s="1044"/>
      <c r="HBM43" s="1044"/>
      <c r="HBN43" s="1044"/>
      <c r="HBO43" s="1044"/>
      <c r="HBP43" s="1044"/>
      <c r="HBQ43" s="1044"/>
      <c r="HBR43" s="1044"/>
      <c r="HBS43" s="1044"/>
      <c r="HBT43" s="1044"/>
      <c r="HBU43" s="1044"/>
      <c r="HBV43" s="1044"/>
      <c r="HBW43" s="1044"/>
      <c r="HBX43" s="1044"/>
      <c r="HBY43" s="1044"/>
      <c r="HBZ43" s="1044"/>
      <c r="HCA43" s="1044"/>
      <c r="HCB43" s="1044"/>
      <c r="HCC43" s="1044"/>
      <c r="HCD43" s="1044"/>
      <c r="HCE43" s="1044"/>
      <c r="HCF43" s="1044"/>
      <c r="HCG43" s="1044"/>
      <c r="HCH43" s="1044"/>
      <c r="HCI43" s="1044"/>
      <c r="HCJ43" s="1044"/>
      <c r="HCK43" s="1044"/>
      <c r="HCL43" s="1044"/>
      <c r="HCM43" s="1044"/>
      <c r="HCN43" s="1044"/>
      <c r="HCO43" s="1044"/>
      <c r="HCP43" s="1044"/>
      <c r="HCQ43" s="1044"/>
      <c r="HCR43" s="1044"/>
      <c r="HCS43" s="1044"/>
      <c r="HCT43" s="1044"/>
      <c r="HCU43" s="1044"/>
      <c r="HCV43" s="1044"/>
      <c r="HCW43" s="1044"/>
      <c r="HCX43" s="1044"/>
      <c r="HCY43" s="1044"/>
      <c r="HCZ43" s="1044"/>
      <c r="HDA43" s="1044"/>
      <c r="HDB43" s="1044"/>
      <c r="HDC43" s="1044"/>
      <c r="HDD43" s="1044"/>
      <c r="HDE43" s="1044"/>
      <c r="HDF43" s="1044"/>
      <c r="HDG43" s="1044"/>
      <c r="HDH43" s="1044"/>
      <c r="HDI43" s="1044"/>
      <c r="HDJ43" s="1044"/>
      <c r="HDK43" s="1044"/>
      <c r="HDL43" s="1044"/>
      <c r="HDM43" s="1044"/>
      <c r="HDN43" s="1044"/>
      <c r="HDO43" s="1044"/>
      <c r="HDP43" s="1044"/>
      <c r="HDQ43" s="1044"/>
      <c r="HDR43" s="1044"/>
      <c r="HDS43" s="1044"/>
      <c r="HDT43" s="1044"/>
      <c r="HDU43" s="1044"/>
      <c r="HDV43" s="1044"/>
      <c r="HDW43" s="1044"/>
      <c r="HDX43" s="1044"/>
      <c r="HDY43" s="1044"/>
      <c r="HDZ43" s="1044"/>
      <c r="HEA43" s="1044"/>
      <c r="HEB43" s="1044"/>
      <c r="HEC43" s="1044"/>
      <c r="HED43" s="1044"/>
      <c r="HEE43" s="1044"/>
      <c r="HEF43" s="1044"/>
      <c r="HEG43" s="1044"/>
      <c r="HEH43" s="1044"/>
      <c r="HEI43" s="1044"/>
      <c r="HEJ43" s="1044"/>
      <c r="HEK43" s="1044"/>
      <c r="HEL43" s="1044"/>
      <c r="HEM43" s="1044"/>
      <c r="HEN43" s="1044"/>
      <c r="HEO43" s="1044"/>
      <c r="HEP43" s="1044"/>
      <c r="HEQ43" s="1044"/>
      <c r="HER43" s="1044"/>
      <c r="HES43" s="1044"/>
      <c r="HET43" s="1044"/>
      <c r="HEU43" s="1044"/>
      <c r="HEV43" s="1044"/>
      <c r="HEW43" s="1044"/>
      <c r="HEX43" s="1044"/>
      <c r="HEY43" s="1044"/>
      <c r="HEZ43" s="1044"/>
      <c r="HFA43" s="1044"/>
      <c r="HFB43" s="1044"/>
      <c r="HFC43" s="1044"/>
      <c r="HFD43" s="1044"/>
      <c r="HFE43" s="1044"/>
      <c r="HFF43" s="1044"/>
      <c r="HFG43" s="1044"/>
      <c r="HFH43" s="1044"/>
      <c r="HFI43" s="1044"/>
      <c r="HFJ43" s="1044"/>
      <c r="HFK43" s="1044"/>
      <c r="HFL43" s="1044"/>
      <c r="HFM43" s="1044"/>
      <c r="HFN43" s="1044"/>
      <c r="HFO43" s="1044"/>
      <c r="HFP43" s="1044"/>
      <c r="HFQ43" s="1044"/>
      <c r="HFR43" s="1044"/>
      <c r="HFS43" s="1044"/>
      <c r="HFT43" s="1044"/>
      <c r="HFU43" s="1044"/>
      <c r="HFV43" s="1044"/>
      <c r="HFW43" s="1044"/>
      <c r="HFX43" s="1044"/>
      <c r="HFY43" s="1044"/>
      <c r="HFZ43" s="1044"/>
      <c r="HGA43" s="1044"/>
      <c r="HGB43" s="1044"/>
      <c r="HGC43" s="1044"/>
      <c r="HGD43" s="1044"/>
      <c r="HGE43" s="1044"/>
      <c r="HGF43" s="1044"/>
      <c r="HGG43" s="1044"/>
      <c r="HGH43" s="1044"/>
      <c r="HGI43" s="1044"/>
      <c r="HGJ43" s="1044"/>
      <c r="HGK43" s="1044"/>
      <c r="HGL43" s="1044"/>
      <c r="HGM43" s="1044"/>
      <c r="HGN43" s="1044"/>
      <c r="HGO43" s="1044"/>
      <c r="HGP43" s="1044"/>
      <c r="HGQ43" s="1044"/>
      <c r="HGR43" s="1044"/>
      <c r="HGS43" s="1044"/>
      <c r="HGT43" s="1044"/>
      <c r="HGU43" s="1044"/>
      <c r="HGV43" s="1044"/>
      <c r="HGW43" s="1044"/>
      <c r="HGX43" s="1044"/>
      <c r="HGY43" s="1044"/>
      <c r="HGZ43" s="1044"/>
      <c r="HHA43" s="1044"/>
      <c r="HHB43" s="1044"/>
      <c r="HHC43" s="1044"/>
      <c r="HHD43" s="1044"/>
      <c r="HHE43" s="1044"/>
      <c r="HHF43" s="1044"/>
      <c r="HHG43" s="1044"/>
      <c r="HHH43" s="1044"/>
      <c r="HHI43" s="1044"/>
      <c r="HHJ43" s="1044"/>
      <c r="HHK43" s="1044"/>
      <c r="HHL43" s="1044"/>
      <c r="HHM43" s="1044"/>
      <c r="HHN43" s="1044"/>
      <c r="HHO43" s="1044"/>
      <c r="HHP43" s="1044"/>
      <c r="HHQ43" s="1044"/>
      <c r="HHR43" s="1044"/>
      <c r="HHS43" s="1044"/>
      <c r="HHT43" s="1044"/>
      <c r="HHU43" s="1044"/>
      <c r="HHV43" s="1044"/>
      <c r="HHW43" s="1044"/>
      <c r="HHX43" s="1044"/>
      <c r="HHY43" s="1044"/>
      <c r="HHZ43" s="1044"/>
      <c r="HIA43" s="1044"/>
      <c r="HIB43" s="1044"/>
      <c r="HIC43" s="1044"/>
      <c r="HID43" s="1044"/>
      <c r="HIE43" s="1044"/>
      <c r="HIF43" s="1044"/>
      <c r="HIG43" s="1044"/>
      <c r="HIH43" s="1044"/>
      <c r="HII43" s="1044"/>
      <c r="HIJ43" s="1044"/>
      <c r="HIK43" s="1044"/>
      <c r="HIL43" s="1044"/>
      <c r="HIM43" s="1044"/>
      <c r="HIN43" s="1044"/>
      <c r="HIO43" s="1044"/>
      <c r="HIP43" s="1044"/>
      <c r="HIQ43" s="1044"/>
      <c r="HIR43" s="1044"/>
      <c r="HIS43" s="1044"/>
      <c r="HIT43" s="1044"/>
      <c r="HIU43" s="1044"/>
      <c r="HIV43" s="1044"/>
      <c r="HIW43" s="1044"/>
      <c r="HIX43" s="1044"/>
      <c r="HIY43" s="1044"/>
      <c r="HIZ43" s="1044"/>
      <c r="HJA43" s="1044"/>
      <c r="HJB43" s="1044"/>
      <c r="HJC43" s="1044"/>
      <c r="HJD43" s="1044"/>
      <c r="HJE43" s="1044"/>
      <c r="HJF43" s="1044"/>
      <c r="HJG43" s="1044"/>
      <c r="HJH43" s="1044"/>
      <c r="HJI43" s="1044"/>
      <c r="HJJ43" s="1044"/>
      <c r="HJK43" s="1044"/>
      <c r="HJL43" s="1044"/>
      <c r="HJM43" s="1044"/>
      <c r="HJN43" s="1044"/>
      <c r="HJO43" s="1044"/>
      <c r="HJP43" s="1044"/>
      <c r="HJQ43" s="1044"/>
      <c r="HJR43" s="1044"/>
      <c r="HJS43" s="1044"/>
      <c r="HJT43" s="1044"/>
      <c r="HJU43" s="1044"/>
      <c r="HJV43" s="1044"/>
      <c r="HJW43" s="1044"/>
      <c r="HJX43" s="1044"/>
      <c r="HJY43" s="1044"/>
      <c r="HJZ43" s="1044"/>
      <c r="HKA43" s="1044"/>
      <c r="HKB43" s="1044"/>
      <c r="HKC43" s="1044"/>
      <c r="HKD43" s="1044"/>
      <c r="HKE43" s="1044"/>
      <c r="HKF43" s="1044"/>
      <c r="HKG43" s="1044"/>
      <c r="HKH43" s="1044"/>
      <c r="HKI43" s="1044"/>
      <c r="HKJ43" s="1044"/>
      <c r="HKK43" s="1044"/>
      <c r="HKL43" s="1044"/>
      <c r="HKM43" s="1044"/>
      <c r="HKN43" s="1044"/>
      <c r="HKO43" s="1044"/>
      <c r="HKP43" s="1044"/>
      <c r="HKQ43" s="1044"/>
      <c r="HKR43" s="1044"/>
      <c r="HKS43" s="1044"/>
      <c r="HKT43" s="1044"/>
      <c r="HKU43" s="1044"/>
      <c r="HKV43" s="1044"/>
      <c r="HKW43" s="1044"/>
      <c r="HKX43" s="1044"/>
      <c r="HKY43" s="1044"/>
      <c r="HKZ43" s="1044"/>
      <c r="HLA43" s="1044"/>
      <c r="HLB43" s="1044"/>
      <c r="HLC43" s="1044"/>
      <c r="HLD43" s="1044"/>
      <c r="HLE43" s="1044"/>
      <c r="HLF43" s="1044"/>
      <c r="HLG43" s="1044"/>
      <c r="HLH43" s="1044"/>
      <c r="HLI43" s="1044"/>
      <c r="HLJ43" s="1044"/>
      <c r="HLK43" s="1044"/>
      <c r="HLL43" s="1044"/>
      <c r="HLM43" s="1044"/>
      <c r="HLN43" s="1044"/>
      <c r="HLO43" s="1044"/>
      <c r="HLP43" s="1044"/>
      <c r="HLQ43" s="1044"/>
      <c r="HLR43" s="1044"/>
      <c r="HLS43" s="1044"/>
      <c r="HLT43" s="1044"/>
      <c r="HLU43" s="1044"/>
      <c r="HLV43" s="1044"/>
      <c r="HLW43" s="1044"/>
      <c r="HLX43" s="1044"/>
      <c r="HLY43" s="1044"/>
      <c r="HLZ43" s="1044"/>
      <c r="HMA43" s="1044"/>
      <c r="HMB43" s="1044"/>
      <c r="HMC43" s="1044"/>
      <c r="HMD43" s="1044"/>
      <c r="HME43" s="1044"/>
      <c r="HMF43" s="1044"/>
      <c r="HMG43" s="1044"/>
      <c r="HMH43" s="1044"/>
      <c r="HMI43" s="1044"/>
      <c r="HMJ43" s="1044"/>
      <c r="HMK43" s="1044"/>
      <c r="HML43" s="1044"/>
      <c r="HMM43" s="1044"/>
      <c r="HMN43" s="1044"/>
      <c r="HMO43" s="1044"/>
      <c r="HMP43" s="1044"/>
      <c r="HMQ43" s="1044"/>
      <c r="HMR43" s="1044"/>
      <c r="HMS43" s="1044"/>
      <c r="HMT43" s="1044"/>
      <c r="HMU43" s="1044"/>
      <c r="HMV43" s="1044"/>
      <c r="HMW43" s="1044"/>
      <c r="HMX43" s="1044"/>
      <c r="HMY43" s="1044"/>
      <c r="HMZ43" s="1044"/>
      <c r="HNA43" s="1044"/>
      <c r="HNB43" s="1044"/>
      <c r="HNC43" s="1044"/>
      <c r="HND43" s="1044"/>
      <c r="HNE43" s="1044"/>
      <c r="HNF43" s="1044"/>
      <c r="HNG43" s="1044"/>
      <c r="HNH43" s="1044"/>
      <c r="HNI43" s="1044"/>
      <c r="HNJ43" s="1044"/>
      <c r="HNK43" s="1044"/>
      <c r="HNL43" s="1044"/>
      <c r="HNM43" s="1044"/>
      <c r="HNN43" s="1044"/>
      <c r="HNO43" s="1044"/>
      <c r="HNP43" s="1044"/>
      <c r="HNQ43" s="1044"/>
      <c r="HNR43" s="1044"/>
      <c r="HNS43" s="1044"/>
      <c r="HNT43" s="1044"/>
      <c r="HNU43" s="1044"/>
      <c r="HNV43" s="1044"/>
      <c r="HNW43" s="1044"/>
      <c r="HNX43" s="1044"/>
      <c r="HNY43" s="1044"/>
      <c r="HNZ43" s="1044"/>
      <c r="HOA43" s="1044"/>
      <c r="HOB43" s="1044"/>
      <c r="HOC43" s="1044"/>
      <c r="HOD43" s="1044"/>
      <c r="HOE43" s="1044"/>
      <c r="HOF43" s="1044"/>
      <c r="HOG43" s="1044"/>
      <c r="HOH43" s="1044"/>
      <c r="HOI43" s="1044"/>
      <c r="HOJ43" s="1044"/>
      <c r="HOK43" s="1044"/>
      <c r="HOL43" s="1044"/>
      <c r="HOM43" s="1044"/>
      <c r="HON43" s="1044"/>
      <c r="HOO43" s="1044"/>
      <c r="HOP43" s="1044"/>
      <c r="HOQ43" s="1044"/>
      <c r="HOR43" s="1044"/>
      <c r="HOS43" s="1044"/>
      <c r="HOT43" s="1044"/>
      <c r="HOU43" s="1044"/>
      <c r="HOV43" s="1044"/>
      <c r="HOW43" s="1044"/>
      <c r="HOX43" s="1044"/>
      <c r="HOY43" s="1044"/>
      <c r="HOZ43" s="1044"/>
      <c r="HPA43" s="1044"/>
      <c r="HPB43" s="1044"/>
      <c r="HPC43" s="1044"/>
      <c r="HPD43" s="1044"/>
      <c r="HPE43" s="1044"/>
      <c r="HPF43" s="1044"/>
      <c r="HPG43" s="1044"/>
      <c r="HPH43" s="1044"/>
      <c r="HPI43" s="1044"/>
      <c r="HPJ43" s="1044"/>
      <c r="HPK43" s="1044"/>
      <c r="HPL43" s="1044"/>
      <c r="HPM43" s="1044"/>
      <c r="HPN43" s="1044"/>
      <c r="HPO43" s="1044"/>
      <c r="HPP43" s="1044"/>
      <c r="HPQ43" s="1044"/>
      <c r="HPR43" s="1044"/>
      <c r="HPS43" s="1044"/>
      <c r="HPT43" s="1044"/>
      <c r="HPU43" s="1044"/>
      <c r="HPV43" s="1044"/>
      <c r="HPW43" s="1044"/>
      <c r="HPX43" s="1044"/>
      <c r="HPY43" s="1044"/>
      <c r="HPZ43" s="1044"/>
      <c r="HQA43" s="1044"/>
      <c r="HQB43" s="1044"/>
      <c r="HQC43" s="1044"/>
      <c r="HQD43" s="1044"/>
      <c r="HQE43" s="1044"/>
      <c r="HQF43" s="1044"/>
      <c r="HQG43" s="1044"/>
      <c r="HQH43" s="1044"/>
      <c r="HQI43" s="1044"/>
      <c r="HQJ43" s="1044"/>
      <c r="HQK43" s="1044"/>
      <c r="HQL43" s="1044"/>
      <c r="HQM43" s="1044"/>
      <c r="HQN43" s="1044"/>
      <c r="HQO43" s="1044"/>
      <c r="HQP43" s="1044"/>
      <c r="HQQ43" s="1044"/>
      <c r="HQR43" s="1044"/>
      <c r="HQS43" s="1044"/>
      <c r="HQT43" s="1044"/>
      <c r="HQU43" s="1044"/>
      <c r="HQV43" s="1044"/>
      <c r="HQW43" s="1044"/>
      <c r="HQX43" s="1044"/>
      <c r="HQY43" s="1044"/>
      <c r="HQZ43" s="1044"/>
      <c r="HRA43" s="1044"/>
      <c r="HRB43" s="1044"/>
      <c r="HRC43" s="1044"/>
      <c r="HRD43" s="1044"/>
      <c r="HRE43" s="1044"/>
      <c r="HRF43" s="1044"/>
      <c r="HRG43" s="1044"/>
      <c r="HRH43" s="1044"/>
      <c r="HRI43" s="1044"/>
      <c r="HRJ43" s="1044"/>
      <c r="HRK43" s="1044"/>
      <c r="HRL43" s="1044"/>
      <c r="HRM43" s="1044"/>
      <c r="HRN43" s="1044"/>
      <c r="HRO43" s="1044"/>
      <c r="HRP43" s="1044"/>
      <c r="HRQ43" s="1044"/>
      <c r="HRR43" s="1044"/>
      <c r="HRS43" s="1044"/>
      <c r="HRT43" s="1044"/>
      <c r="HRU43" s="1044"/>
      <c r="HRV43" s="1044"/>
      <c r="HRW43" s="1044"/>
      <c r="HRX43" s="1044"/>
      <c r="HRY43" s="1044"/>
      <c r="HRZ43" s="1044"/>
      <c r="HSA43" s="1044"/>
      <c r="HSB43" s="1044"/>
      <c r="HSC43" s="1044"/>
      <c r="HSD43" s="1044"/>
      <c r="HSE43" s="1044"/>
      <c r="HSF43" s="1044"/>
      <c r="HSG43" s="1044"/>
      <c r="HSH43" s="1044"/>
      <c r="HSI43" s="1044"/>
      <c r="HSJ43" s="1044"/>
      <c r="HSK43" s="1044"/>
      <c r="HSL43" s="1044"/>
      <c r="HSM43" s="1044"/>
      <c r="HSN43" s="1044"/>
      <c r="HSO43" s="1044"/>
      <c r="HSP43" s="1044"/>
      <c r="HSQ43" s="1044"/>
      <c r="HSR43" s="1044"/>
      <c r="HSS43" s="1044"/>
      <c r="HST43" s="1044"/>
      <c r="HSU43" s="1044"/>
      <c r="HSV43" s="1044"/>
      <c r="HSW43" s="1044"/>
      <c r="HSX43" s="1044"/>
      <c r="HSY43" s="1044"/>
      <c r="HSZ43" s="1044"/>
      <c r="HTA43" s="1044"/>
      <c r="HTB43" s="1044"/>
      <c r="HTC43" s="1044"/>
      <c r="HTD43" s="1044"/>
      <c r="HTE43" s="1044"/>
      <c r="HTF43" s="1044"/>
      <c r="HTG43" s="1044"/>
      <c r="HTH43" s="1044"/>
      <c r="HTI43" s="1044"/>
      <c r="HTJ43" s="1044"/>
      <c r="HTK43" s="1044"/>
      <c r="HTL43" s="1044"/>
      <c r="HTM43" s="1044"/>
      <c r="HTN43" s="1044"/>
      <c r="HTO43" s="1044"/>
      <c r="HTP43" s="1044"/>
      <c r="HTQ43" s="1044"/>
      <c r="HTR43" s="1044"/>
      <c r="HTS43" s="1044"/>
      <c r="HTT43" s="1044"/>
      <c r="HTU43" s="1044"/>
      <c r="HTV43" s="1044"/>
      <c r="HTW43" s="1044"/>
      <c r="HTX43" s="1044"/>
      <c r="HTY43" s="1044"/>
      <c r="HTZ43" s="1044"/>
      <c r="HUA43" s="1044"/>
      <c r="HUB43" s="1044"/>
      <c r="HUC43" s="1044"/>
      <c r="HUD43" s="1044"/>
      <c r="HUE43" s="1044"/>
      <c r="HUF43" s="1044"/>
      <c r="HUG43" s="1044"/>
      <c r="HUH43" s="1044"/>
      <c r="HUI43" s="1044"/>
      <c r="HUJ43" s="1044"/>
      <c r="HUK43" s="1044"/>
      <c r="HUL43" s="1044"/>
      <c r="HUM43" s="1044"/>
      <c r="HUN43" s="1044"/>
      <c r="HUO43" s="1044"/>
      <c r="HUP43" s="1044"/>
      <c r="HUQ43" s="1044"/>
      <c r="HUR43" s="1044"/>
      <c r="HUS43" s="1044"/>
      <c r="HUT43" s="1044"/>
      <c r="HUU43" s="1044"/>
      <c r="HUV43" s="1044"/>
      <c r="HUW43" s="1044"/>
      <c r="HUX43" s="1044"/>
      <c r="HUY43" s="1044"/>
      <c r="HUZ43" s="1044"/>
      <c r="HVA43" s="1044"/>
      <c r="HVB43" s="1044"/>
      <c r="HVC43" s="1044"/>
      <c r="HVD43" s="1044"/>
      <c r="HVE43" s="1044"/>
      <c r="HVF43" s="1044"/>
      <c r="HVG43" s="1044"/>
      <c r="HVH43" s="1044"/>
      <c r="HVI43" s="1044"/>
      <c r="HVJ43" s="1044"/>
      <c r="HVK43" s="1044"/>
      <c r="HVL43" s="1044"/>
      <c r="HVM43" s="1044"/>
      <c r="HVN43" s="1044"/>
      <c r="HVO43" s="1044"/>
      <c r="HVP43" s="1044"/>
      <c r="HVQ43" s="1044"/>
      <c r="HVR43" s="1044"/>
      <c r="HVS43" s="1044"/>
      <c r="HVT43" s="1044"/>
      <c r="HVU43" s="1044"/>
      <c r="HVV43" s="1044"/>
      <c r="HVW43" s="1044"/>
      <c r="HVX43" s="1044"/>
      <c r="HVY43" s="1044"/>
      <c r="HVZ43" s="1044"/>
      <c r="HWA43" s="1044"/>
      <c r="HWB43" s="1044"/>
      <c r="HWC43" s="1044"/>
      <c r="HWD43" s="1044"/>
      <c r="HWE43" s="1044"/>
      <c r="HWF43" s="1044"/>
      <c r="HWG43" s="1044"/>
      <c r="HWH43" s="1044"/>
      <c r="HWI43" s="1044"/>
      <c r="HWJ43" s="1044"/>
      <c r="HWK43" s="1044"/>
      <c r="HWL43" s="1044"/>
      <c r="HWM43" s="1044"/>
      <c r="HWN43" s="1044"/>
      <c r="HWO43" s="1044"/>
      <c r="HWP43" s="1044"/>
      <c r="HWQ43" s="1044"/>
      <c r="HWR43" s="1044"/>
      <c r="HWS43" s="1044"/>
      <c r="HWT43" s="1044"/>
      <c r="HWU43" s="1044"/>
      <c r="HWV43" s="1044"/>
      <c r="HWW43" s="1044"/>
      <c r="HWX43" s="1044"/>
      <c r="HWY43" s="1044"/>
      <c r="HWZ43" s="1044"/>
      <c r="HXA43" s="1044"/>
      <c r="HXB43" s="1044"/>
      <c r="HXC43" s="1044"/>
      <c r="HXD43" s="1044"/>
      <c r="HXE43" s="1044"/>
      <c r="HXF43" s="1044"/>
      <c r="HXG43" s="1044"/>
      <c r="HXH43" s="1044"/>
      <c r="HXI43" s="1044"/>
      <c r="HXJ43" s="1044"/>
      <c r="HXK43" s="1044"/>
      <c r="HXL43" s="1044"/>
      <c r="HXM43" s="1044"/>
      <c r="HXN43" s="1044"/>
      <c r="HXO43" s="1044"/>
      <c r="HXP43" s="1044"/>
      <c r="HXQ43" s="1044"/>
      <c r="HXR43" s="1044"/>
      <c r="HXS43" s="1044"/>
      <c r="HXT43" s="1044"/>
      <c r="HXU43" s="1044"/>
      <c r="HXV43" s="1044"/>
      <c r="HXW43" s="1044"/>
      <c r="HXX43" s="1044"/>
      <c r="HXY43" s="1044"/>
      <c r="HXZ43" s="1044"/>
      <c r="HYA43" s="1044"/>
      <c r="HYB43" s="1044"/>
      <c r="HYC43" s="1044"/>
      <c r="HYD43" s="1044"/>
      <c r="HYE43" s="1044"/>
      <c r="HYF43" s="1044"/>
      <c r="HYG43" s="1044"/>
      <c r="HYH43" s="1044"/>
      <c r="HYI43" s="1044"/>
      <c r="HYJ43" s="1044"/>
      <c r="HYK43" s="1044"/>
      <c r="HYL43" s="1044"/>
      <c r="HYM43" s="1044"/>
      <c r="HYN43" s="1044"/>
      <c r="HYO43" s="1044"/>
      <c r="HYP43" s="1044"/>
      <c r="HYQ43" s="1044"/>
      <c r="HYR43" s="1044"/>
      <c r="HYS43" s="1044"/>
      <c r="HYT43" s="1044"/>
      <c r="HYU43" s="1044"/>
      <c r="HYV43" s="1044"/>
      <c r="HYW43" s="1044"/>
      <c r="HYX43" s="1044"/>
      <c r="HYY43" s="1044"/>
      <c r="HYZ43" s="1044"/>
      <c r="HZA43" s="1044"/>
      <c r="HZB43" s="1044"/>
      <c r="HZC43" s="1044"/>
      <c r="HZD43" s="1044"/>
      <c r="HZE43" s="1044"/>
      <c r="HZF43" s="1044"/>
      <c r="HZG43" s="1044"/>
      <c r="HZH43" s="1044"/>
      <c r="HZI43" s="1044"/>
      <c r="HZJ43" s="1044"/>
      <c r="HZK43" s="1044"/>
      <c r="HZL43" s="1044"/>
      <c r="HZM43" s="1044"/>
      <c r="HZN43" s="1044"/>
      <c r="HZO43" s="1044"/>
      <c r="HZP43" s="1044"/>
      <c r="HZQ43" s="1044"/>
      <c r="HZR43" s="1044"/>
      <c r="HZS43" s="1044"/>
      <c r="HZT43" s="1044"/>
      <c r="HZU43" s="1044"/>
      <c r="HZV43" s="1044"/>
      <c r="HZW43" s="1044"/>
      <c r="HZX43" s="1044"/>
      <c r="HZY43" s="1044"/>
      <c r="HZZ43" s="1044"/>
      <c r="IAA43" s="1044"/>
      <c r="IAB43" s="1044"/>
      <c r="IAC43" s="1044"/>
      <c r="IAD43" s="1044"/>
      <c r="IAE43" s="1044"/>
      <c r="IAF43" s="1044"/>
      <c r="IAG43" s="1044"/>
      <c r="IAH43" s="1044"/>
      <c r="IAI43" s="1044"/>
      <c r="IAJ43" s="1044"/>
      <c r="IAK43" s="1044"/>
      <c r="IAL43" s="1044"/>
      <c r="IAM43" s="1044"/>
      <c r="IAN43" s="1044"/>
      <c r="IAO43" s="1044"/>
      <c r="IAP43" s="1044"/>
      <c r="IAQ43" s="1044"/>
      <c r="IAR43" s="1044"/>
      <c r="IAS43" s="1044"/>
      <c r="IAT43" s="1044"/>
      <c r="IAU43" s="1044"/>
      <c r="IAV43" s="1044"/>
      <c r="IAW43" s="1044"/>
      <c r="IAX43" s="1044"/>
      <c r="IAY43" s="1044"/>
      <c r="IAZ43" s="1044"/>
      <c r="IBA43" s="1044"/>
      <c r="IBB43" s="1044"/>
      <c r="IBC43" s="1044"/>
      <c r="IBD43" s="1044"/>
      <c r="IBE43" s="1044"/>
      <c r="IBF43" s="1044"/>
      <c r="IBG43" s="1044"/>
      <c r="IBH43" s="1044"/>
      <c r="IBI43" s="1044"/>
      <c r="IBJ43" s="1044"/>
      <c r="IBK43" s="1044"/>
      <c r="IBL43" s="1044"/>
      <c r="IBM43" s="1044"/>
      <c r="IBN43" s="1044"/>
      <c r="IBO43" s="1044"/>
      <c r="IBP43" s="1044"/>
      <c r="IBQ43" s="1044"/>
      <c r="IBR43" s="1044"/>
      <c r="IBS43" s="1044"/>
      <c r="IBT43" s="1044"/>
      <c r="IBU43" s="1044"/>
      <c r="IBV43" s="1044"/>
      <c r="IBW43" s="1044"/>
      <c r="IBX43" s="1044"/>
      <c r="IBY43" s="1044"/>
      <c r="IBZ43" s="1044"/>
      <c r="ICA43" s="1044"/>
      <c r="ICB43" s="1044"/>
      <c r="ICC43" s="1044"/>
      <c r="ICD43" s="1044"/>
      <c r="ICE43" s="1044"/>
      <c r="ICF43" s="1044"/>
      <c r="ICG43" s="1044"/>
      <c r="ICH43" s="1044"/>
      <c r="ICI43" s="1044"/>
      <c r="ICJ43" s="1044"/>
      <c r="ICK43" s="1044"/>
      <c r="ICL43" s="1044"/>
      <c r="ICM43" s="1044"/>
      <c r="ICN43" s="1044"/>
      <c r="ICO43" s="1044"/>
      <c r="ICP43" s="1044"/>
      <c r="ICQ43" s="1044"/>
      <c r="ICR43" s="1044"/>
      <c r="ICS43" s="1044"/>
      <c r="ICT43" s="1044"/>
      <c r="ICU43" s="1044"/>
      <c r="ICV43" s="1044"/>
      <c r="ICW43" s="1044"/>
      <c r="ICX43" s="1044"/>
      <c r="ICY43" s="1044"/>
      <c r="ICZ43" s="1044"/>
      <c r="IDA43" s="1044"/>
      <c r="IDB43" s="1044"/>
      <c r="IDC43" s="1044"/>
      <c r="IDD43" s="1044"/>
      <c r="IDE43" s="1044"/>
      <c r="IDF43" s="1044"/>
      <c r="IDG43" s="1044"/>
      <c r="IDH43" s="1044"/>
      <c r="IDI43" s="1044"/>
      <c r="IDJ43" s="1044"/>
      <c r="IDK43" s="1044"/>
      <c r="IDL43" s="1044"/>
      <c r="IDM43" s="1044"/>
      <c r="IDN43" s="1044"/>
      <c r="IDO43" s="1044"/>
      <c r="IDP43" s="1044"/>
      <c r="IDQ43" s="1044"/>
      <c r="IDR43" s="1044"/>
      <c r="IDS43" s="1044"/>
      <c r="IDT43" s="1044"/>
      <c r="IDU43" s="1044"/>
      <c r="IDV43" s="1044"/>
      <c r="IDW43" s="1044"/>
      <c r="IDX43" s="1044"/>
      <c r="IDY43" s="1044"/>
      <c r="IDZ43" s="1044"/>
      <c r="IEA43" s="1044"/>
      <c r="IEB43" s="1044"/>
      <c r="IEC43" s="1044"/>
      <c r="IED43" s="1044"/>
      <c r="IEE43" s="1044"/>
      <c r="IEF43" s="1044"/>
      <c r="IEG43" s="1044"/>
      <c r="IEH43" s="1044"/>
      <c r="IEI43" s="1044"/>
      <c r="IEJ43" s="1044"/>
      <c r="IEK43" s="1044"/>
      <c r="IEL43" s="1044"/>
      <c r="IEM43" s="1044"/>
      <c r="IEN43" s="1044"/>
      <c r="IEO43" s="1044"/>
      <c r="IEP43" s="1044"/>
      <c r="IEQ43" s="1044"/>
      <c r="IER43" s="1044"/>
      <c r="IES43" s="1044"/>
      <c r="IET43" s="1044"/>
      <c r="IEU43" s="1044"/>
      <c r="IEV43" s="1044"/>
      <c r="IEW43" s="1044"/>
      <c r="IEX43" s="1044"/>
      <c r="IEY43" s="1044"/>
      <c r="IEZ43" s="1044"/>
      <c r="IFA43" s="1044"/>
      <c r="IFB43" s="1044"/>
      <c r="IFC43" s="1044"/>
      <c r="IFD43" s="1044"/>
      <c r="IFE43" s="1044"/>
      <c r="IFF43" s="1044"/>
      <c r="IFG43" s="1044"/>
      <c r="IFH43" s="1044"/>
      <c r="IFI43" s="1044"/>
      <c r="IFJ43" s="1044"/>
      <c r="IFK43" s="1044"/>
      <c r="IFL43" s="1044"/>
      <c r="IFM43" s="1044"/>
      <c r="IFN43" s="1044"/>
      <c r="IFO43" s="1044"/>
      <c r="IFP43" s="1044"/>
      <c r="IFQ43" s="1044"/>
      <c r="IFR43" s="1044"/>
      <c r="IFS43" s="1044"/>
      <c r="IFT43" s="1044"/>
      <c r="IFU43" s="1044"/>
      <c r="IFV43" s="1044"/>
      <c r="IFW43" s="1044"/>
      <c r="IFX43" s="1044"/>
      <c r="IFY43" s="1044"/>
      <c r="IFZ43" s="1044"/>
      <c r="IGA43" s="1044"/>
      <c r="IGB43" s="1044"/>
      <c r="IGC43" s="1044"/>
      <c r="IGD43" s="1044"/>
      <c r="IGE43" s="1044"/>
      <c r="IGF43" s="1044"/>
      <c r="IGG43" s="1044"/>
      <c r="IGH43" s="1044"/>
      <c r="IGI43" s="1044"/>
      <c r="IGJ43" s="1044"/>
      <c r="IGK43" s="1044"/>
      <c r="IGL43" s="1044"/>
      <c r="IGM43" s="1044"/>
      <c r="IGN43" s="1044"/>
      <c r="IGO43" s="1044"/>
      <c r="IGP43" s="1044"/>
      <c r="IGQ43" s="1044"/>
      <c r="IGR43" s="1044"/>
      <c r="IGS43" s="1044"/>
      <c r="IGT43" s="1044"/>
      <c r="IGU43" s="1044"/>
      <c r="IGV43" s="1044"/>
      <c r="IGW43" s="1044"/>
      <c r="IGX43" s="1044"/>
      <c r="IGY43" s="1044"/>
      <c r="IGZ43" s="1044"/>
      <c r="IHA43" s="1044"/>
      <c r="IHB43" s="1044"/>
      <c r="IHC43" s="1044"/>
      <c r="IHD43" s="1044"/>
      <c r="IHE43" s="1044"/>
      <c r="IHF43" s="1044"/>
      <c r="IHG43" s="1044"/>
      <c r="IHH43" s="1044"/>
      <c r="IHI43" s="1044"/>
      <c r="IHJ43" s="1044"/>
      <c r="IHK43" s="1044"/>
      <c r="IHL43" s="1044"/>
      <c r="IHM43" s="1044"/>
      <c r="IHN43" s="1044"/>
      <c r="IHO43" s="1044"/>
      <c r="IHP43" s="1044"/>
      <c r="IHQ43" s="1044"/>
      <c r="IHR43" s="1044"/>
      <c r="IHS43" s="1044"/>
      <c r="IHT43" s="1044"/>
      <c r="IHU43" s="1044"/>
      <c r="IHV43" s="1044"/>
      <c r="IHW43" s="1044"/>
      <c r="IHX43" s="1044"/>
      <c r="IHY43" s="1044"/>
      <c r="IHZ43" s="1044"/>
      <c r="IIA43" s="1044"/>
      <c r="IIB43" s="1044"/>
      <c r="IIC43" s="1044"/>
      <c r="IID43" s="1044"/>
      <c r="IIE43" s="1044"/>
      <c r="IIF43" s="1044"/>
      <c r="IIG43" s="1044"/>
      <c r="IIH43" s="1044"/>
      <c r="III43" s="1044"/>
      <c r="IIJ43" s="1044"/>
      <c r="IIK43" s="1044"/>
      <c r="IIL43" s="1044"/>
      <c r="IIM43" s="1044"/>
      <c r="IIN43" s="1044"/>
      <c r="IIO43" s="1044"/>
      <c r="IIP43" s="1044"/>
      <c r="IIQ43" s="1044"/>
      <c r="IIR43" s="1044"/>
      <c r="IIS43" s="1044"/>
      <c r="IIT43" s="1044"/>
      <c r="IIU43" s="1044"/>
      <c r="IIV43" s="1044"/>
      <c r="IIW43" s="1044"/>
      <c r="IIX43" s="1044"/>
      <c r="IIY43" s="1044"/>
      <c r="IIZ43" s="1044"/>
      <c r="IJA43" s="1044"/>
      <c r="IJB43" s="1044"/>
      <c r="IJC43" s="1044"/>
      <c r="IJD43" s="1044"/>
      <c r="IJE43" s="1044"/>
      <c r="IJF43" s="1044"/>
      <c r="IJG43" s="1044"/>
      <c r="IJH43" s="1044"/>
      <c r="IJI43" s="1044"/>
      <c r="IJJ43" s="1044"/>
      <c r="IJK43" s="1044"/>
      <c r="IJL43" s="1044"/>
      <c r="IJM43" s="1044"/>
      <c r="IJN43" s="1044"/>
      <c r="IJO43" s="1044"/>
      <c r="IJP43" s="1044"/>
      <c r="IJQ43" s="1044"/>
      <c r="IJR43" s="1044"/>
      <c r="IJS43" s="1044"/>
      <c r="IJT43" s="1044"/>
      <c r="IJU43" s="1044"/>
      <c r="IJV43" s="1044"/>
      <c r="IJW43" s="1044"/>
      <c r="IJX43" s="1044"/>
      <c r="IJY43" s="1044"/>
      <c r="IJZ43" s="1044"/>
      <c r="IKA43" s="1044"/>
      <c r="IKB43" s="1044"/>
      <c r="IKC43" s="1044"/>
      <c r="IKD43" s="1044"/>
      <c r="IKE43" s="1044"/>
      <c r="IKF43" s="1044"/>
      <c r="IKG43" s="1044"/>
      <c r="IKH43" s="1044"/>
      <c r="IKI43" s="1044"/>
      <c r="IKJ43" s="1044"/>
      <c r="IKK43" s="1044"/>
      <c r="IKL43" s="1044"/>
      <c r="IKM43" s="1044"/>
      <c r="IKN43" s="1044"/>
      <c r="IKO43" s="1044"/>
      <c r="IKP43" s="1044"/>
      <c r="IKQ43" s="1044"/>
      <c r="IKR43" s="1044"/>
      <c r="IKS43" s="1044"/>
      <c r="IKT43" s="1044"/>
      <c r="IKU43" s="1044"/>
      <c r="IKV43" s="1044"/>
      <c r="IKW43" s="1044"/>
      <c r="IKX43" s="1044"/>
      <c r="IKY43" s="1044"/>
      <c r="IKZ43" s="1044"/>
      <c r="ILA43" s="1044"/>
      <c r="ILB43" s="1044"/>
      <c r="ILC43" s="1044"/>
      <c r="ILD43" s="1044"/>
      <c r="ILE43" s="1044"/>
      <c r="ILF43" s="1044"/>
      <c r="ILG43" s="1044"/>
      <c r="ILH43" s="1044"/>
      <c r="ILI43" s="1044"/>
      <c r="ILJ43" s="1044"/>
      <c r="ILK43" s="1044"/>
      <c r="ILL43" s="1044"/>
      <c r="ILM43" s="1044"/>
      <c r="ILN43" s="1044"/>
      <c r="ILO43" s="1044"/>
      <c r="ILP43" s="1044"/>
      <c r="ILQ43" s="1044"/>
      <c r="ILR43" s="1044"/>
      <c r="ILS43" s="1044"/>
      <c r="ILT43" s="1044"/>
      <c r="ILU43" s="1044"/>
      <c r="ILV43" s="1044"/>
      <c r="ILW43" s="1044"/>
      <c r="ILX43" s="1044"/>
      <c r="ILY43" s="1044"/>
      <c r="ILZ43" s="1044"/>
      <c r="IMA43" s="1044"/>
      <c r="IMB43" s="1044"/>
      <c r="IMC43" s="1044"/>
      <c r="IMD43" s="1044"/>
      <c r="IME43" s="1044"/>
      <c r="IMF43" s="1044"/>
      <c r="IMG43" s="1044"/>
      <c r="IMH43" s="1044"/>
      <c r="IMI43" s="1044"/>
      <c r="IMJ43" s="1044"/>
      <c r="IMK43" s="1044"/>
      <c r="IML43" s="1044"/>
      <c r="IMM43" s="1044"/>
      <c r="IMN43" s="1044"/>
      <c r="IMO43" s="1044"/>
      <c r="IMP43" s="1044"/>
      <c r="IMQ43" s="1044"/>
      <c r="IMR43" s="1044"/>
      <c r="IMS43" s="1044"/>
      <c r="IMT43" s="1044"/>
      <c r="IMU43" s="1044"/>
      <c r="IMV43" s="1044"/>
      <c r="IMW43" s="1044"/>
      <c r="IMX43" s="1044"/>
      <c r="IMY43" s="1044"/>
      <c r="IMZ43" s="1044"/>
      <c r="INA43" s="1044"/>
      <c r="INB43" s="1044"/>
      <c r="INC43" s="1044"/>
      <c r="IND43" s="1044"/>
      <c r="INE43" s="1044"/>
      <c r="INF43" s="1044"/>
      <c r="ING43" s="1044"/>
      <c r="INH43" s="1044"/>
      <c r="INI43" s="1044"/>
      <c r="INJ43" s="1044"/>
      <c r="INK43" s="1044"/>
      <c r="INL43" s="1044"/>
      <c r="INM43" s="1044"/>
      <c r="INN43" s="1044"/>
      <c r="INO43" s="1044"/>
      <c r="INP43" s="1044"/>
      <c r="INQ43" s="1044"/>
      <c r="INR43" s="1044"/>
      <c r="INS43" s="1044"/>
      <c r="INT43" s="1044"/>
      <c r="INU43" s="1044"/>
      <c r="INV43" s="1044"/>
      <c r="INW43" s="1044"/>
      <c r="INX43" s="1044"/>
      <c r="INY43" s="1044"/>
      <c r="INZ43" s="1044"/>
      <c r="IOA43" s="1044"/>
      <c r="IOB43" s="1044"/>
      <c r="IOC43" s="1044"/>
      <c r="IOD43" s="1044"/>
      <c r="IOE43" s="1044"/>
      <c r="IOF43" s="1044"/>
      <c r="IOG43" s="1044"/>
      <c r="IOH43" s="1044"/>
      <c r="IOI43" s="1044"/>
      <c r="IOJ43" s="1044"/>
      <c r="IOK43" s="1044"/>
      <c r="IOL43" s="1044"/>
      <c r="IOM43" s="1044"/>
      <c r="ION43" s="1044"/>
      <c r="IOO43" s="1044"/>
      <c r="IOP43" s="1044"/>
      <c r="IOQ43" s="1044"/>
      <c r="IOR43" s="1044"/>
      <c r="IOS43" s="1044"/>
      <c r="IOT43" s="1044"/>
      <c r="IOU43" s="1044"/>
      <c r="IOV43" s="1044"/>
      <c r="IOW43" s="1044"/>
      <c r="IOX43" s="1044"/>
      <c r="IOY43" s="1044"/>
      <c r="IOZ43" s="1044"/>
      <c r="IPA43" s="1044"/>
      <c r="IPB43" s="1044"/>
      <c r="IPC43" s="1044"/>
      <c r="IPD43" s="1044"/>
      <c r="IPE43" s="1044"/>
      <c r="IPF43" s="1044"/>
      <c r="IPG43" s="1044"/>
      <c r="IPH43" s="1044"/>
      <c r="IPI43" s="1044"/>
      <c r="IPJ43" s="1044"/>
      <c r="IPK43" s="1044"/>
      <c r="IPL43" s="1044"/>
      <c r="IPM43" s="1044"/>
      <c r="IPN43" s="1044"/>
      <c r="IPO43" s="1044"/>
      <c r="IPP43" s="1044"/>
      <c r="IPQ43" s="1044"/>
      <c r="IPR43" s="1044"/>
      <c r="IPS43" s="1044"/>
      <c r="IPT43" s="1044"/>
      <c r="IPU43" s="1044"/>
      <c r="IPV43" s="1044"/>
      <c r="IPW43" s="1044"/>
      <c r="IPX43" s="1044"/>
      <c r="IPY43" s="1044"/>
      <c r="IPZ43" s="1044"/>
      <c r="IQA43" s="1044"/>
      <c r="IQB43" s="1044"/>
      <c r="IQC43" s="1044"/>
      <c r="IQD43" s="1044"/>
      <c r="IQE43" s="1044"/>
      <c r="IQF43" s="1044"/>
      <c r="IQG43" s="1044"/>
      <c r="IQH43" s="1044"/>
      <c r="IQI43" s="1044"/>
      <c r="IQJ43" s="1044"/>
      <c r="IQK43" s="1044"/>
      <c r="IQL43" s="1044"/>
      <c r="IQM43" s="1044"/>
      <c r="IQN43" s="1044"/>
      <c r="IQO43" s="1044"/>
      <c r="IQP43" s="1044"/>
      <c r="IQQ43" s="1044"/>
      <c r="IQR43" s="1044"/>
      <c r="IQS43" s="1044"/>
      <c r="IQT43" s="1044"/>
      <c r="IQU43" s="1044"/>
      <c r="IQV43" s="1044"/>
      <c r="IQW43" s="1044"/>
      <c r="IQX43" s="1044"/>
      <c r="IQY43" s="1044"/>
      <c r="IQZ43" s="1044"/>
      <c r="IRA43" s="1044"/>
      <c r="IRB43" s="1044"/>
      <c r="IRC43" s="1044"/>
      <c r="IRD43" s="1044"/>
      <c r="IRE43" s="1044"/>
      <c r="IRF43" s="1044"/>
      <c r="IRG43" s="1044"/>
      <c r="IRH43" s="1044"/>
      <c r="IRI43" s="1044"/>
      <c r="IRJ43" s="1044"/>
      <c r="IRK43" s="1044"/>
      <c r="IRL43" s="1044"/>
      <c r="IRM43" s="1044"/>
      <c r="IRN43" s="1044"/>
      <c r="IRO43" s="1044"/>
      <c r="IRP43" s="1044"/>
      <c r="IRQ43" s="1044"/>
      <c r="IRR43" s="1044"/>
      <c r="IRS43" s="1044"/>
      <c r="IRT43" s="1044"/>
      <c r="IRU43" s="1044"/>
      <c r="IRV43" s="1044"/>
      <c r="IRW43" s="1044"/>
      <c r="IRX43" s="1044"/>
      <c r="IRY43" s="1044"/>
      <c r="IRZ43" s="1044"/>
      <c r="ISA43" s="1044"/>
      <c r="ISB43" s="1044"/>
      <c r="ISC43" s="1044"/>
      <c r="ISD43" s="1044"/>
      <c r="ISE43" s="1044"/>
      <c r="ISF43" s="1044"/>
      <c r="ISG43" s="1044"/>
      <c r="ISH43" s="1044"/>
      <c r="ISI43" s="1044"/>
      <c r="ISJ43" s="1044"/>
      <c r="ISK43" s="1044"/>
      <c r="ISL43" s="1044"/>
      <c r="ISM43" s="1044"/>
      <c r="ISN43" s="1044"/>
      <c r="ISO43" s="1044"/>
      <c r="ISP43" s="1044"/>
      <c r="ISQ43" s="1044"/>
      <c r="ISR43" s="1044"/>
      <c r="ISS43" s="1044"/>
      <c r="IST43" s="1044"/>
      <c r="ISU43" s="1044"/>
      <c r="ISV43" s="1044"/>
      <c r="ISW43" s="1044"/>
      <c r="ISX43" s="1044"/>
      <c r="ISY43" s="1044"/>
      <c r="ISZ43" s="1044"/>
      <c r="ITA43" s="1044"/>
      <c r="ITB43" s="1044"/>
      <c r="ITC43" s="1044"/>
      <c r="ITD43" s="1044"/>
      <c r="ITE43" s="1044"/>
      <c r="ITF43" s="1044"/>
      <c r="ITG43" s="1044"/>
      <c r="ITH43" s="1044"/>
      <c r="ITI43" s="1044"/>
      <c r="ITJ43" s="1044"/>
      <c r="ITK43" s="1044"/>
      <c r="ITL43" s="1044"/>
      <c r="ITM43" s="1044"/>
      <c r="ITN43" s="1044"/>
      <c r="ITO43" s="1044"/>
      <c r="ITP43" s="1044"/>
      <c r="ITQ43" s="1044"/>
      <c r="ITR43" s="1044"/>
      <c r="ITS43" s="1044"/>
      <c r="ITT43" s="1044"/>
      <c r="ITU43" s="1044"/>
      <c r="ITV43" s="1044"/>
      <c r="ITW43" s="1044"/>
      <c r="ITX43" s="1044"/>
      <c r="ITY43" s="1044"/>
      <c r="ITZ43" s="1044"/>
      <c r="IUA43" s="1044"/>
      <c r="IUB43" s="1044"/>
      <c r="IUC43" s="1044"/>
      <c r="IUD43" s="1044"/>
      <c r="IUE43" s="1044"/>
      <c r="IUF43" s="1044"/>
      <c r="IUG43" s="1044"/>
      <c r="IUH43" s="1044"/>
      <c r="IUI43" s="1044"/>
      <c r="IUJ43" s="1044"/>
      <c r="IUK43" s="1044"/>
      <c r="IUL43" s="1044"/>
      <c r="IUM43" s="1044"/>
      <c r="IUN43" s="1044"/>
      <c r="IUO43" s="1044"/>
      <c r="IUP43" s="1044"/>
      <c r="IUQ43" s="1044"/>
      <c r="IUR43" s="1044"/>
      <c r="IUS43" s="1044"/>
      <c r="IUT43" s="1044"/>
      <c r="IUU43" s="1044"/>
      <c r="IUV43" s="1044"/>
      <c r="IUW43" s="1044"/>
      <c r="IUX43" s="1044"/>
      <c r="IUY43" s="1044"/>
      <c r="IUZ43" s="1044"/>
      <c r="IVA43" s="1044"/>
      <c r="IVB43" s="1044"/>
      <c r="IVC43" s="1044"/>
      <c r="IVD43" s="1044"/>
      <c r="IVE43" s="1044"/>
      <c r="IVF43" s="1044"/>
      <c r="IVG43" s="1044"/>
      <c r="IVH43" s="1044"/>
      <c r="IVI43" s="1044"/>
      <c r="IVJ43" s="1044"/>
      <c r="IVK43" s="1044"/>
      <c r="IVL43" s="1044"/>
      <c r="IVM43" s="1044"/>
      <c r="IVN43" s="1044"/>
      <c r="IVO43" s="1044"/>
      <c r="IVP43" s="1044"/>
      <c r="IVQ43" s="1044"/>
      <c r="IVR43" s="1044"/>
      <c r="IVS43" s="1044"/>
      <c r="IVT43" s="1044"/>
      <c r="IVU43" s="1044"/>
      <c r="IVV43" s="1044"/>
      <c r="IVW43" s="1044"/>
      <c r="IVX43" s="1044"/>
      <c r="IVY43" s="1044"/>
      <c r="IVZ43" s="1044"/>
      <c r="IWA43" s="1044"/>
      <c r="IWB43" s="1044"/>
      <c r="IWC43" s="1044"/>
      <c r="IWD43" s="1044"/>
      <c r="IWE43" s="1044"/>
      <c r="IWF43" s="1044"/>
      <c r="IWG43" s="1044"/>
      <c r="IWH43" s="1044"/>
      <c r="IWI43" s="1044"/>
      <c r="IWJ43" s="1044"/>
      <c r="IWK43" s="1044"/>
      <c r="IWL43" s="1044"/>
      <c r="IWM43" s="1044"/>
      <c r="IWN43" s="1044"/>
      <c r="IWO43" s="1044"/>
      <c r="IWP43" s="1044"/>
      <c r="IWQ43" s="1044"/>
      <c r="IWR43" s="1044"/>
      <c r="IWS43" s="1044"/>
      <c r="IWT43" s="1044"/>
      <c r="IWU43" s="1044"/>
      <c r="IWV43" s="1044"/>
      <c r="IWW43" s="1044"/>
      <c r="IWX43" s="1044"/>
      <c r="IWY43" s="1044"/>
      <c r="IWZ43" s="1044"/>
      <c r="IXA43" s="1044"/>
      <c r="IXB43" s="1044"/>
      <c r="IXC43" s="1044"/>
      <c r="IXD43" s="1044"/>
      <c r="IXE43" s="1044"/>
      <c r="IXF43" s="1044"/>
      <c r="IXG43" s="1044"/>
      <c r="IXH43" s="1044"/>
      <c r="IXI43" s="1044"/>
      <c r="IXJ43" s="1044"/>
      <c r="IXK43" s="1044"/>
      <c r="IXL43" s="1044"/>
      <c r="IXM43" s="1044"/>
      <c r="IXN43" s="1044"/>
      <c r="IXO43" s="1044"/>
      <c r="IXP43" s="1044"/>
      <c r="IXQ43" s="1044"/>
      <c r="IXR43" s="1044"/>
      <c r="IXS43" s="1044"/>
      <c r="IXT43" s="1044"/>
      <c r="IXU43" s="1044"/>
      <c r="IXV43" s="1044"/>
      <c r="IXW43" s="1044"/>
      <c r="IXX43" s="1044"/>
      <c r="IXY43" s="1044"/>
      <c r="IXZ43" s="1044"/>
      <c r="IYA43" s="1044"/>
      <c r="IYB43" s="1044"/>
      <c r="IYC43" s="1044"/>
      <c r="IYD43" s="1044"/>
      <c r="IYE43" s="1044"/>
      <c r="IYF43" s="1044"/>
      <c r="IYG43" s="1044"/>
      <c r="IYH43" s="1044"/>
      <c r="IYI43" s="1044"/>
      <c r="IYJ43" s="1044"/>
      <c r="IYK43" s="1044"/>
      <c r="IYL43" s="1044"/>
      <c r="IYM43" s="1044"/>
      <c r="IYN43" s="1044"/>
      <c r="IYO43" s="1044"/>
      <c r="IYP43" s="1044"/>
      <c r="IYQ43" s="1044"/>
      <c r="IYR43" s="1044"/>
      <c r="IYS43" s="1044"/>
      <c r="IYT43" s="1044"/>
      <c r="IYU43" s="1044"/>
      <c r="IYV43" s="1044"/>
      <c r="IYW43" s="1044"/>
      <c r="IYX43" s="1044"/>
      <c r="IYY43" s="1044"/>
      <c r="IYZ43" s="1044"/>
      <c r="IZA43" s="1044"/>
      <c r="IZB43" s="1044"/>
      <c r="IZC43" s="1044"/>
      <c r="IZD43" s="1044"/>
      <c r="IZE43" s="1044"/>
      <c r="IZF43" s="1044"/>
      <c r="IZG43" s="1044"/>
      <c r="IZH43" s="1044"/>
      <c r="IZI43" s="1044"/>
      <c r="IZJ43" s="1044"/>
      <c r="IZK43" s="1044"/>
      <c r="IZL43" s="1044"/>
      <c r="IZM43" s="1044"/>
      <c r="IZN43" s="1044"/>
      <c r="IZO43" s="1044"/>
      <c r="IZP43" s="1044"/>
      <c r="IZQ43" s="1044"/>
      <c r="IZR43" s="1044"/>
      <c r="IZS43" s="1044"/>
      <c r="IZT43" s="1044"/>
      <c r="IZU43" s="1044"/>
      <c r="IZV43" s="1044"/>
      <c r="IZW43" s="1044"/>
      <c r="IZX43" s="1044"/>
      <c r="IZY43" s="1044"/>
      <c r="IZZ43" s="1044"/>
      <c r="JAA43" s="1044"/>
      <c r="JAB43" s="1044"/>
      <c r="JAC43" s="1044"/>
      <c r="JAD43" s="1044"/>
      <c r="JAE43" s="1044"/>
      <c r="JAF43" s="1044"/>
      <c r="JAG43" s="1044"/>
      <c r="JAH43" s="1044"/>
      <c r="JAI43" s="1044"/>
      <c r="JAJ43" s="1044"/>
      <c r="JAK43" s="1044"/>
      <c r="JAL43" s="1044"/>
      <c r="JAM43" s="1044"/>
      <c r="JAN43" s="1044"/>
      <c r="JAO43" s="1044"/>
      <c r="JAP43" s="1044"/>
      <c r="JAQ43" s="1044"/>
      <c r="JAR43" s="1044"/>
      <c r="JAS43" s="1044"/>
      <c r="JAT43" s="1044"/>
      <c r="JAU43" s="1044"/>
      <c r="JAV43" s="1044"/>
      <c r="JAW43" s="1044"/>
      <c r="JAX43" s="1044"/>
      <c r="JAY43" s="1044"/>
      <c r="JAZ43" s="1044"/>
      <c r="JBA43" s="1044"/>
      <c r="JBB43" s="1044"/>
      <c r="JBC43" s="1044"/>
      <c r="JBD43" s="1044"/>
      <c r="JBE43" s="1044"/>
      <c r="JBF43" s="1044"/>
      <c r="JBG43" s="1044"/>
      <c r="JBH43" s="1044"/>
      <c r="JBI43" s="1044"/>
      <c r="JBJ43" s="1044"/>
      <c r="JBK43" s="1044"/>
      <c r="JBL43" s="1044"/>
      <c r="JBM43" s="1044"/>
      <c r="JBN43" s="1044"/>
      <c r="JBO43" s="1044"/>
      <c r="JBP43" s="1044"/>
      <c r="JBQ43" s="1044"/>
      <c r="JBR43" s="1044"/>
      <c r="JBS43" s="1044"/>
      <c r="JBT43" s="1044"/>
      <c r="JBU43" s="1044"/>
      <c r="JBV43" s="1044"/>
      <c r="JBW43" s="1044"/>
      <c r="JBX43" s="1044"/>
      <c r="JBY43" s="1044"/>
      <c r="JBZ43" s="1044"/>
      <c r="JCA43" s="1044"/>
      <c r="JCB43" s="1044"/>
      <c r="JCC43" s="1044"/>
      <c r="JCD43" s="1044"/>
      <c r="JCE43" s="1044"/>
      <c r="JCF43" s="1044"/>
      <c r="JCG43" s="1044"/>
      <c r="JCH43" s="1044"/>
      <c r="JCI43" s="1044"/>
      <c r="JCJ43" s="1044"/>
      <c r="JCK43" s="1044"/>
      <c r="JCL43" s="1044"/>
      <c r="JCM43" s="1044"/>
      <c r="JCN43" s="1044"/>
      <c r="JCO43" s="1044"/>
      <c r="JCP43" s="1044"/>
      <c r="JCQ43" s="1044"/>
      <c r="JCR43" s="1044"/>
      <c r="JCS43" s="1044"/>
      <c r="JCT43" s="1044"/>
      <c r="JCU43" s="1044"/>
      <c r="JCV43" s="1044"/>
      <c r="JCW43" s="1044"/>
      <c r="JCX43" s="1044"/>
      <c r="JCY43" s="1044"/>
      <c r="JCZ43" s="1044"/>
      <c r="JDA43" s="1044"/>
      <c r="JDB43" s="1044"/>
      <c r="JDC43" s="1044"/>
      <c r="JDD43" s="1044"/>
      <c r="JDE43" s="1044"/>
      <c r="JDF43" s="1044"/>
      <c r="JDG43" s="1044"/>
      <c r="JDH43" s="1044"/>
      <c r="JDI43" s="1044"/>
      <c r="JDJ43" s="1044"/>
      <c r="JDK43" s="1044"/>
      <c r="JDL43" s="1044"/>
      <c r="JDM43" s="1044"/>
      <c r="JDN43" s="1044"/>
      <c r="JDO43" s="1044"/>
      <c r="JDP43" s="1044"/>
      <c r="JDQ43" s="1044"/>
      <c r="JDR43" s="1044"/>
      <c r="JDS43" s="1044"/>
      <c r="JDT43" s="1044"/>
      <c r="JDU43" s="1044"/>
      <c r="JDV43" s="1044"/>
      <c r="JDW43" s="1044"/>
      <c r="JDX43" s="1044"/>
      <c r="JDY43" s="1044"/>
      <c r="JDZ43" s="1044"/>
      <c r="JEA43" s="1044"/>
      <c r="JEB43" s="1044"/>
      <c r="JEC43" s="1044"/>
      <c r="JED43" s="1044"/>
      <c r="JEE43" s="1044"/>
      <c r="JEF43" s="1044"/>
      <c r="JEG43" s="1044"/>
      <c r="JEH43" s="1044"/>
      <c r="JEI43" s="1044"/>
      <c r="JEJ43" s="1044"/>
      <c r="JEK43" s="1044"/>
      <c r="JEL43" s="1044"/>
      <c r="JEM43" s="1044"/>
      <c r="JEN43" s="1044"/>
      <c r="JEO43" s="1044"/>
      <c r="JEP43" s="1044"/>
      <c r="JEQ43" s="1044"/>
      <c r="JER43" s="1044"/>
      <c r="JES43" s="1044"/>
      <c r="JET43" s="1044"/>
      <c r="JEU43" s="1044"/>
      <c r="JEV43" s="1044"/>
      <c r="JEW43" s="1044"/>
      <c r="JEX43" s="1044"/>
      <c r="JEY43" s="1044"/>
      <c r="JEZ43" s="1044"/>
      <c r="JFA43" s="1044"/>
      <c r="JFB43" s="1044"/>
      <c r="JFC43" s="1044"/>
      <c r="JFD43" s="1044"/>
      <c r="JFE43" s="1044"/>
      <c r="JFF43" s="1044"/>
      <c r="JFG43" s="1044"/>
      <c r="JFH43" s="1044"/>
      <c r="JFI43" s="1044"/>
      <c r="JFJ43" s="1044"/>
      <c r="JFK43" s="1044"/>
      <c r="JFL43" s="1044"/>
      <c r="JFM43" s="1044"/>
      <c r="JFN43" s="1044"/>
      <c r="JFO43" s="1044"/>
      <c r="JFP43" s="1044"/>
      <c r="JFQ43" s="1044"/>
      <c r="JFR43" s="1044"/>
      <c r="JFS43" s="1044"/>
      <c r="JFT43" s="1044"/>
      <c r="JFU43" s="1044"/>
      <c r="JFV43" s="1044"/>
      <c r="JFW43" s="1044"/>
      <c r="JFX43" s="1044"/>
      <c r="JFY43" s="1044"/>
      <c r="JFZ43" s="1044"/>
      <c r="JGA43" s="1044"/>
      <c r="JGB43" s="1044"/>
      <c r="JGC43" s="1044"/>
      <c r="JGD43" s="1044"/>
      <c r="JGE43" s="1044"/>
      <c r="JGF43" s="1044"/>
      <c r="JGG43" s="1044"/>
      <c r="JGH43" s="1044"/>
      <c r="JGI43" s="1044"/>
      <c r="JGJ43" s="1044"/>
      <c r="JGK43" s="1044"/>
      <c r="JGL43" s="1044"/>
      <c r="JGM43" s="1044"/>
      <c r="JGN43" s="1044"/>
      <c r="JGO43" s="1044"/>
      <c r="JGP43" s="1044"/>
      <c r="JGQ43" s="1044"/>
      <c r="JGR43" s="1044"/>
      <c r="JGS43" s="1044"/>
      <c r="JGT43" s="1044"/>
      <c r="JGU43" s="1044"/>
      <c r="JGV43" s="1044"/>
      <c r="JGW43" s="1044"/>
      <c r="JGX43" s="1044"/>
      <c r="JGY43" s="1044"/>
      <c r="JGZ43" s="1044"/>
      <c r="JHA43" s="1044"/>
      <c r="JHB43" s="1044"/>
      <c r="JHC43" s="1044"/>
      <c r="JHD43" s="1044"/>
      <c r="JHE43" s="1044"/>
      <c r="JHF43" s="1044"/>
      <c r="JHG43" s="1044"/>
      <c r="JHH43" s="1044"/>
      <c r="JHI43" s="1044"/>
      <c r="JHJ43" s="1044"/>
      <c r="JHK43" s="1044"/>
      <c r="JHL43" s="1044"/>
      <c r="JHM43" s="1044"/>
      <c r="JHN43" s="1044"/>
      <c r="JHO43" s="1044"/>
      <c r="JHP43" s="1044"/>
      <c r="JHQ43" s="1044"/>
      <c r="JHR43" s="1044"/>
      <c r="JHS43" s="1044"/>
      <c r="JHT43" s="1044"/>
      <c r="JHU43" s="1044"/>
      <c r="JHV43" s="1044"/>
      <c r="JHW43" s="1044"/>
      <c r="JHX43" s="1044"/>
      <c r="JHY43" s="1044"/>
      <c r="JHZ43" s="1044"/>
      <c r="JIA43" s="1044"/>
      <c r="JIB43" s="1044"/>
      <c r="JIC43" s="1044"/>
      <c r="JID43" s="1044"/>
      <c r="JIE43" s="1044"/>
      <c r="JIF43" s="1044"/>
      <c r="JIG43" s="1044"/>
      <c r="JIH43" s="1044"/>
      <c r="JII43" s="1044"/>
      <c r="JIJ43" s="1044"/>
      <c r="JIK43" s="1044"/>
      <c r="JIL43" s="1044"/>
      <c r="JIM43" s="1044"/>
      <c r="JIN43" s="1044"/>
      <c r="JIO43" s="1044"/>
      <c r="JIP43" s="1044"/>
      <c r="JIQ43" s="1044"/>
      <c r="JIR43" s="1044"/>
      <c r="JIS43" s="1044"/>
      <c r="JIT43" s="1044"/>
      <c r="JIU43" s="1044"/>
      <c r="JIV43" s="1044"/>
      <c r="JIW43" s="1044"/>
      <c r="JIX43" s="1044"/>
      <c r="JIY43" s="1044"/>
      <c r="JIZ43" s="1044"/>
      <c r="JJA43" s="1044"/>
      <c r="JJB43" s="1044"/>
      <c r="JJC43" s="1044"/>
      <c r="JJD43" s="1044"/>
      <c r="JJE43" s="1044"/>
      <c r="JJF43" s="1044"/>
      <c r="JJG43" s="1044"/>
      <c r="JJH43" s="1044"/>
      <c r="JJI43" s="1044"/>
      <c r="JJJ43" s="1044"/>
      <c r="JJK43" s="1044"/>
      <c r="JJL43" s="1044"/>
      <c r="JJM43" s="1044"/>
      <c r="JJN43" s="1044"/>
      <c r="JJO43" s="1044"/>
      <c r="JJP43" s="1044"/>
      <c r="JJQ43" s="1044"/>
      <c r="JJR43" s="1044"/>
      <c r="JJS43" s="1044"/>
      <c r="JJT43" s="1044"/>
      <c r="JJU43" s="1044"/>
      <c r="JJV43" s="1044"/>
      <c r="JJW43" s="1044"/>
      <c r="JJX43" s="1044"/>
      <c r="JJY43" s="1044"/>
      <c r="JJZ43" s="1044"/>
      <c r="JKA43" s="1044"/>
      <c r="JKB43" s="1044"/>
      <c r="JKC43" s="1044"/>
      <c r="JKD43" s="1044"/>
      <c r="JKE43" s="1044"/>
      <c r="JKF43" s="1044"/>
      <c r="JKG43" s="1044"/>
      <c r="JKH43" s="1044"/>
      <c r="JKI43" s="1044"/>
      <c r="JKJ43" s="1044"/>
      <c r="JKK43" s="1044"/>
      <c r="JKL43" s="1044"/>
      <c r="JKM43" s="1044"/>
      <c r="JKN43" s="1044"/>
      <c r="JKO43" s="1044"/>
      <c r="JKP43" s="1044"/>
      <c r="JKQ43" s="1044"/>
      <c r="JKR43" s="1044"/>
      <c r="JKS43" s="1044"/>
      <c r="JKT43" s="1044"/>
      <c r="JKU43" s="1044"/>
      <c r="JKV43" s="1044"/>
      <c r="JKW43" s="1044"/>
      <c r="JKX43" s="1044"/>
      <c r="JKY43" s="1044"/>
      <c r="JKZ43" s="1044"/>
      <c r="JLA43" s="1044"/>
      <c r="JLB43" s="1044"/>
      <c r="JLC43" s="1044"/>
      <c r="JLD43" s="1044"/>
      <c r="JLE43" s="1044"/>
      <c r="JLF43" s="1044"/>
      <c r="JLG43" s="1044"/>
      <c r="JLH43" s="1044"/>
      <c r="JLI43" s="1044"/>
      <c r="JLJ43" s="1044"/>
      <c r="JLK43" s="1044"/>
      <c r="JLL43" s="1044"/>
      <c r="JLM43" s="1044"/>
      <c r="JLN43" s="1044"/>
      <c r="JLO43" s="1044"/>
      <c r="JLP43" s="1044"/>
      <c r="JLQ43" s="1044"/>
      <c r="JLR43" s="1044"/>
      <c r="JLS43" s="1044"/>
      <c r="JLT43" s="1044"/>
      <c r="JLU43" s="1044"/>
      <c r="JLV43" s="1044"/>
      <c r="JLW43" s="1044"/>
      <c r="JLX43" s="1044"/>
      <c r="JLY43" s="1044"/>
      <c r="JLZ43" s="1044"/>
      <c r="JMA43" s="1044"/>
      <c r="JMB43" s="1044"/>
      <c r="JMC43" s="1044"/>
      <c r="JMD43" s="1044"/>
      <c r="JME43" s="1044"/>
      <c r="JMF43" s="1044"/>
      <c r="JMG43" s="1044"/>
      <c r="JMH43" s="1044"/>
      <c r="JMI43" s="1044"/>
      <c r="JMJ43" s="1044"/>
      <c r="JMK43" s="1044"/>
      <c r="JML43" s="1044"/>
      <c r="JMM43" s="1044"/>
      <c r="JMN43" s="1044"/>
      <c r="JMO43" s="1044"/>
      <c r="JMP43" s="1044"/>
      <c r="JMQ43" s="1044"/>
      <c r="JMR43" s="1044"/>
      <c r="JMS43" s="1044"/>
      <c r="JMT43" s="1044"/>
      <c r="JMU43" s="1044"/>
      <c r="JMV43" s="1044"/>
      <c r="JMW43" s="1044"/>
      <c r="JMX43" s="1044"/>
      <c r="JMY43" s="1044"/>
      <c r="JMZ43" s="1044"/>
      <c r="JNA43" s="1044"/>
      <c r="JNB43" s="1044"/>
      <c r="JNC43" s="1044"/>
      <c r="JND43" s="1044"/>
      <c r="JNE43" s="1044"/>
      <c r="JNF43" s="1044"/>
      <c r="JNG43" s="1044"/>
      <c r="JNH43" s="1044"/>
      <c r="JNI43" s="1044"/>
      <c r="JNJ43" s="1044"/>
      <c r="JNK43" s="1044"/>
      <c r="JNL43" s="1044"/>
      <c r="JNM43" s="1044"/>
      <c r="JNN43" s="1044"/>
      <c r="JNO43" s="1044"/>
      <c r="JNP43" s="1044"/>
      <c r="JNQ43" s="1044"/>
      <c r="JNR43" s="1044"/>
      <c r="JNS43" s="1044"/>
      <c r="JNT43" s="1044"/>
      <c r="JNU43" s="1044"/>
      <c r="JNV43" s="1044"/>
      <c r="JNW43" s="1044"/>
      <c r="JNX43" s="1044"/>
      <c r="JNY43" s="1044"/>
      <c r="JNZ43" s="1044"/>
      <c r="JOA43" s="1044"/>
      <c r="JOB43" s="1044"/>
      <c r="JOC43" s="1044"/>
      <c r="JOD43" s="1044"/>
      <c r="JOE43" s="1044"/>
      <c r="JOF43" s="1044"/>
      <c r="JOG43" s="1044"/>
      <c r="JOH43" s="1044"/>
      <c r="JOI43" s="1044"/>
      <c r="JOJ43" s="1044"/>
      <c r="JOK43" s="1044"/>
      <c r="JOL43" s="1044"/>
      <c r="JOM43" s="1044"/>
      <c r="JON43" s="1044"/>
      <c r="JOO43" s="1044"/>
      <c r="JOP43" s="1044"/>
      <c r="JOQ43" s="1044"/>
      <c r="JOR43" s="1044"/>
      <c r="JOS43" s="1044"/>
      <c r="JOT43" s="1044"/>
      <c r="JOU43" s="1044"/>
      <c r="JOV43" s="1044"/>
      <c r="JOW43" s="1044"/>
      <c r="JOX43" s="1044"/>
      <c r="JOY43" s="1044"/>
      <c r="JOZ43" s="1044"/>
      <c r="JPA43" s="1044"/>
      <c r="JPB43" s="1044"/>
      <c r="JPC43" s="1044"/>
      <c r="JPD43" s="1044"/>
      <c r="JPE43" s="1044"/>
      <c r="JPF43" s="1044"/>
      <c r="JPG43" s="1044"/>
      <c r="JPH43" s="1044"/>
      <c r="JPI43" s="1044"/>
      <c r="JPJ43" s="1044"/>
      <c r="JPK43" s="1044"/>
      <c r="JPL43" s="1044"/>
      <c r="JPM43" s="1044"/>
      <c r="JPN43" s="1044"/>
      <c r="JPO43" s="1044"/>
      <c r="JPP43" s="1044"/>
      <c r="JPQ43" s="1044"/>
      <c r="JPR43" s="1044"/>
      <c r="JPS43" s="1044"/>
      <c r="JPT43" s="1044"/>
      <c r="JPU43" s="1044"/>
      <c r="JPV43" s="1044"/>
      <c r="JPW43" s="1044"/>
      <c r="JPX43" s="1044"/>
      <c r="JPY43" s="1044"/>
      <c r="JPZ43" s="1044"/>
      <c r="JQA43" s="1044"/>
      <c r="JQB43" s="1044"/>
      <c r="JQC43" s="1044"/>
      <c r="JQD43" s="1044"/>
      <c r="JQE43" s="1044"/>
      <c r="JQF43" s="1044"/>
      <c r="JQG43" s="1044"/>
      <c r="JQH43" s="1044"/>
      <c r="JQI43" s="1044"/>
      <c r="JQJ43" s="1044"/>
      <c r="JQK43" s="1044"/>
      <c r="JQL43" s="1044"/>
      <c r="JQM43" s="1044"/>
      <c r="JQN43" s="1044"/>
      <c r="JQO43" s="1044"/>
      <c r="JQP43" s="1044"/>
      <c r="JQQ43" s="1044"/>
      <c r="JQR43" s="1044"/>
      <c r="JQS43" s="1044"/>
      <c r="JQT43" s="1044"/>
      <c r="JQU43" s="1044"/>
      <c r="JQV43" s="1044"/>
      <c r="JQW43" s="1044"/>
      <c r="JQX43" s="1044"/>
      <c r="JQY43" s="1044"/>
      <c r="JQZ43" s="1044"/>
      <c r="JRA43" s="1044"/>
      <c r="JRB43" s="1044"/>
      <c r="JRC43" s="1044"/>
      <c r="JRD43" s="1044"/>
      <c r="JRE43" s="1044"/>
      <c r="JRF43" s="1044"/>
      <c r="JRG43" s="1044"/>
      <c r="JRH43" s="1044"/>
      <c r="JRI43" s="1044"/>
      <c r="JRJ43" s="1044"/>
      <c r="JRK43" s="1044"/>
      <c r="JRL43" s="1044"/>
      <c r="JRM43" s="1044"/>
      <c r="JRN43" s="1044"/>
      <c r="JRO43" s="1044"/>
      <c r="JRP43" s="1044"/>
      <c r="JRQ43" s="1044"/>
      <c r="JRR43" s="1044"/>
      <c r="JRS43" s="1044"/>
      <c r="JRT43" s="1044"/>
      <c r="JRU43" s="1044"/>
      <c r="JRV43" s="1044"/>
      <c r="JRW43" s="1044"/>
      <c r="JRX43" s="1044"/>
      <c r="JRY43" s="1044"/>
      <c r="JRZ43" s="1044"/>
      <c r="JSA43" s="1044"/>
      <c r="JSB43" s="1044"/>
      <c r="JSC43" s="1044"/>
      <c r="JSD43" s="1044"/>
      <c r="JSE43" s="1044"/>
      <c r="JSF43" s="1044"/>
      <c r="JSG43" s="1044"/>
      <c r="JSH43" s="1044"/>
      <c r="JSI43" s="1044"/>
      <c r="JSJ43" s="1044"/>
      <c r="JSK43" s="1044"/>
      <c r="JSL43" s="1044"/>
      <c r="JSM43" s="1044"/>
      <c r="JSN43" s="1044"/>
      <c r="JSO43" s="1044"/>
      <c r="JSP43" s="1044"/>
      <c r="JSQ43" s="1044"/>
      <c r="JSR43" s="1044"/>
      <c r="JSS43" s="1044"/>
      <c r="JST43" s="1044"/>
      <c r="JSU43" s="1044"/>
      <c r="JSV43" s="1044"/>
      <c r="JSW43" s="1044"/>
      <c r="JSX43" s="1044"/>
      <c r="JSY43" s="1044"/>
      <c r="JSZ43" s="1044"/>
      <c r="JTA43" s="1044"/>
      <c r="JTB43" s="1044"/>
      <c r="JTC43" s="1044"/>
      <c r="JTD43" s="1044"/>
      <c r="JTE43" s="1044"/>
      <c r="JTF43" s="1044"/>
      <c r="JTG43" s="1044"/>
      <c r="JTH43" s="1044"/>
      <c r="JTI43" s="1044"/>
      <c r="JTJ43" s="1044"/>
      <c r="JTK43" s="1044"/>
      <c r="JTL43" s="1044"/>
      <c r="JTM43" s="1044"/>
      <c r="JTN43" s="1044"/>
      <c r="JTO43" s="1044"/>
      <c r="JTP43" s="1044"/>
      <c r="JTQ43" s="1044"/>
      <c r="JTR43" s="1044"/>
      <c r="JTS43" s="1044"/>
      <c r="JTT43" s="1044"/>
      <c r="JTU43" s="1044"/>
      <c r="JTV43" s="1044"/>
      <c r="JTW43" s="1044"/>
      <c r="JTX43" s="1044"/>
      <c r="JTY43" s="1044"/>
      <c r="JTZ43" s="1044"/>
      <c r="JUA43" s="1044"/>
      <c r="JUB43" s="1044"/>
      <c r="JUC43" s="1044"/>
      <c r="JUD43" s="1044"/>
      <c r="JUE43" s="1044"/>
      <c r="JUF43" s="1044"/>
      <c r="JUG43" s="1044"/>
      <c r="JUH43" s="1044"/>
      <c r="JUI43" s="1044"/>
      <c r="JUJ43" s="1044"/>
      <c r="JUK43" s="1044"/>
      <c r="JUL43" s="1044"/>
      <c r="JUM43" s="1044"/>
      <c r="JUN43" s="1044"/>
      <c r="JUO43" s="1044"/>
      <c r="JUP43" s="1044"/>
      <c r="JUQ43" s="1044"/>
      <c r="JUR43" s="1044"/>
      <c r="JUS43" s="1044"/>
      <c r="JUT43" s="1044"/>
      <c r="JUU43" s="1044"/>
      <c r="JUV43" s="1044"/>
      <c r="JUW43" s="1044"/>
      <c r="JUX43" s="1044"/>
      <c r="JUY43" s="1044"/>
      <c r="JUZ43" s="1044"/>
      <c r="JVA43" s="1044"/>
      <c r="JVB43" s="1044"/>
      <c r="JVC43" s="1044"/>
      <c r="JVD43" s="1044"/>
      <c r="JVE43" s="1044"/>
      <c r="JVF43" s="1044"/>
      <c r="JVG43" s="1044"/>
      <c r="JVH43" s="1044"/>
      <c r="JVI43" s="1044"/>
      <c r="JVJ43" s="1044"/>
      <c r="JVK43" s="1044"/>
      <c r="JVL43" s="1044"/>
      <c r="JVM43" s="1044"/>
      <c r="JVN43" s="1044"/>
      <c r="JVO43" s="1044"/>
      <c r="JVP43" s="1044"/>
      <c r="JVQ43" s="1044"/>
      <c r="JVR43" s="1044"/>
      <c r="JVS43" s="1044"/>
      <c r="JVT43" s="1044"/>
      <c r="JVU43" s="1044"/>
      <c r="JVV43" s="1044"/>
      <c r="JVW43" s="1044"/>
      <c r="JVX43" s="1044"/>
      <c r="JVY43" s="1044"/>
      <c r="JVZ43" s="1044"/>
      <c r="JWA43" s="1044"/>
      <c r="JWB43" s="1044"/>
      <c r="JWC43" s="1044"/>
      <c r="JWD43" s="1044"/>
      <c r="JWE43" s="1044"/>
      <c r="JWF43" s="1044"/>
      <c r="JWG43" s="1044"/>
      <c r="JWH43" s="1044"/>
      <c r="JWI43" s="1044"/>
      <c r="JWJ43" s="1044"/>
      <c r="JWK43" s="1044"/>
      <c r="JWL43" s="1044"/>
      <c r="JWM43" s="1044"/>
      <c r="JWN43" s="1044"/>
      <c r="JWO43" s="1044"/>
      <c r="JWP43" s="1044"/>
      <c r="JWQ43" s="1044"/>
      <c r="JWR43" s="1044"/>
      <c r="JWS43" s="1044"/>
      <c r="JWT43" s="1044"/>
      <c r="JWU43" s="1044"/>
      <c r="JWV43" s="1044"/>
      <c r="JWW43" s="1044"/>
      <c r="JWX43" s="1044"/>
      <c r="JWY43" s="1044"/>
      <c r="JWZ43" s="1044"/>
      <c r="JXA43" s="1044"/>
      <c r="JXB43" s="1044"/>
      <c r="JXC43" s="1044"/>
      <c r="JXD43" s="1044"/>
      <c r="JXE43" s="1044"/>
      <c r="JXF43" s="1044"/>
      <c r="JXG43" s="1044"/>
      <c r="JXH43" s="1044"/>
      <c r="JXI43" s="1044"/>
      <c r="JXJ43" s="1044"/>
      <c r="JXK43" s="1044"/>
      <c r="JXL43" s="1044"/>
      <c r="JXM43" s="1044"/>
      <c r="JXN43" s="1044"/>
      <c r="JXO43" s="1044"/>
      <c r="JXP43" s="1044"/>
      <c r="JXQ43" s="1044"/>
      <c r="JXR43" s="1044"/>
      <c r="JXS43" s="1044"/>
      <c r="JXT43" s="1044"/>
      <c r="JXU43" s="1044"/>
      <c r="JXV43" s="1044"/>
      <c r="JXW43" s="1044"/>
      <c r="JXX43" s="1044"/>
      <c r="JXY43" s="1044"/>
      <c r="JXZ43" s="1044"/>
      <c r="JYA43" s="1044"/>
      <c r="JYB43" s="1044"/>
      <c r="JYC43" s="1044"/>
      <c r="JYD43" s="1044"/>
      <c r="JYE43" s="1044"/>
      <c r="JYF43" s="1044"/>
      <c r="JYG43" s="1044"/>
      <c r="JYH43" s="1044"/>
      <c r="JYI43" s="1044"/>
      <c r="JYJ43" s="1044"/>
      <c r="JYK43" s="1044"/>
      <c r="JYL43" s="1044"/>
      <c r="JYM43" s="1044"/>
      <c r="JYN43" s="1044"/>
      <c r="JYO43" s="1044"/>
      <c r="JYP43" s="1044"/>
      <c r="JYQ43" s="1044"/>
      <c r="JYR43" s="1044"/>
      <c r="JYS43" s="1044"/>
      <c r="JYT43" s="1044"/>
      <c r="JYU43" s="1044"/>
      <c r="JYV43" s="1044"/>
      <c r="JYW43" s="1044"/>
      <c r="JYX43" s="1044"/>
      <c r="JYY43" s="1044"/>
      <c r="JYZ43" s="1044"/>
      <c r="JZA43" s="1044"/>
      <c r="JZB43" s="1044"/>
      <c r="JZC43" s="1044"/>
      <c r="JZD43" s="1044"/>
      <c r="JZE43" s="1044"/>
      <c r="JZF43" s="1044"/>
      <c r="JZG43" s="1044"/>
      <c r="JZH43" s="1044"/>
      <c r="JZI43" s="1044"/>
      <c r="JZJ43" s="1044"/>
      <c r="JZK43" s="1044"/>
      <c r="JZL43" s="1044"/>
      <c r="JZM43" s="1044"/>
      <c r="JZN43" s="1044"/>
      <c r="JZO43" s="1044"/>
      <c r="JZP43" s="1044"/>
      <c r="JZQ43" s="1044"/>
      <c r="JZR43" s="1044"/>
      <c r="JZS43" s="1044"/>
      <c r="JZT43" s="1044"/>
      <c r="JZU43" s="1044"/>
      <c r="JZV43" s="1044"/>
      <c r="JZW43" s="1044"/>
      <c r="JZX43" s="1044"/>
      <c r="JZY43" s="1044"/>
      <c r="JZZ43" s="1044"/>
      <c r="KAA43" s="1044"/>
      <c r="KAB43" s="1044"/>
      <c r="KAC43" s="1044"/>
      <c r="KAD43" s="1044"/>
      <c r="KAE43" s="1044"/>
      <c r="KAF43" s="1044"/>
      <c r="KAG43" s="1044"/>
      <c r="KAH43" s="1044"/>
      <c r="KAI43" s="1044"/>
      <c r="KAJ43" s="1044"/>
      <c r="KAK43" s="1044"/>
      <c r="KAL43" s="1044"/>
      <c r="KAM43" s="1044"/>
      <c r="KAN43" s="1044"/>
      <c r="KAO43" s="1044"/>
      <c r="KAP43" s="1044"/>
      <c r="KAQ43" s="1044"/>
      <c r="KAR43" s="1044"/>
      <c r="KAS43" s="1044"/>
      <c r="KAT43" s="1044"/>
      <c r="KAU43" s="1044"/>
      <c r="KAV43" s="1044"/>
      <c r="KAW43" s="1044"/>
      <c r="KAX43" s="1044"/>
      <c r="KAY43" s="1044"/>
      <c r="KAZ43" s="1044"/>
      <c r="KBA43" s="1044"/>
      <c r="KBB43" s="1044"/>
      <c r="KBC43" s="1044"/>
      <c r="KBD43" s="1044"/>
      <c r="KBE43" s="1044"/>
      <c r="KBF43" s="1044"/>
      <c r="KBG43" s="1044"/>
      <c r="KBH43" s="1044"/>
      <c r="KBI43" s="1044"/>
      <c r="KBJ43" s="1044"/>
      <c r="KBK43" s="1044"/>
      <c r="KBL43" s="1044"/>
      <c r="KBM43" s="1044"/>
      <c r="KBN43" s="1044"/>
      <c r="KBO43" s="1044"/>
      <c r="KBP43" s="1044"/>
      <c r="KBQ43" s="1044"/>
      <c r="KBR43" s="1044"/>
      <c r="KBS43" s="1044"/>
      <c r="KBT43" s="1044"/>
      <c r="KBU43" s="1044"/>
      <c r="KBV43" s="1044"/>
      <c r="KBW43" s="1044"/>
      <c r="KBX43" s="1044"/>
      <c r="KBY43" s="1044"/>
      <c r="KBZ43" s="1044"/>
      <c r="KCA43" s="1044"/>
      <c r="KCB43" s="1044"/>
      <c r="KCC43" s="1044"/>
      <c r="KCD43" s="1044"/>
      <c r="KCE43" s="1044"/>
      <c r="KCF43" s="1044"/>
      <c r="KCG43" s="1044"/>
      <c r="KCH43" s="1044"/>
      <c r="KCI43" s="1044"/>
      <c r="KCJ43" s="1044"/>
      <c r="KCK43" s="1044"/>
      <c r="KCL43" s="1044"/>
      <c r="KCM43" s="1044"/>
      <c r="KCN43" s="1044"/>
      <c r="KCO43" s="1044"/>
      <c r="KCP43" s="1044"/>
      <c r="KCQ43" s="1044"/>
      <c r="KCR43" s="1044"/>
      <c r="KCS43" s="1044"/>
      <c r="KCT43" s="1044"/>
      <c r="KCU43" s="1044"/>
      <c r="KCV43" s="1044"/>
      <c r="KCW43" s="1044"/>
      <c r="KCX43" s="1044"/>
      <c r="KCY43" s="1044"/>
      <c r="KCZ43" s="1044"/>
      <c r="KDA43" s="1044"/>
      <c r="KDB43" s="1044"/>
      <c r="KDC43" s="1044"/>
      <c r="KDD43" s="1044"/>
      <c r="KDE43" s="1044"/>
      <c r="KDF43" s="1044"/>
      <c r="KDG43" s="1044"/>
      <c r="KDH43" s="1044"/>
      <c r="KDI43" s="1044"/>
      <c r="KDJ43" s="1044"/>
      <c r="KDK43" s="1044"/>
      <c r="KDL43" s="1044"/>
      <c r="KDM43" s="1044"/>
      <c r="KDN43" s="1044"/>
      <c r="KDO43" s="1044"/>
      <c r="KDP43" s="1044"/>
      <c r="KDQ43" s="1044"/>
      <c r="KDR43" s="1044"/>
      <c r="KDS43" s="1044"/>
      <c r="KDT43" s="1044"/>
      <c r="KDU43" s="1044"/>
      <c r="KDV43" s="1044"/>
      <c r="KDW43" s="1044"/>
      <c r="KDX43" s="1044"/>
      <c r="KDY43" s="1044"/>
      <c r="KDZ43" s="1044"/>
      <c r="KEA43" s="1044"/>
      <c r="KEB43" s="1044"/>
      <c r="KEC43" s="1044"/>
      <c r="KED43" s="1044"/>
      <c r="KEE43" s="1044"/>
      <c r="KEF43" s="1044"/>
      <c r="KEG43" s="1044"/>
      <c r="KEH43" s="1044"/>
      <c r="KEI43" s="1044"/>
      <c r="KEJ43" s="1044"/>
      <c r="KEK43" s="1044"/>
      <c r="KEL43" s="1044"/>
      <c r="KEM43" s="1044"/>
      <c r="KEN43" s="1044"/>
      <c r="KEO43" s="1044"/>
      <c r="KEP43" s="1044"/>
      <c r="KEQ43" s="1044"/>
      <c r="KER43" s="1044"/>
      <c r="KES43" s="1044"/>
      <c r="KET43" s="1044"/>
      <c r="KEU43" s="1044"/>
      <c r="KEV43" s="1044"/>
      <c r="KEW43" s="1044"/>
      <c r="KEX43" s="1044"/>
      <c r="KEY43" s="1044"/>
      <c r="KEZ43" s="1044"/>
      <c r="KFA43" s="1044"/>
      <c r="KFB43" s="1044"/>
      <c r="KFC43" s="1044"/>
      <c r="KFD43" s="1044"/>
      <c r="KFE43" s="1044"/>
      <c r="KFF43" s="1044"/>
      <c r="KFG43" s="1044"/>
      <c r="KFH43" s="1044"/>
      <c r="KFI43" s="1044"/>
      <c r="KFJ43" s="1044"/>
      <c r="KFK43" s="1044"/>
      <c r="KFL43" s="1044"/>
      <c r="KFM43" s="1044"/>
      <c r="KFN43" s="1044"/>
      <c r="KFO43" s="1044"/>
      <c r="KFP43" s="1044"/>
      <c r="KFQ43" s="1044"/>
      <c r="KFR43" s="1044"/>
      <c r="KFS43" s="1044"/>
      <c r="KFT43" s="1044"/>
      <c r="KFU43" s="1044"/>
      <c r="KFV43" s="1044"/>
      <c r="KFW43" s="1044"/>
      <c r="KFX43" s="1044"/>
      <c r="KFY43" s="1044"/>
      <c r="KFZ43" s="1044"/>
      <c r="KGA43" s="1044"/>
      <c r="KGB43" s="1044"/>
      <c r="KGC43" s="1044"/>
      <c r="KGD43" s="1044"/>
      <c r="KGE43" s="1044"/>
      <c r="KGF43" s="1044"/>
      <c r="KGG43" s="1044"/>
      <c r="KGH43" s="1044"/>
      <c r="KGI43" s="1044"/>
      <c r="KGJ43" s="1044"/>
      <c r="KGK43" s="1044"/>
      <c r="KGL43" s="1044"/>
      <c r="KGM43" s="1044"/>
      <c r="KGN43" s="1044"/>
      <c r="KGO43" s="1044"/>
      <c r="KGP43" s="1044"/>
      <c r="KGQ43" s="1044"/>
      <c r="KGR43" s="1044"/>
      <c r="KGS43" s="1044"/>
      <c r="KGT43" s="1044"/>
      <c r="KGU43" s="1044"/>
      <c r="KGV43" s="1044"/>
      <c r="KGW43" s="1044"/>
      <c r="KGX43" s="1044"/>
      <c r="KGY43" s="1044"/>
      <c r="KGZ43" s="1044"/>
      <c r="KHA43" s="1044"/>
      <c r="KHB43" s="1044"/>
      <c r="KHC43" s="1044"/>
      <c r="KHD43" s="1044"/>
      <c r="KHE43" s="1044"/>
      <c r="KHF43" s="1044"/>
      <c r="KHG43" s="1044"/>
      <c r="KHH43" s="1044"/>
      <c r="KHI43" s="1044"/>
      <c r="KHJ43" s="1044"/>
      <c r="KHK43" s="1044"/>
      <c r="KHL43" s="1044"/>
      <c r="KHM43" s="1044"/>
      <c r="KHN43" s="1044"/>
      <c r="KHO43" s="1044"/>
      <c r="KHP43" s="1044"/>
      <c r="KHQ43" s="1044"/>
      <c r="KHR43" s="1044"/>
      <c r="KHS43" s="1044"/>
      <c r="KHT43" s="1044"/>
      <c r="KHU43" s="1044"/>
      <c r="KHV43" s="1044"/>
      <c r="KHW43" s="1044"/>
      <c r="KHX43" s="1044"/>
      <c r="KHY43" s="1044"/>
      <c r="KHZ43" s="1044"/>
      <c r="KIA43" s="1044"/>
      <c r="KIB43" s="1044"/>
      <c r="KIC43" s="1044"/>
      <c r="KID43" s="1044"/>
      <c r="KIE43" s="1044"/>
      <c r="KIF43" s="1044"/>
      <c r="KIG43" s="1044"/>
      <c r="KIH43" s="1044"/>
      <c r="KII43" s="1044"/>
      <c r="KIJ43" s="1044"/>
      <c r="KIK43" s="1044"/>
      <c r="KIL43" s="1044"/>
      <c r="KIM43" s="1044"/>
      <c r="KIN43" s="1044"/>
      <c r="KIO43" s="1044"/>
      <c r="KIP43" s="1044"/>
      <c r="KIQ43" s="1044"/>
      <c r="KIR43" s="1044"/>
      <c r="KIS43" s="1044"/>
      <c r="KIT43" s="1044"/>
      <c r="KIU43" s="1044"/>
      <c r="KIV43" s="1044"/>
      <c r="KIW43" s="1044"/>
      <c r="KIX43" s="1044"/>
      <c r="KIY43" s="1044"/>
      <c r="KIZ43" s="1044"/>
      <c r="KJA43" s="1044"/>
      <c r="KJB43" s="1044"/>
      <c r="KJC43" s="1044"/>
      <c r="KJD43" s="1044"/>
      <c r="KJE43" s="1044"/>
      <c r="KJF43" s="1044"/>
      <c r="KJG43" s="1044"/>
      <c r="KJH43" s="1044"/>
      <c r="KJI43" s="1044"/>
      <c r="KJJ43" s="1044"/>
      <c r="KJK43" s="1044"/>
      <c r="KJL43" s="1044"/>
      <c r="KJM43" s="1044"/>
      <c r="KJN43" s="1044"/>
      <c r="KJO43" s="1044"/>
      <c r="KJP43" s="1044"/>
      <c r="KJQ43" s="1044"/>
      <c r="KJR43" s="1044"/>
      <c r="KJS43" s="1044"/>
      <c r="KJT43" s="1044"/>
      <c r="KJU43" s="1044"/>
      <c r="KJV43" s="1044"/>
      <c r="KJW43" s="1044"/>
      <c r="KJX43" s="1044"/>
      <c r="KJY43" s="1044"/>
      <c r="KJZ43" s="1044"/>
      <c r="KKA43" s="1044"/>
      <c r="KKB43" s="1044"/>
      <c r="KKC43" s="1044"/>
      <c r="KKD43" s="1044"/>
      <c r="KKE43" s="1044"/>
      <c r="KKF43" s="1044"/>
      <c r="KKG43" s="1044"/>
      <c r="KKH43" s="1044"/>
      <c r="KKI43" s="1044"/>
      <c r="KKJ43" s="1044"/>
      <c r="KKK43" s="1044"/>
      <c r="KKL43" s="1044"/>
      <c r="KKM43" s="1044"/>
      <c r="KKN43" s="1044"/>
      <c r="KKO43" s="1044"/>
      <c r="KKP43" s="1044"/>
      <c r="KKQ43" s="1044"/>
      <c r="KKR43" s="1044"/>
      <c r="KKS43" s="1044"/>
      <c r="KKT43" s="1044"/>
      <c r="KKU43" s="1044"/>
      <c r="KKV43" s="1044"/>
      <c r="KKW43" s="1044"/>
      <c r="KKX43" s="1044"/>
      <c r="KKY43" s="1044"/>
      <c r="KKZ43" s="1044"/>
      <c r="KLA43" s="1044"/>
      <c r="KLB43" s="1044"/>
      <c r="KLC43" s="1044"/>
      <c r="KLD43" s="1044"/>
      <c r="KLE43" s="1044"/>
      <c r="KLF43" s="1044"/>
      <c r="KLG43" s="1044"/>
      <c r="KLH43" s="1044"/>
      <c r="KLI43" s="1044"/>
      <c r="KLJ43" s="1044"/>
      <c r="KLK43" s="1044"/>
      <c r="KLL43" s="1044"/>
      <c r="KLM43" s="1044"/>
      <c r="KLN43" s="1044"/>
      <c r="KLO43" s="1044"/>
      <c r="KLP43" s="1044"/>
      <c r="KLQ43" s="1044"/>
      <c r="KLR43" s="1044"/>
      <c r="KLS43" s="1044"/>
      <c r="KLT43" s="1044"/>
      <c r="KLU43" s="1044"/>
      <c r="KLV43" s="1044"/>
      <c r="KLW43" s="1044"/>
      <c r="KLX43" s="1044"/>
      <c r="KLY43" s="1044"/>
      <c r="KLZ43" s="1044"/>
      <c r="KMA43" s="1044"/>
      <c r="KMB43" s="1044"/>
      <c r="KMC43" s="1044"/>
      <c r="KMD43" s="1044"/>
      <c r="KME43" s="1044"/>
      <c r="KMF43" s="1044"/>
      <c r="KMG43" s="1044"/>
      <c r="KMH43" s="1044"/>
      <c r="KMI43" s="1044"/>
      <c r="KMJ43" s="1044"/>
      <c r="KMK43" s="1044"/>
      <c r="KML43" s="1044"/>
      <c r="KMM43" s="1044"/>
      <c r="KMN43" s="1044"/>
      <c r="KMO43" s="1044"/>
      <c r="KMP43" s="1044"/>
      <c r="KMQ43" s="1044"/>
      <c r="KMR43" s="1044"/>
      <c r="KMS43" s="1044"/>
      <c r="KMT43" s="1044"/>
      <c r="KMU43" s="1044"/>
      <c r="KMV43" s="1044"/>
      <c r="KMW43" s="1044"/>
      <c r="KMX43" s="1044"/>
      <c r="KMY43" s="1044"/>
      <c r="KMZ43" s="1044"/>
      <c r="KNA43" s="1044"/>
      <c r="KNB43" s="1044"/>
      <c r="KNC43" s="1044"/>
      <c r="KND43" s="1044"/>
      <c r="KNE43" s="1044"/>
      <c r="KNF43" s="1044"/>
      <c r="KNG43" s="1044"/>
      <c r="KNH43" s="1044"/>
      <c r="KNI43" s="1044"/>
      <c r="KNJ43" s="1044"/>
      <c r="KNK43" s="1044"/>
      <c r="KNL43" s="1044"/>
      <c r="KNM43" s="1044"/>
      <c r="KNN43" s="1044"/>
      <c r="KNO43" s="1044"/>
      <c r="KNP43" s="1044"/>
      <c r="KNQ43" s="1044"/>
      <c r="KNR43" s="1044"/>
      <c r="KNS43" s="1044"/>
      <c r="KNT43" s="1044"/>
      <c r="KNU43" s="1044"/>
      <c r="KNV43" s="1044"/>
      <c r="KNW43" s="1044"/>
      <c r="KNX43" s="1044"/>
      <c r="KNY43" s="1044"/>
      <c r="KNZ43" s="1044"/>
      <c r="KOA43" s="1044"/>
      <c r="KOB43" s="1044"/>
      <c r="KOC43" s="1044"/>
      <c r="KOD43" s="1044"/>
      <c r="KOE43" s="1044"/>
      <c r="KOF43" s="1044"/>
      <c r="KOG43" s="1044"/>
      <c r="KOH43" s="1044"/>
      <c r="KOI43" s="1044"/>
      <c r="KOJ43" s="1044"/>
      <c r="KOK43" s="1044"/>
      <c r="KOL43" s="1044"/>
      <c r="KOM43" s="1044"/>
      <c r="KON43" s="1044"/>
      <c r="KOO43" s="1044"/>
      <c r="KOP43" s="1044"/>
      <c r="KOQ43" s="1044"/>
      <c r="KOR43" s="1044"/>
      <c r="KOS43" s="1044"/>
      <c r="KOT43" s="1044"/>
      <c r="KOU43" s="1044"/>
      <c r="KOV43" s="1044"/>
      <c r="KOW43" s="1044"/>
      <c r="KOX43" s="1044"/>
      <c r="KOY43" s="1044"/>
      <c r="KOZ43" s="1044"/>
      <c r="KPA43" s="1044"/>
      <c r="KPB43" s="1044"/>
      <c r="KPC43" s="1044"/>
      <c r="KPD43" s="1044"/>
      <c r="KPE43" s="1044"/>
      <c r="KPF43" s="1044"/>
      <c r="KPG43" s="1044"/>
      <c r="KPH43" s="1044"/>
      <c r="KPI43" s="1044"/>
      <c r="KPJ43" s="1044"/>
      <c r="KPK43" s="1044"/>
      <c r="KPL43" s="1044"/>
      <c r="KPM43" s="1044"/>
      <c r="KPN43" s="1044"/>
      <c r="KPO43" s="1044"/>
      <c r="KPP43" s="1044"/>
      <c r="KPQ43" s="1044"/>
      <c r="KPR43" s="1044"/>
      <c r="KPS43" s="1044"/>
      <c r="KPT43" s="1044"/>
      <c r="KPU43" s="1044"/>
      <c r="KPV43" s="1044"/>
      <c r="KPW43" s="1044"/>
      <c r="KPX43" s="1044"/>
      <c r="KPY43" s="1044"/>
      <c r="KPZ43" s="1044"/>
      <c r="KQA43" s="1044"/>
      <c r="KQB43" s="1044"/>
      <c r="KQC43" s="1044"/>
      <c r="KQD43" s="1044"/>
      <c r="KQE43" s="1044"/>
      <c r="KQF43" s="1044"/>
      <c r="KQG43" s="1044"/>
      <c r="KQH43" s="1044"/>
      <c r="KQI43" s="1044"/>
      <c r="KQJ43" s="1044"/>
      <c r="KQK43" s="1044"/>
      <c r="KQL43" s="1044"/>
      <c r="KQM43" s="1044"/>
      <c r="KQN43" s="1044"/>
      <c r="KQO43" s="1044"/>
      <c r="KQP43" s="1044"/>
      <c r="KQQ43" s="1044"/>
      <c r="KQR43" s="1044"/>
      <c r="KQS43" s="1044"/>
      <c r="KQT43" s="1044"/>
      <c r="KQU43" s="1044"/>
      <c r="KQV43" s="1044"/>
      <c r="KQW43" s="1044"/>
      <c r="KQX43" s="1044"/>
      <c r="KQY43" s="1044"/>
      <c r="KQZ43" s="1044"/>
      <c r="KRA43" s="1044"/>
      <c r="KRB43" s="1044"/>
      <c r="KRC43" s="1044"/>
      <c r="KRD43" s="1044"/>
      <c r="KRE43" s="1044"/>
      <c r="KRF43" s="1044"/>
      <c r="KRG43" s="1044"/>
      <c r="KRH43" s="1044"/>
      <c r="KRI43" s="1044"/>
      <c r="KRJ43" s="1044"/>
      <c r="KRK43" s="1044"/>
      <c r="KRL43" s="1044"/>
      <c r="KRM43" s="1044"/>
      <c r="KRN43" s="1044"/>
      <c r="KRO43" s="1044"/>
      <c r="KRP43" s="1044"/>
      <c r="KRQ43" s="1044"/>
      <c r="KRR43" s="1044"/>
      <c r="KRS43" s="1044"/>
      <c r="KRT43" s="1044"/>
      <c r="KRU43" s="1044"/>
      <c r="KRV43" s="1044"/>
      <c r="KRW43" s="1044"/>
      <c r="KRX43" s="1044"/>
      <c r="KRY43" s="1044"/>
      <c r="KRZ43" s="1044"/>
      <c r="KSA43" s="1044"/>
      <c r="KSB43" s="1044"/>
      <c r="KSC43" s="1044"/>
      <c r="KSD43" s="1044"/>
      <c r="KSE43" s="1044"/>
      <c r="KSF43" s="1044"/>
      <c r="KSG43" s="1044"/>
      <c r="KSH43" s="1044"/>
      <c r="KSI43" s="1044"/>
      <c r="KSJ43" s="1044"/>
      <c r="KSK43" s="1044"/>
      <c r="KSL43" s="1044"/>
      <c r="KSM43" s="1044"/>
      <c r="KSN43" s="1044"/>
      <c r="KSO43" s="1044"/>
      <c r="KSP43" s="1044"/>
      <c r="KSQ43" s="1044"/>
      <c r="KSR43" s="1044"/>
      <c r="KSS43" s="1044"/>
      <c r="KST43" s="1044"/>
      <c r="KSU43" s="1044"/>
      <c r="KSV43" s="1044"/>
      <c r="KSW43" s="1044"/>
      <c r="KSX43" s="1044"/>
      <c r="KSY43" s="1044"/>
      <c r="KSZ43" s="1044"/>
      <c r="KTA43" s="1044"/>
      <c r="KTB43" s="1044"/>
      <c r="KTC43" s="1044"/>
      <c r="KTD43" s="1044"/>
      <c r="KTE43" s="1044"/>
      <c r="KTF43" s="1044"/>
      <c r="KTG43" s="1044"/>
      <c r="KTH43" s="1044"/>
      <c r="KTI43" s="1044"/>
      <c r="KTJ43" s="1044"/>
      <c r="KTK43" s="1044"/>
      <c r="KTL43" s="1044"/>
      <c r="KTM43" s="1044"/>
      <c r="KTN43" s="1044"/>
      <c r="KTO43" s="1044"/>
      <c r="KTP43" s="1044"/>
      <c r="KTQ43" s="1044"/>
      <c r="KTR43" s="1044"/>
      <c r="KTS43" s="1044"/>
      <c r="KTT43" s="1044"/>
      <c r="KTU43" s="1044"/>
      <c r="KTV43" s="1044"/>
      <c r="KTW43" s="1044"/>
      <c r="KTX43" s="1044"/>
      <c r="KTY43" s="1044"/>
      <c r="KTZ43" s="1044"/>
      <c r="KUA43" s="1044"/>
      <c r="KUB43" s="1044"/>
      <c r="KUC43" s="1044"/>
      <c r="KUD43" s="1044"/>
      <c r="KUE43" s="1044"/>
      <c r="KUF43" s="1044"/>
      <c r="KUG43" s="1044"/>
      <c r="KUH43" s="1044"/>
      <c r="KUI43" s="1044"/>
      <c r="KUJ43" s="1044"/>
      <c r="KUK43" s="1044"/>
      <c r="KUL43" s="1044"/>
      <c r="KUM43" s="1044"/>
      <c r="KUN43" s="1044"/>
      <c r="KUO43" s="1044"/>
      <c r="KUP43" s="1044"/>
      <c r="KUQ43" s="1044"/>
      <c r="KUR43" s="1044"/>
      <c r="KUS43" s="1044"/>
      <c r="KUT43" s="1044"/>
      <c r="KUU43" s="1044"/>
      <c r="KUV43" s="1044"/>
      <c r="KUW43" s="1044"/>
      <c r="KUX43" s="1044"/>
      <c r="KUY43" s="1044"/>
      <c r="KUZ43" s="1044"/>
      <c r="KVA43" s="1044"/>
      <c r="KVB43" s="1044"/>
      <c r="KVC43" s="1044"/>
      <c r="KVD43" s="1044"/>
      <c r="KVE43" s="1044"/>
      <c r="KVF43" s="1044"/>
      <c r="KVG43" s="1044"/>
      <c r="KVH43" s="1044"/>
      <c r="KVI43" s="1044"/>
      <c r="KVJ43" s="1044"/>
      <c r="KVK43" s="1044"/>
      <c r="KVL43" s="1044"/>
      <c r="KVM43" s="1044"/>
      <c r="KVN43" s="1044"/>
      <c r="KVO43" s="1044"/>
      <c r="KVP43" s="1044"/>
      <c r="KVQ43" s="1044"/>
      <c r="KVR43" s="1044"/>
      <c r="KVS43" s="1044"/>
      <c r="KVT43" s="1044"/>
      <c r="KVU43" s="1044"/>
      <c r="KVV43" s="1044"/>
      <c r="KVW43" s="1044"/>
      <c r="KVX43" s="1044"/>
      <c r="KVY43" s="1044"/>
      <c r="KVZ43" s="1044"/>
      <c r="KWA43" s="1044"/>
      <c r="KWB43" s="1044"/>
      <c r="KWC43" s="1044"/>
      <c r="KWD43" s="1044"/>
      <c r="KWE43" s="1044"/>
      <c r="KWF43" s="1044"/>
      <c r="KWG43" s="1044"/>
      <c r="KWH43" s="1044"/>
      <c r="KWI43" s="1044"/>
      <c r="KWJ43" s="1044"/>
      <c r="KWK43" s="1044"/>
      <c r="KWL43" s="1044"/>
      <c r="KWM43" s="1044"/>
      <c r="KWN43" s="1044"/>
      <c r="KWO43" s="1044"/>
      <c r="KWP43" s="1044"/>
      <c r="KWQ43" s="1044"/>
      <c r="KWR43" s="1044"/>
      <c r="KWS43" s="1044"/>
      <c r="KWT43" s="1044"/>
      <c r="KWU43" s="1044"/>
      <c r="KWV43" s="1044"/>
      <c r="KWW43" s="1044"/>
      <c r="KWX43" s="1044"/>
      <c r="KWY43" s="1044"/>
      <c r="KWZ43" s="1044"/>
      <c r="KXA43" s="1044"/>
      <c r="KXB43" s="1044"/>
      <c r="KXC43" s="1044"/>
      <c r="KXD43" s="1044"/>
      <c r="KXE43" s="1044"/>
      <c r="KXF43" s="1044"/>
      <c r="KXG43" s="1044"/>
      <c r="KXH43" s="1044"/>
      <c r="KXI43" s="1044"/>
      <c r="KXJ43" s="1044"/>
      <c r="KXK43" s="1044"/>
      <c r="KXL43" s="1044"/>
      <c r="KXM43" s="1044"/>
      <c r="KXN43" s="1044"/>
      <c r="KXO43" s="1044"/>
      <c r="KXP43" s="1044"/>
      <c r="KXQ43" s="1044"/>
      <c r="KXR43" s="1044"/>
      <c r="KXS43" s="1044"/>
      <c r="KXT43" s="1044"/>
      <c r="KXU43" s="1044"/>
      <c r="KXV43" s="1044"/>
      <c r="KXW43" s="1044"/>
      <c r="KXX43" s="1044"/>
      <c r="KXY43" s="1044"/>
      <c r="KXZ43" s="1044"/>
      <c r="KYA43" s="1044"/>
      <c r="KYB43" s="1044"/>
      <c r="KYC43" s="1044"/>
      <c r="KYD43" s="1044"/>
      <c r="KYE43" s="1044"/>
      <c r="KYF43" s="1044"/>
      <c r="KYG43" s="1044"/>
      <c r="KYH43" s="1044"/>
      <c r="KYI43" s="1044"/>
      <c r="KYJ43" s="1044"/>
      <c r="KYK43" s="1044"/>
      <c r="KYL43" s="1044"/>
      <c r="KYM43" s="1044"/>
      <c r="KYN43" s="1044"/>
      <c r="KYO43" s="1044"/>
      <c r="KYP43" s="1044"/>
      <c r="KYQ43" s="1044"/>
      <c r="KYR43" s="1044"/>
      <c r="KYS43" s="1044"/>
      <c r="KYT43" s="1044"/>
      <c r="KYU43" s="1044"/>
      <c r="KYV43" s="1044"/>
      <c r="KYW43" s="1044"/>
      <c r="KYX43" s="1044"/>
      <c r="KYY43" s="1044"/>
      <c r="KYZ43" s="1044"/>
      <c r="KZA43" s="1044"/>
      <c r="KZB43" s="1044"/>
      <c r="KZC43" s="1044"/>
      <c r="KZD43" s="1044"/>
      <c r="KZE43" s="1044"/>
      <c r="KZF43" s="1044"/>
      <c r="KZG43" s="1044"/>
      <c r="KZH43" s="1044"/>
      <c r="KZI43" s="1044"/>
      <c r="KZJ43" s="1044"/>
      <c r="KZK43" s="1044"/>
      <c r="KZL43" s="1044"/>
      <c r="KZM43" s="1044"/>
      <c r="KZN43" s="1044"/>
      <c r="KZO43" s="1044"/>
      <c r="KZP43" s="1044"/>
      <c r="KZQ43" s="1044"/>
      <c r="KZR43" s="1044"/>
      <c r="KZS43" s="1044"/>
      <c r="KZT43" s="1044"/>
      <c r="KZU43" s="1044"/>
      <c r="KZV43" s="1044"/>
      <c r="KZW43" s="1044"/>
      <c r="KZX43" s="1044"/>
      <c r="KZY43" s="1044"/>
      <c r="KZZ43" s="1044"/>
      <c r="LAA43" s="1044"/>
      <c r="LAB43" s="1044"/>
      <c r="LAC43" s="1044"/>
      <c r="LAD43" s="1044"/>
      <c r="LAE43" s="1044"/>
      <c r="LAF43" s="1044"/>
      <c r="LAG43" s="1044"/>
      <c r="LAH43" s="1044"/>
      <c r="LAI43" s="1044"/>
      <c r="LAJ43" s="1044"/>
      <c r="LAK43" s="1044"/>
      <c r="LAL43" s="1044"/>
      <c r="LAM43" s="1044"/>
      <c r="LAN43" s="1044"/>
      <c r="LAO43" s="1044"/>
      <c r="LAP43" s="1044"/>
      <c r="LAQ43" s="1044"/>
      <c r="LAR43" s="1044"/>
      <c r="LAS43" s="1044"/>
      <c r="LAT43" s="1044"/>
      <c r="LAU43" s="1044"/>
      <c r="LAV43" s="1044"/>
      <c r="LAW43" s="1044"/>
      <c r="LAX43" s="1044"/>
      <c r="LAY43" s="1044"/>
      <c r="LAZ43" s="1044"/>
      <c r="LBA43" s="1044"/>
      <c r="LBB43" s="1044"/>
      <c r="LBC43" s="1044"/>
      <c r="LBD43" s="1044"/>
      <c r="LBE43" s="1044"/>
      <c r="LBF43" s="1044"/>
      <c r="LBG43" s="1044"/>
      <c r="LBH43" s="1044"/>
      <c r="LBI43" s="1044"/>
      <c r="LBJ43" s="1044"/>
      <c r="LBK43" s="1044"/>
      <c r="LBL43" s="1044"/>
      <c r="LBM43" s="1044"/>
      <c r="LBN43" s="1044"/>
      <c r="LBO43" s="1044"/>
      <c r="LBP43" s="1044"/>
      <c r="LBQ43" s="1044"/>
      <c r="LBR43" s="1044"/>
      <c r="LBS43" s="1044"/>
      <c r="LBT43" s="1044"/>
      <c r="LBU43" s="1044"/>
      <c r="LBV43" s="1044"/>
      <c r="LBW43" s="1044"/>
      <c r="LBX43" s="1044"/>
      <c r="LBY43" s="1044"/>
      <c r="LBZ43" s="1044"/>
      <c r="LCA43" s="1044"/>
      <c r="LCB43" s="1044"/>
      <c r="LCC43" s="1044"/>
      <c r="LCD43" s="1044"/>
      <c r="LCE43" s="1044"/>
      <c r="LCF43" s="1044"/>
      <c r="LCG43" s="1044"/>
      <c r="LCH43" s="1044"/>
      <c r="LCI43" s="1044"/>
      <c r="LCJ43" s="1044"/>
      <c r="LCK43" s="1044"/>
      <c r="LCL43" s="1044"/>
      <c r="LCM43" s="1044"/>
      <c r="LCN43" s="1044"/>
      <c r="LCO43" s="1044"/>
      <c r="LCP43" s="1044"/>
      <c r="LCQ43" s="1044"/>
      <c r="LCR43" s="1044"/>
      <c r="LCS43" s="1044"/>
      <c r="LCT43" s="1044"/>
      <c r="LCU43" s="1044"/>
      <c r="LCV43" s="1044"/>
      <c r="LCW43" s="1044"/>
      <c r="LCX43" s="1044"/>
      <c r="LCY43" s="1044"/>
      <c r="LCZ43" s="1044"/>
      <c r="LDA43" s="1044"/>
      <c r="LDB43" s="1044"/>
      <c r="LDC43" s="1044"/>
      <c r="LDD43" s="1044"/>
      <c r="LDE43" s="1044"/>
      <c r="LDF43" s="1044"/>
      <c r="LDG43" s="1044"/>
      <c r="LDH43" s="1044"/>
      <c r="LDI43" s="1044"/>
      <c r="LDJ43" s="1044"/>
      <c r="LDK43" s="1044"/>
      <c r="LDL43" s="1044"/>
      <c r="LDM43" s="1044"/>
      <c r="LDN43" s="1044"/>
      <c r="LDO43" s="1044"/>
      <c r="LDP43" s="1044"/>
      <c r="LDQ43" s="1044"/>
      <c r="LDR43" s="1044"/>
      <c r="LDS43" s="1044"/>
      <c r="LDT43" s="1044"/>
      <c r="LDU43" s="1044"/>
      <c r="LDV43" s="1044"/>
      <c r="LDW43" s="1044"/>
      <c r="LDX43" s="1044"/>
      <c r="LDY43" s="1044"/>
      <c r="LDZ43" s="1044"/>
      <c r="LEA43" s="1044"/>
      <c r="LEB43" s="1044"/>
      <c r="LEC43" s="1044"/>
      <c r="LED43" s="1044"/>
      <c r="LEE43" s="1044"/>
      <c r="LEF43" s="1044"/>
      <c r="LEG43" s="1044"/>
      <c r="LEH43" s="1044"/>
      <c r="LEI43" s="1044"/>
      <c r="LEJ43" s="1044"/>
      <c r="LEK43" s="1044"/>
      <c r="LEL43" s="1044"/>
      <c r="LEM43" s="1044"/>
      <c r="LEN43" s="1044"/>
      <c r="LEO43" s="1044"/>
      <c r="LEP43" s="1044"/>
      <c r="LEQ43" s="1044"/>
      <c r="LER43" s="1044"/>
      <c r="LES43" s="1044"/>
      <c r="LET43" s="1044"/>
      <c r="LEU43" s="1044"/>
      <c r="LEV43" s="1044"/>
      <c r="LEW43" s="1044"/>
      <c r="LEX43" s="1044"/>
      <c r="LEY43" s="1044"/>
      <c r="LEZ43" s="1044"/>
      <c r="LFA43" s="1044"/>
      <c r="LFB43" s="1044"/>
      <c r="LFC43" s="1044"/>
      <c r="LFD43" s="1044"/>
      <c r="LFE43" s="1044"/>
      <c r="LFF43" s="1044"/>
      <c r="LFG43" s="1044"/>
      <c r="LFH43" s="1044"/>
      <c r="LFI43" s="1044"/>
      <c r="LFJ43" s="1044"/>
      <c r="LFK43" s="1044"/>
      <c r="LFL43" s="1044"/>
      <c r="LFM43" s="1044"/>
      <c r="LFN43" s="1044"/>
      <c r="LFO43" s="1044"/>
      <c r="LFP43" s="1044"/>
      <c r="LFQ43" s="1044"/>
      <c r="LFR43" s="1044"/>
      <c r="LFS43" s="1044"/>
      <c r="LFT43" s="1044"/>
      <c r="LFU43" s="1044"/>
      <c r="LFV43" s="1044"/>
      <c r="LFW43" s="1044"/>
      <c r="LFX43" s="1044"/>
      <c r="LFY43" s="1044"/>
      <c r="LFZ43" s="1044"/>
      <c r="LGA43" s="1044"/>
      <c r="LGB43" s="1044"/>
      <c r="LGC43" s="1044"/>
      <c r="LGD43" s="1044"/>
      <c r="LGE43" s="1044"/>
      <c r="LGF43" s="1044"/>
      <c r="LGG43" s="1044"/>
      <c r="LGH43" s="1044"/>
      <c r="LGI43" s="1044"/>
      <c r="LGJ43" s="1044"/>
      <c r="LGK43" s="1044"/>
      <c r="LGL43" s="1044"/>
      <c r="LGM43" s="1044"/>
      <c r="LGN43" s="1044"/>
      <c r="LGO43" s="1044"/>
      <c r="LGP43" s="1044"/>
      <c r="LGQ43" s="1044"/>
      <c r="LGR43" s="1044"/>
      <c r="LGS43" s="1044"/>
      <c r="LGT43" s="1044"/>
      <c r="LGU43" s="1044"/>
      <c r="LGV43" s="1044"/>
      <c r="LGW43" s="1044"/>
      <c r="LGX43" s="1044"/>
      <c r="LGY43" s="1044"/>
      <c r="LGZ43" s="1044"/>
      <c r="LHA43" s="1044"/>
      <c r="LHB43" s="1044"/>
      <c r="LHC43" s="1044"/>
      <c r="LHD43" s="1044"/>
      <c r="LHE43" s="1044"/>
      <c r="LHF43" s="1044"/>
      <c r="LHG43" s="1044"/>
      <c r="LHH43" s="1044"/>
      <c r="LHI43" s="1044"/>
      <c r="LHJ43" s="1044"/>
      <c r="LHK43" s="1044"/>
      <c r="LHL43" s="1044"/>
      <c r="LHM43" s="1044"/>
      <c r="LHN43" s="1044"/>
      <c r="LHO43" s="1044"/>
      <c r="LHP43" s="1044"/>
      <c r="LHQ43" s="1044"/>
      <c r="LHR43" s="1044"/>
      <c r="LHS43" s="1044"/>
      <c r="LHT43" s="1044"/>
      <c r="LHU43" s="1044"/>
      <c r="LHV43" s="1044"/>
      <c r="LHW43" s="1044"/>
      <c r="LHX43" s="1044"/>
      <c r="LHY43" s="1044"/>
      <c r="LHZ43" s="1044"/>
      <c r="LIA43" s="1044"/>
      <c r="LIB43" s="1044"/>
      <c r="LIC43" s="1044"/>
      <c r="LID43" s="1044"/>
      <c r="LIE43" s="1044"/>
      <c r="LIF43" s="1044"/>
      <c r="LIG43" s="1044"/>
      <c r="LIH43" s="1044"/>
      <c r="LII43" s="1044"/>
      <c r="LIJ43" s="1044"/>
      <c r="LIK43" s="1044"/>
      <c r="LIL43" s="1044"/>
      <c r="LIM43" s="1044"/>
      <c r="LIN43" s="1044"/>
      <c r="LIO43" s="1044"/>
      <c r="LIP43" s="1044"/>
      <c r="LIQ43" s="1044"/>
      <c r="LIR43" s="1044"/>
      <c r="LIS43" s="1044"/>
      <c r="LIT43" s="1044"/>
      <c r="LIU43" s="1044"/>
      <c r="LIV43" s="1044"/>
      <c r="LIW43" s="1044"/>
      <c r="LIX43" s="1044"/>
      <c r="LIY43" s="1044"/>
      <c r="LIZ43" s="1044"/>
      <c r="LJA43" s="1044"/>
      <c r="LJB43" s="1044"/>
      <c r="LJC43" s="1044"/>
      <c r="LJD43" s="1044"/>
      <c r="LJE43" s="1044"/>
      <c r="LJF43" s="1044"/>
      <c r="LJG43" s="1044"/>
      <c r="LJH43" s="1044"/>
      <c r="LJI43" s="1044"/>
      <c r="LJJ43" s="1044"/>
      <c r="LJK43" s="1044"/>
      <c r="LJL43" s="1044"/>
      <c r="LJM43" s="1044"/>
      <c r="LJN43" s="1044"/>
      <c r="LJO43" s="1044"/>
      <c r="LJP43" s="1044"/>
      <c r="LJQ43" s="1044"/>
      <c r="LJR43" s="1044"/>
      <c r="LJS43" s="1044"/>
      <c r="LJT43" s="1044"/>
      <c r="LJU43" s="1044"/>
      <c r="LJV43" s="1044"/>
      <c r="LJW43" s="1044"/>
      <c r="LJX43" s="1044"/>
      <c r="LJY43" s="1044"/>
      <c r="LJZ43" s="1044"/>
      <c r="LKA43" s="1044"/>
      <c r="LKB43" s="1044"/>
      <c r="LKC43" s="1044"/>
      <c r="LKD43" s="1044"/>
      <c r="LKE43" s="1044"/>
      <c r="LKF43" s="1044"/>
      <c r="LKG43" s="1044"/>
      <c r="LKH43" s="1044"/>
      <c r="LKI43" s="1044"/>
      <c r="LKJ43" s="1044"/>
      <c r="LKK43" s="1044"/>
      <c r="LKL43" s="1044"/>
      <c r="LKM43" s="1044"/>
      <c r="LKN43" s="1044"/>
      <c r="LKO43" s="1044"/>
      <c r="LKP43" s="1044"/>
      <c r="LKQ43" s="1044"/>
      <c r="LKR43" s="1044"/>
      <c r="LKS43" s="1044"/>
      <c r="LKT43" s="1044"/>
      <c r="LKU43" s="1044"/>
      <c r="LKV43" s="1044"/>
      <c r="LKW43" s="1044"/>
      <c r="LKX43" s="1044"/>
      <c r="LKY43" s="1044"/>
      <c r="LKZ43" s="1044"/>
      <c r="LLA43" s="1044"/>
      <c r="LLB43" s="1044"/>
      <c r="LLC43" s="1044"/>
      <c r="LLD43" s="1044"/>
      <c r="LLE43" s="1044"/>
      <c r="LLF43" s="1044"/>
      <c r="LLG43" s="1044"/>
      <c r="LLH43" s="1044"/>
      <c r="LLI43" s="1044"/>
      <c r="LLJ43" s="1044"/>
      <c r="LLK43" s="1044"/>
      <c r="LLL43" s="1044"/>
      <c r="LLM43" s="1044"/>
      <c r="LLN43" s="1044"/>
      <c r="LLO43" s="1044"/>
      <c r="LLP43" s="1044"/>
      <c r="LLQ43" s="1044"/>
      <c r="LLR43" s="1044"/>
      <c r="LLS43" s="1044"/>
      <c r="LLT43" s="1044"/>
      <c r="LLU43" s="1044"/>
      <c r="LLV43" s="1044"/>
      <c r="LLW43" s="1044"/>
      <c r="LLX43" s="1044"/>
      <c r="LLY43" s="1044"/>
      <c r="LLZ43" s="1044"/>
      <c r="LMA43" s="1044"/>
      <c r="LMB43" s="1044"/>
      <c r="LMC43" s="1044"/>
      <c r="LMD43" s="1044"/>
      <c r="LME43" s="1044"/>
      <c r="LMF43" s="1044"/>
      <c r="LMG43" s="1044"/>
      <c r="LMH43" s="1044"/>
      <c r="LMI43" s="1044"/>
      <c r="LMJ43" s="1044"/>
      <c r="LMK43" s="1044"/>
      <c r="LML43" s="1044"/>
      <c r="LMM43" s="1044"/>
      <c r="LMN43" s="1044"/>
      <c r="LMO43" s="1044"/>
      <c r="LMP43" s="1044"/>
      <c r="LMQ43" s="1044"/>
      <c r="LMR43" s="1044"/>
      <c r="LMS43" s="1044"/>
      <c r="LMT43" s="1044"/>
      <c r="LMU43" s="1044"/>
      <c r="LMV43" s="1044"/>
      <c r="LMW43" s="1044"/>
      <c r="LMX43" s="1044"/>
      <c r="LMY43" s="1044"/>
      <c r="LMZ43" s="1044"/>
      <c r="LNA43" s="1044"/>
      <c r="LNB43" s="1044"/>
      <c r="LNC43" s="1044"/>
      <c r="LND43" s="1044"/>
      <c r="LNE43" s="1044"/>
      <c r="LNF43" s="1044"/>
      <c r="LNG43" s="1044"/>
      <c r="LNH43" s="1044"/>
      <c r="LNI43" s="1044"/>
      <c r="LNJ43" s="1044"/>
      <c r="LNK43" s="1044"/>
      <c r="LNL43" s="1044"/>
      <c r="LNM43" s="1044"/>
      <c r="LNN43" s="1044"/>
      <c r="LNO43" s="1044"/>
      <c r="LNP43" s="1044"/>
      <c r="LNQ43" s="1044"/>
      <c r="LNR43" s="1044"/>
      <c r="LNS43" s="1044"/>
      <c r="LNT43" s="1044"/>
      <c r="LNU43" s="1044"/>
      <c r="LNV43" s="1044"/>
      <c r="LNW43" s="1044"/>
      <c r="LNX43" s="1044"/>
      <c r="LNY43" s="1044"/>
      <c r="LNZ43" s="1044"/>
      <c r="LOA43" s="1044"/>
      <c r="LOB43" s="1044"/>
      <c r="LOC43" s="1044"/>
      <c r="LOD43" s="1044"/>
      <c r="LOE43" s="1044"/>
      <c r="LOF43" s="1044"/>
      <c r="LOG43" s="1044"/>
      <c r="LOH43" s="1044"/>
      <c r="LOI43" s="1044"/>
      <c r="LOJ43" s="1044"/>
      <c r="LOK43" s="1044"/>
      <c r="LOL43" s="1044"/>
      <c r="LOM43" s="1044"/>
      <c r="LON43" s="1044"/>
      <c r="LOO43" s="1044"/>
      <c r="LOP43" s="1044"/>
      <c r="LOQ43" s="1044"/>
      <c r="LOR43" s="1044"/>
      <c r="LOS43" s="1044"/>
      <c r="LOT43" s="1044"/>
      <c r="LOU43" s="1044"/>
      <c r="LOV43" s="1044"/>
      <c r="LOW43" s="1044"/>
      <c r="LOX43" s="1044"/>
      <c r="LOY43" s="1044"/>
      <c r="LOZ43" s="1044"/>
      <c r="LPA43" s="1044"/>
      <c r="LPB43" s="1044"/>
      <c r="LPC43" s="1044"/>
      <c r="LPD43" s="1044"/>
      <c r="LPE43" s="1044"/>
      <c r="LPF43" s="1044"/>
      <c r="LPG43" s="1044"/>
      <c r="LPH43" s="1044"/>
      <c r="LPI43" s="1044"/>
      <c r="LPJ43" s="1044"/>
      <c r="LPK43" s="1044"/>
      <c r="LPL43" s="1044"/>
      <c r="LPM43" s="1044"/>
      <c r="LPN43" s="1044"/>
      <c r="LPO43" s="1044"/>
      <c r="LPP43" s="1044"/>
      <c r="LPQ43" s="1044"/>
      <c r="LPR43" s="1044"/>
      <c r="LPS43" s="1044"/>
      <c r="LPT43" s="1044"/>
      <c r="LPU43" s="1044"/>
      <c r="LPV43" s="1044"/>
      <c r="LPW43" s="1044"/>
      <c r="LPX43" s="1044"/>
      <c r="LPY43" s="1044"/>
      <c r="LPZ43" s="1044"/>
      <c r="LQA43" s="1044"/>
      <c r="LQB43" s="1044"/>
      <c r="LQC43" s="1044"/>
      <c r="LQD43" s="1044"/>
      <c r="LQE43" s="1044"/>
      <c r="LQF43" s="1044"/>
      <c r="LQG43" s="1044"/>
      <c r="LQH43" s="1044"/>
      <c r="LQI43" s="1044"/>
      <c r="LQJ43" s="1044"/>
      <c r="LQK43" s="1044"/>
      <c r="LQL43" s="1044"/>
      <c r="LQM43" s="1044"/>
      <c r="LQN43" s="1044"/>
      <c r="LQO43" s="1044"/>
      <c r="LQP43" s="1044"/>
      <c r="LQQ43" s="1044"/>
      <c r="LQR43" s="1044"/>
      <c r="LQS43" s="1044"/>
      <c r="LQT43" s="1044"/>
      <c r="LQU43" s="1044"/>
      <c r="LQV43" s="1044"/>
      <c r="LQW43" s="1044"/>
      <c r="LQX43" s="1044"/>
      <c r="LQY43" s="1044"/>
      <c r="LQZ43" s="1044"/>
      <c r="LRA43" s="1044"/>
      <c r="LRB43" s="1044"/>
      <c r="LRC43" s="1044"/>
      <c r="LRD43" s="1044"/>
      <c r="LRE43" s="1044"/>
      <c r="LRF43" s="1044"/>
      <c r="LRG43" s="1044"/>
      <c r="LRH43" s="1044"/>
      <c r="LRI43" s="1044"/>
      <c r="LRJ43" s="1044"/>
      <c r="LRK43" s="1044"/>
      <c r="LRL43" s="1044"/>
      <c r="LRM43" s="1044"/>
      <c r="LRN43" s="1044"/>
      <c r="LRO43" s="1044"/>
      <c r="LRP43" s="1044"/>
      <c r="LRQ43" s="1044"/>
      <c r="LRR43" s="1044"/>
      <c r="LRS43" s="1044"/>
      <c r="LRT43" s="1044"/>
      <c r="LRU43" s="1044"/>
      <c r="LRV43" s="1044"/>
      <c r="LRW43" s="1044"/>
      <c r="LRX43" s="1044"/>
      <c r="LRY43" s="1044"/>
      <c r="LRZ43" s="1044"/>
      <c r="LSA43" s="1044"/>
      <c r="LSB43" s="1044"/>
      <c r="LSC43" s="1044"/>
      <c r="LSD43" s="1044"/>
      <c r="LSE43" s="1044"/>
      <c r="LSF43" s="1044"/>
      <c r="LSG43" s="1044"/>
      <c r="LSH43" s="1044"/>
      <c r="LSI43" s="1044"/>
      <c r="LSJ43" s="1044"/>
      <c r="LSK43" s="1044"/>
      <c r="LSL43" s="1044"/>
      <c r="LSM43" s="1044"/>
      <c r="LSN43" s="1044"/>
      <c r="LSO43" s="1044"/>
      <c r="LSP43" s="1044"/>
      <c r="LSQ43" s="1044"/>
      <c r="LSR43" s="1044"/>
      <c r="LSS43" s="1044"/>
      <c r="LST43" s="1044"/>
      <c r="LSU43" s="1044"/>
      <c r="LSV43" s="1044"/>
      <c r="LSW43" s="1044"/>
      <c r="LSX43" s="1044"/>
      <c r="LSY43" s="1044"/>
      <c r="LSZ43" s="1044"/>
      <c r="LTA43" s="1044"/>
      <c r="LTB43" s="1044"/>
      <c r="LTC43" s="1044"/>
      <c r="LTD43" s="1044"/>
      <c r="LTE43" s="1044"/>
      <c r="LTF43" s="1044"/>
      <c r="LTG43" s="1044"/>
      <c r="LTH43" s="1044"/>
      <c r="LTI43" s="1044"/>
      <c r="LTJ43" s="1044"/>
      <c r="LTK43" s="1044"/>
      <c r="LTL43" s="1044"/>
      <c r="LTM43" s="1044"/>
      <c r="LTN43" s="1044"/>
      <c r="LTO43" s="1044"/>
      <c r="LTP43" s="1044"/>
      <c r="LTQ43" s="1044"/>
      <c r="LTR43" s="1044"/>
      <c r="LTS43" s="1044"/>
      <c r="LTT43" s="1044"/>
      <c r="LTU43" s="1044"/>
      <c r="LTV43" s="1044"/>
      <c r="LTW43" s="1044"/>
      <c r="LTX43" s="1044"/>
      <c r="LTY43" s="1044"/>
      <c r="LTZ43" s="1044"/>
      <c r="LUA43" s="1044"/>
      <c r="LUB43" s="1044"/>
      <c r="LUC43" s="1044"/>
      <c r="LUD43" s="1044"/>
      <c r="LUE43" s="1044"/>
      <c r="LUF43" s="1044"/>
      <c r="LUG43" s="1044"/>
      <c r="LUH43" s="1044"/>
      <c r="LUI43" s="1044"/>
      <c r="LUJ43" s="1044"/>
      <c r="LUK43" s="1044"/>
      <c r="LUL43" s="1044"/>
      <c r="LUM43" s="1044"/>
      <c r="LUN43" s="1044"/>
      <c r="LUO43" s="1044"/>
      <c r="LUP43" s="1044"/>
      <c r="LUQ43" s="1044"/>
      <c r="LUR43" s="1044"/>
      <c r="LUS43" s="1044"/>
      <c r="LUT43" s="1044"/>
      <c r="LUU43" s="1044"/>
      <c r="LUV43" s="1044"/>
      <c r="LUW43" s="1044"/>
      <c r="LUX43" s="1044"/>
      <c r="LUY43" s="1044"/>
      <c r="LUZ43" s="1044"/>
      <c r="LVA43" s="1044"/>
      <c r="LVB43" s="1044"/>
      <c r="LVC43" s="1044"/>
      <c r="LVD43" s="1044"/>
      <c r="LVE43" s="1044"/>
      <c r="LVF43" s="1044"/>
      <c r="LVG43" s="1044"/>
      <c r="LVH43" s="1044"/>
      <c r="LVI43" s="1044"/>
      <c r="LVJ43" s="1044"/>
      <c r="LVK43" s="1044"/>
      <c r="LVL43" s="1044"/>
      <c r="LVM43" s="1044"/>
      <c r="LVN43" s="1044"/>
      <c r="LVO43" s="1044"/>
      <c r="LVP43" s="1044"/>
      <c r="LVQ43" s="1044"/>
      <c r="LVR43" s="1044"/>
      <c r="LVS43" s="1044"/>
      <c r="LVT43" s="1044"/>
      <c r="LVU43" s="1044"/>
      <c r="LVV43" s="1044"/>
      <c r="LVW43" s="1044"/>
      <c r="LVX43" s="1044"/>
      <c r="LVY43" s="1044"/>
      <c r="LVZ43" s="1044"/>
      <c r="LWA43" s="1044"/>
      <c r="LWB43" s="1044"/>
      <c r="LWC43" s="1044"/>
      <c r="LWD43" s="1044"/>
      <c r="LWE43" s="1044"/>
      <c r="LWF43" s="1044"/>
      <c r="LWG43" s="1044"/>
      <c r="LWH43" s="1044"/>
      <c r="LWI43" s="1044"/>
      <c r="LWJ43" s="1044"/>
      <c r="LWK43" s="1044"/>
      <c r="LWL43" s="1044"/>
      <c r="LWM43" s="1044"/>
      <c r="LWN43" s="1044"/>
      <c r="LWO43" s="1044"/>
      <c r="LWP43" s="1044"/>
      <c r="LWQ43" s="1044"/>
      <c r="LWR43" s="1044"/>
      <c r="LWS43" s="1044"/>
      <c r="LWT43" s="1044"/>
      <c r="LWU43" s="1044"/>
      <c r="LWV43" s="1044"/>
      <c r="LWW43" s="1044"/>
      <c r="LWX43" s="1044"/>
      <c r="LWY43" s="1044"/>
      <c r="LWZ43" s="1044"/>
      <c r="LXA43" s="1044"/>
      <c r="LXB43" s="1044"/>
      <c r="LXC43" s="1044"/>
      <c r="LXD43" s="1044"/>
      <c r="LXE43" s="1044"/>
      <c r="LXF43" s="1044"/>
      <c r="LXG43" s="1044"/>
      <c r="LXH43" s="1044"/>
      <c r="LXI43" s="1044"/>
      <c r="LXJ43" s="1044"/>
      <c r="LXK43" s="1044"/>
      <c r="LXL43" s="1044"/>
      <c r="LXM43" s="1044"/>
      <c r="LXN43" s="1044"/>
      <c r="LXO43" s="1044"/>
      <c r="LXP43" s="1044"/>
      <c r="LXQ43" s="1044"/>
      <c r="LXR43" s="1044"/>
      <c r="LXS43" s="1044"/>
      <c r="LXT43" s="1044"/>
      <c r="LXU43" s="1044"/>
      <c r="LXV43" s="1044"/>
      <c r="LXW43" s="1044"/>
      <c r="LXX43" s="1044"/>
      <c r="LXY43" s="1044"/>
      <c r="LXZ43" s="1044"/>
      <c r="LYA43" s="1044"/>
      <c r="LYB43" s="1044"/>
      <c r="LYC43" s="1044"/>
      <c r="LYD43" s="1044"/>
      <c r="LYE43" s="1044"/>
      <c r="LYF43" s="1044"/>
      <c r="LYG43" s="1044"/>
      <c r="LYH43" s="1044"/>
      <c r="LYI43" s="1044"/>
      <c r="LYJ43" s="1044"/>
      <c r="LYK43" s="1044"/>
      <c r="LYL43" s="1044"/>
      <c r="LYM43" s="1044"/>
      <c r="LYN43" s="1044"/>
      <c r="LYO43" s="1044"/>
      <c r="LYP43" s="1044"/>
      <c r="LYQ43" s="1044"/>
      <c r="LYR43" s="1044"/>
      <c r="LYS43" s="1044"/>
      <c r="LYT43" s="1044"/>
      <c r="LYU43" s="1044"/>
      <c r="LYV43" s="1044"/>
      <c r="LYW43" s="1044"/>
      <c r="LYX43" s="1044"/>
      <c r="LYY43" s="1044"/>
      <c r="LYZ43" s="1044"/>
      <c r="LZA43" s="1044"/>
      <c r="LZB43" s="1044"/>
      <c r="LZC43" s="1044"/>
      <c r="LZD43" s="1044"/>
      <c r="LZE43" s="1044"/>
      <c r="LZF43" s="1044"/>
      <c r="LZG43" s="1044"/>
      <c r="LZH43" s="1044"/>
      <c r="LZI43" s="1044"/>
      <c r="LZJ43" s="1044"/>
      <c r="LZK43" s="1044"/>
      <c r="LZL43" s="1044"/>
      <c r="LZM43" s="1044"/>
      <c r="LZN43" s="1044"/>
      <c r="LZO43" s="1044"/>
      <c r="LZP43" s="1044"/>
      <c r="LZQ43" s="1044"/>
      <c r="LZR43" s="1044"/>
      <c r="LZS43" s="1044"/>
      <c r="LZT43" s="1044"/>
      <c r="LZU43" s="1044"/>
      <c r="LZV43" s="1044"/>
      <c r="LZW43" s="1044"/>
      <c r="LZX43" s="1044"/>
      <c r="LZY43" s="1044"/>
      <c r="LZZ43" s="1044"/>
      <c r="MAA43" s="1044"/>
      <c r="MAB43" s="1044"/>
      <c r="MAC43" s="1044"/>
      <c r="MAD43" s="1044"/>
      <c r="MAE43" s="1044"/>
      <c r="MAF43" s="1044"/>
      <c r="MAG43" s="1044"/>
      <c r="MAH43" s="1044"/>
      <c r="MAI43" s="1044"/>
      <c r="MAJ43" s="1044"/>
      <c r="MAK43" s="1044"/>
      <c r="MAL43" s="1044"/>
      <c r="MAM43" s="1044"/>
      <c r="MAN43" s="1044"/>
      <c r="MAO43" s="1044"/>
      <c r="MAP43" s="1044"/>
      <c r="MAQ43" s="1044"/>
      <c r="MAR43" s="1044"/>
      <c r="MAS43" s="1044"/>
      <c r="MAT43" s="1044"/>
      <c r="MAU43" s="1044"/>
      <c r="MAV43" s="1044"/>
      <c r="MAW43" s="1044"/>
      <c r="MAX43" s="1044"/>
      <c r="MAY43" s="1044"/>
      <c r="MAZ43" s="1044"/>
      <c r="MBA43" s="1044"/>
      <c r="MBB43" s="1044"/>
      <c r="MBC43" s="1044"/>
      <c r="MBD43" s="1044"/>
      <c r="MBE43" s="1044"/>
      <c r="MBF43" s="1044"/>
      <c r="MBG43" s="1044"/>
      <c r="MBH43" s="1044"/>
      <c r="MBI43" s="1044"/>
      <c r="MBJ43" s="1044"/>
      <c r="MBK43" s="1044"/>
      <c r="MBL43" s="1044"/>
      <c r="MBM43" s="1044"/>
      <c r="MBN43" s="1044"/>
      <c r="MBO43" s="1044"/>
      <c r="MBP43" s="1044"/>
      <c r="MBQ43" s="1044"/>
      <c r="MBR43" s="1044"/>
      <c r="MBS43" s="1044"/>
      <c r="MBT43" s="1044"/>
      <c r="MBU43" s="1044"/>
      <c r="MBV43" s="1044"/>
      <c r="MBW43" s="1044"/>
      <c r="MBX43" s="1044"/>
      <c r="MBY43" s="1044"/>
      <c r="MBZ43" s="1044"/>
      <c r="MCA43" s="1044"/>
      <c r="MCB43" s="1044"/>
      <c r="MCC43" s="1044"/>
      <c r="MCD43" s="1044"/>
      <c r="MCE43" s="1044"/>
      <c r="MCF43" s="1044"/>
      <c r="MCG43" s="1044"/>
      <c r="MCH43" s="1044"/>
      <c r="MCI43" s="1044"/>
      <c r="MCJ43" s="1044"/>
      <c r="MCK43" s="1044"/>
      <c r="MCL43" s="1044"/>
      <c r="MCM43" s="1044"/>
      <c r="MCN43" s="1044"/>
      <c r="MCO43" s="1044"/>
      <c r="MCP43" s="1044"/>
      <c r="MCQ43" s="1044"/>
      <c r="MCR43" s="1044"/>
      <c r="MCS43" s="1044"/>
      <c r="MCT43" s="1044"/>
      <c r="MCU43" s="1044"/>
      <c r="MCV43" s="1044"/>
      <c r="MCW43" s="1044"/>
      <c r="MCX43" s="1044"/>
      <c r="MCY43" s="1044"/>
      <c r="MCZ43" s="1044"/>
      <c r="MDA43" s="1044"/>
      <c r="MDB43" s="1044"/>
      <c r="MDC43" s="1044"/>
      <c r="MDD43" s="1044"/>
      <c r="MDE43" s="1044"/>
      <c r="MDF43" s="1044"/>
      <c r="MDG43" s="1044"/>
      <c r="MDH43" s="1044"/>
      <c r="MDI43" s="1044"/>
      <c r="MDJ43" s="1044"/>
      <c r="MDK43" s="1044"/>
      <c r="MDL43" s="1044"/>
      <c r="MDM43" s="1044"/>
      <c r="MDN43" s="1044"/>
      <c r="MDO43" s="1044"/>
      <c r="MDP43" s="1044"/>
      <c r="MDQ43" s="1044"/>
      <c r="MDR43" s="1044"/>
      <c r="MDS43" s="1044"/>
      <c r="MDT43" s="1044"/>
      <c r="MDU43" s="1044"/>
      <c r="MDV43" s="1044"/>
      <c r="MDW43" s="1044"/>
      <c r="MDX43" s="1044"/>
      <c r="MDY43" s="1044"/>
      <c r="MDZ43" s="1044"/>
      <c r="MEA43" s="1044"/>
      <c r="MEB43" s="1044"/>
      <c r="MEC43" s="1044"/>
      <c r="MED43" s="1044"/>
      <c r="MEE43" s="1044"/>
      <c r="MEF43" s="1044"/>
      <c r="MEG43" s="1044"/>
      <c r="MEH43" s="1044"/>
      <c r="MEI43" s="1044"/>
      <c r="MEJ43" s="1044"/>
      <c r="MEK43" s="1044"/>
      <c r="MEL43" s="1044"/>
      <c r="MEM43" s="1044"/>
      <c r="MEN43" s="1044"/>
      <c r="MEO43" s="1044"/>
      <c r="MEP43" s="1044"/>
      <c r="MEQ43" s="1044"/>
      <c r="MER43" s="1044"/>
      <c r="MES43" s="1044"/>
      <c r="MET43" s="1044"/>
      <c r="MEU43" s="1044"/>
      <c r="MEV43" s="1044"/>
      <c r="MEW43" s="1044"/>
      <c r="MEX43" s="1044"/>
      <c r="MEY43" s="1044"/>
      <c r="MEZ43" s="1044"/>
      <c r="MFA43" s="1044"/>
      <c r="MFB43" s="1044"/>
      <c r="MFC43" s="1044"/>
      <c r="MFD43" s="1044"/>
      <c r="MFE43" s="1044"/>
      <c r="MFF43" s="1044"/>
      <c r="MFG43" s="1044"/>
      <c r="MFH43" s="1044"/>
      <c r="MFI43" s="1044"/>
      <c r="MFJ43" s="1044"/>
      <c r="MFK43" s="1044"/>
      <c r="MFL43" s="1044"/>
      <c r="MFM43" s="1044"/>
      <c r="MFN43" s="1044"/>
      <c r="MFO43" s="1044"/>
      <c r="MFP43" s="1044"/>
      <c r="MFQ43" s="1044"/>
      <c r="MFR43" s="1044"/>
      <c r="MFS43" s="1044"/>
      <c r="MFT43" s="1044"/>
      <c r="MFU43" s="1044"/>
      <c r="MFV43" s="1044"/>
      <c r="MFW43" s="1044"/>
      <c r="MFX43" s="1044"/>
      <c r="MFY43" s="1044"/>
      <c r="MFZ43" s="1044"/>
      <c r="MGA43" s="1044"/>
      <c r="MGB43" s="1044"/>
      <c r="MGC43" s="1044"/>
      <c r="MGD43" s="1044"/>
      <c r="MGE43" s="1044"/>
      <c r="MGF43" s="1044"/>
      <c r="MGG43" s="1044"/>
      <c r="MGH43" s="1044"/>
      <c r="MGI43" s="1044"/>
      <c r="MGJ43" s="1044"/>
      <c r="MGK43" s="1044"/>
      <c r="MGL43" s="1044"/>
      <c r="MGM43" s="1044"/>
      <c r="MGN43" s="1044"/>
      <c r="MGO43" s="1044"/>
      <c r="MGP43" s="1044"/>
      <c r="MGQ43" s="1044"/>
      <c r="MGR43" s="1044"/>
      <c r="MGS43" s="1044"/>
      <c r="MGT43" s="1044"/>
      <c r="MGU43" s="1044"/>
      <c r="MGV43" s="1044"/>
      <c r="MGW43" s="1044"/>
      <c r="MGX43" s="1044"/>
      <c r="MGY43" s="1044"/>
      <c r="MGZ43" s="1044"/>
      <c r="MHA43" s="1044"/>
      <c r="MHB43" s="1044"/>
      <c r="MHC43" s="1044"/>
      <c r="MHD43" s="1044"/>
      <c r="MHE43" s="1044"/>
      <c r="MHF43" s="1044"/>
      <c r="MHG43" s="1044"/>
      <c r="MHH43" s="1044"/>
      <c r="MHI43" s="1044"/>
      <c r="MHJ43" s="1044"/>
      <c r="MHK43" s="1044"/>
      <c r="MHL43" s="1044"/>
      <c r="MHM43" s="1044"/>
      <c r="MHN43" s="1044"/>
      <c r="MHO43" s="1044"/>
      <c r="MHP43" s="1044"/>
      <c r="MHQ43" s="1044"/>
      <c r="MHR43" s="1044"/>
      <c r="MHS43" s="1044"/>
      <c r="MHT43" s="1044"/>
      <c r="MHU43" s="1044"/>
      <c r="MHV43" s="1044"/>
      <c r="MHW43" s="1044"/>
      <c r="MHX43" s="1044"/>
      <c r="MHY43" s="1044"/>
      <c r="MHZ43" s="1044"/>
      <c r="MIA43" s="1044"/>
      <c r="MIB43" s="1044"/>
      <c r="MIC43" s="1044"/>
      <c r="MID43" s="1044"/>
      <c r="MIE43" s="1044"/>
      <c r="MIF43" s="1044"/>
      <c r="MIG43" s="1044"/>
      <c r="MIH43" s="1044"/>
      <c r="MII43" s="1044"/>
      <c r="MIJ43" s="1044"/>
      <c r="MIK43" s="1044"/>
      <c r="MIL43" s="1044"/>
      <c r="MIM43" s="1044"/>
      <c r="MIN43" s="1044"/>
      <c r="MIO43" s="1044"/>
      <c r="MIP43" s="1044"/>
      <c r="MIQ43" s="1044"/>
      <c r="MIR43" s="1044"/>
      <c r="MIS43" s="1044"/>
      <c r="MIT43" s="1044"/>
      <c r="MIU43" s="1044"/>
      <c r="MIV43" s="1044"/>
      <c r="MIW43" s="1044"/>
      <c r="MIX43" s="1044"/>
      <c r="MIY43" s="1044"/>
      <c r="MIZ43" s="1044"/>
      <c r="MJA43" s="1044"/>
      <c r="MJB43" s="1044"/>
      <c r="MJC43" s="1044"/>
      <c r="MJD43" s="1044"/>
      <c r="MJE43" s="1044"/>
      <c r="MJF43" s="1044"/>
      <c r="MJG43" s="1044"/>
      <c r="MJH43" s="1044"/>
      <c r="MJI43" s="1044"/>
      <c r="MJJ43" s="1044"/>
      <c r="MJK43" s="1044"/>
      <c r="MJL43" s="1044"/>
      <c r="MJM43" s="1044"/>
      <c r="MJN43" s="1044"/>
      <c r="MJO43" s="1044"/>
      <c r="MJP43" s="1044"/>
      <c r="MJQ43" s="1044"/>
      <c r="MJR43" s="1044"/>
      <c r="MJS43" s="1044"/>
      <c r="MJT43" s="1044"/>
      <c r="MJU43" s="1044"/>
      <c r="MJV43" s="1044"/>
      <c r="MJW43" s="1044"/>
      <c r="MJX43" s="1044"/>
      <c r="MJY43" s="1044"/>
      <c r="MJZ43" s="1044"/>
      <c r="MKA43" s="1044"/>
      <c r="MKB43" s="1044"/>
      <c r="MKC43" s="1044"/>
      <c r="MKD43" s="1044"/>
      <c r="MKE43" s="1044"/>
      <c r="MKF43" s="1044"/>
      <c r="MKG43" s="1044"/>
      <c r="MKH43" s="1044"/>
      <c r="MKI43" s="1044"/>
      <c r="MKJ43" s="1044"/>
      <c r="MKK43" s="1044"/>
      <c r="MKL43" s="1044"/>
      <c r="MKM43" s="1044"/>
      <c r="MKN43" s="1044"/>
      <c r="MKO43" s="1044"/>
      <c r="MKP43" s="1044"/>
      <c r="MKQ43" s="1044"/>
      <c r="MKR43" s="1044"/>
      <c r="MKS43" s="1044"/>
      <c r="MKT43" s="1044"/>
      <c r="MKU43" s="1044"/>
      <c r="MKV43" s="1044"/>
      <c r="MKW43" s="1044"/>
      <c r="MKX43" s="1044"/>
      <c r="MKY43" s="1044"/>
      <c r="MKZ43" s="1044"/>
      <c r="MLA43" s="1044"/>
      <c r="MLB43" s="1044"/>
      <c r="MLC43" s="1044"/>
      <c r="MLD43" s="1044"/>
      <c r="MLE43" s="1044"/>
      <c r="MLF43" s="1044"/>
      <c r="MLG43" s="1044"/>
      <c r="MLH43" s="1044"/>
      <c r="MLI43" s="1044"/>
      <c r="MLJ43" s="1044"/>
      <c r="MLK43" s="1044"/>
      <c r="MLL43" s="1044"/>
      <c r="MLM43" s="1044"/>
      <c r="MLN43" s="1044"/>
      <c r="MLO43" s="1044"/>
      <c r="MLP43" s="1044"/>
      <c r="MLQ43" s="1044"/>
      <c r="MLR43" s="1044"/>
      <c r="MLS43" s="1044"/>
      <c r="MLT43" s="1044"/>
      <c r="MLU43" s="1044"/>
      <c r="MLV43" s="1044"/>
      <c r="MLW43" s="1044"/>
      <c r="MLX43" s="1044"/>
      <c r="MLY43" s="1044"/>
      <c r="MLZ43" s="1044"/>
      <c r="MMA43" s="1044"/>
      <c r="MMB43" s="1044"/>
      <c r="MMC43" s="1044"/>
      <c r="MMD43" s="1044"/>
      <c r="MME43" s="1044"/>
      <c r="MMF43" s="1044"/>
      <c r="MMG43" s="1044"/>
      <c r="MMH43" s="1044"/>
      <c r="MMI43" s="1044"/>
      <c r="MMJ43" s="1044"/>
      <c r="MMK43" s="1044"/>
      <c r="MML43" s="1044"/>
      <c r="MMM43" s="1044"/>
      <c r="MMN43" s="1044"/>
      <c r="MMO43" s="1044"/>
      <c r="MMP43" s="1044"/>
      <c r="MMQ43" s="1044"/>
      <c r="MMR43" s="1044"/>
      <c r="MMS43" s="1044"/>
      <c r="MMT43" s="1044"/>
      <c r="MMU43" s="1044"/>
      <c r="MMV43" s="1044"/>
      <c r="MMW43" s="1044"/>
      <c r="MMX43" s="1044"/>
      <c r="MMY43" s="1044"/>
      <c r="MMZ43" s="1044"/>
      <c r="MNA43" s="1044"/>
      <c r="MNB43" s="1044"/>
      <c r="MNC43" s="1044"/>
      <c r="MND43" s="1044"/>
      <c r="MNE43" s="1044"/>
      <c r="MNF43" s="1044"/>
      <c r="MNG43" s="1044"/>
      <c r="MNH43" s="1044"/>
      <c r="MNI43" s="1044"/>
      <c r="MNJ43" s="1044"/>
      <c r="MNK43" s="1044"/>
      <c r="MNL43" s="1044"/>
      <c r="MNM43" s="1044"/>
      <c r="MNN43" s="1044"/>
      <c r="MNO43" s="1044"/>
      <c r="MNP43" s="1044"/>
      <c r="MNQ43" s="1044"/>
      <c r="MNR43" s="1044"/>
      <c r="MNS43" s="1044"/>
      <c r="MNT43" s="1044"/>
      <c r="MNU43" s="1044"/>
      <c r="MNV43" s="1044"/>
      <c r="MNW43" s="1044"/>
      <c r="MNX43" s="1044"/>
      <c r="MNY43" s="1044"/>
      <c r="MNZ43" s="1044"/>
      <c r="MOA43" s="1044"/>
      <c r="MOB43" s="1044"/>
      <c r="MOC43" s="1044"/>
      <c r="MOD43" s="1044"/>
      <c r="MOE43" s="1044"/>
      <c r="MOF43" s="1044"/>
      <c r="MOG43" s="1044"/>
      <c r="MOH43" s="1044"/>
      <c r="MOI43" s="1044"/>
      <c r="MOJ43" s="1044"/>
      <c r="MOK43" s="1044"/>
      <c r="MOL43" s="1044"/>
      <c r="MOM43" s="1044"/>
      <c r="MON43" s="1044"/>
      <c r="MOO43" s="1044"/>
      <c r="MOP43" s="1044"/>
      <c r="MOQ43" s="1044"/>
      <c r="MOR43" s="1044"/>
      <c r="MOS43" s="1044"/>
      <c r="MOT43" s="1044"/>
      <c r="MOU43" s="1044"/>
      <c r="MOV43" s="1044"/>
      <c r="MOW43" s="1044"/>
      <c r="MOX43" s="1044"/>
      <c r="MOY43" s="1044"/>
      <c r="MOZ43" s="1044"/>
      <c r="MPA43" s="1044"/>
      <c r="MPB43" s="1044"/>
      <c r="MPC43" s="1044"/>
      <c r="MPD43" s="1044"/>
      <c r="MPE43" s="1044"/>
      <c r="MPF43" s="1044"/>
      <c r="MPG43" s="1044"/>
      <c r="MPH43" s="1044"/>
      <c r="MPI43" s="1044"/>
      <c r="MPJ43" s="1044"/>
      <c r="MPK43" s="1044"/>
      <c r="MPL43" s="1044"/>
      <c r="MPM43" s="1044"/>
      <c r="MPN43" s="1044"/>
      <c r="MPO43" s="1044"/>
      <c r="MPP43" s="1044"/>
      <c r="MPQ43" s="1044"/>
      <c r="MPR43" s="1044"/>
      <c r="MPS43" s="1044"/>
      <c r="MPT43" s="1044"/>
      <c r="MPU43" s="1044"/>
      <c r="MPV43" s="1044"/>
      <c r="MPW43" s="1044"/>
      <c r="MPX43" s="1044"/>
      <c r="MPY43" s="1044"/>
      <c r="MPZ43" s="1044"/>
      <c r="MQA43" s="1044"/>
      <c r="MQB43" s="1044"/>
      <c r="MQC43" s="1044"/>
      <c r="MQD43" s="1044"/>
      <c r="MQE43" s="1044"/>
      <c r="MQF43" s="1044"/>
      <c r="MQG43" s="1044"/>
      <c r="MQH43" s="1044"/>
      <c r="MQI43" s="1044"/>
      <c r="MQJ43" s="1044"/>
      <c r="MQK43" s="1044"/>
      <c r="MQL43" s="1044"/>
      <c r="MQM43" s="1044"/>
      <c r="MQN43" s="1044"/>
      <c r="MQO43" s="1044"/>
      <c r="MQP43" s="1044"/>
      <c r="MQQ43" s="1044"/>
      <c r="MQR43" s="1044"/>
      <c r="MQS43" s="1044"/>
      <c r="MQT43" s="1044"/>
      <c r="MQU43" s="1044"/>
      <c r="MQV43" s="1044"/>
      <c r="MQW43" s="1044"/>
      <c r="MQX43" s="1044"/>
      <c r="MQY43" s="1044"/>
      <c r="MQZ43" s="1044"/>
      <c r="MRA43" s="1044"/>
      <c r="MRB43" s="1044"/>
      <c r="MRC43" s="1044"/>
      <c r="MRD43" s="1044"/>
      <c r="MRE43" s="1044"/>
      <c r="MRF43" s="1044"/>
      <c r="MRG43" s="1044"/>
      <c r="MRH43" s="1044"/>
      <c r="MRI43" s="1044"/>
      <c r="MRJ43" s="1044"/>
      <c r="MRK43" s="1044"/>
      <c r="MRL43" s="1044"/>
      <c r="MRM43" s="1044"/>
      <c r="MRN43" s="1044"/>
      <c r="MRO43" s="1044"/>
      <c r="MRP43" s="1044"/>
      <c r="MRQ43" s="1044"/>
      <c r="MRR43" s="1044"/>
      <c r="MRS43" s="1044"/>
      <c r="MRT43" s="1044"/>
      <c r="MRU43" s="1044"/>
      <c r="MRV43" s="1044"/>
      <c r="MRW43" s="1044"/>
      <c r="MRX43" s="1044"/>
      <c r="MRY43" s="1044"/>
      <c r="MRZ43" s="1044"/>
      <c r="MSA43" s="1044"/>
      <c r="MSB43" s="1044"/>
      <c r="MSC43" s="1044"/>
      <c r="MSD43" s="1044"/>
      <c r="MSE43" s="1044"/>
      <c r="MSF43" s="1044"/>
      <c r="MSG43" s="1044"/>
      <c r="MSH43" s="1044"/>
      <c r="MSI43" s="1044"/>
      <c r="MSJ43" s="1044"/>
      <c r="MSK43" s="1044"/>
      <c r="MSL43" s="1044"/>
      <c r="MSM43" s="1044"/>
      <c r="MSN43" s="1044"/>
      <c r="MSO43" s="1044"/>
      <c r="MSP43" s="1044"/>
      <c r="MSQ43" s="1044"/>
      <c r="MSR43" s="1044"/>
      <c r="MSS43" s="1044"/>
      <c r="MST43" s="1044"/>
      <c r="MSU43" s="1044"/>
      <c r="MSV43" s="1044"/>
      <c r="MSW43" s="1044"/>
      <c r="MSX43" s="1044"/>
      <c r="MSY43" s="1044"/>
      <c r="MSZ43" s="1044"/>
      <c r="MTA43" s="1044"/>
      <c r="MTB43" s="1044"/>
      <c r="MTC43" s="1044"/>
      <c r="MTD43" s="1044"/>
      <c r="MTE43" s="1044"/>
      <c r="MTF43" s="1044"/>
      <c r="MTG43" s="1044"/>
      <c r="MTH43" s="1044"/>
      <c r="MTI43" s="1044"/>
      <c r="MTJ43" s="1044"/>
      <c r="MTK43" s="1044"/>
      <c r="MTL43" s="1044"/>
      <c r="MTM43" s="1044"/>
      <c r="MTN43" s="1044"/>
      <c r="MTO43" s="1044"/>
      <c r="MTP43" s="1044"/>
      <c r="MTQ43" s="1044"/>
      <c r="MTR43" s="1044"/>
      <c r="MTS43" s="1044"/>
      <c r="MTT43" s="1044"/>
      <c r="MTU43" s="1044"/>
      <c r="MTV43" s="1044"/>
      <c r="MTW43" s="1044"/>
      <c r="MTX43" s="1044"/>
      <c r="MTY43" s="1044"/>
      <c r="MTZ43" s="1044"/>
      <c r="MUA43" s="1044"/>
      <c r="MUB43" s="1044"/>
      <c r="MUC43" s="1044"/>
      <c r="MUD43" s="1044"/>
      <c r="MUE43" s="1044"/>
      <c r="MUF43" s="1044"/>
      <c r="MUG43" s="1044"/>
      <c r="MUH43" s="1044"/>
      <c r="MUI43" s="1044"/>
      <c r="MUJ43" s="1044"/>
      <c r="MUK43" s="1044"/>
      <c r="MUL43" s="1044"/>
      <c r="MUM43" s="1044"/>
      <c r="MUN43" s="1044"/>
      <c r="MUO43" s="1044"/>
      <c r="MUP43" s="1044"/>
      <c r="MUQ43" s="1044"/>
      <c r="MUR43" s="1044"/>
      <c r="MUS43" s="1044"/>
      <c r="MUT43" s="1044"/>
      <c r="MUU43" s="1044"/>
      <c r="MUV43" s="1044"/>
      <c r="MUW43" s="1044"/>
      <c r="MUX43" s="1044"/>
      <c r="MUY43" s="1044"/>
      <c r="MUZ43" s="1044"/>
      <c r="MVA43" s="1044"/>
      <c r="MVB43" s="1044"/>
      <c r="MVC43" s="1044"/>
      <c r="MVD43" s="1044"/>
      <c r="MVE43" s="1044"/>
      <c r="MVF43" s="1044"/>
      <c r="MVG43" s="1044"/>
      <c r="MVH43" s="1044"/>
      <c r="MVI43" s="1044"/>
      <c r="MVJ43" s="1044"/>
      <c r="MVK43" s="1044"/>
      <c r="MVL43" s="1044"/>
      <c r="MVM43" s="1044"/>
      <c r="MVN43" s="1044"/>
      <c r="MVO43" s="1044"/>
      <c r="MVP43" s="1044"/>
      <c r="MVQ43" s="1044"/>
      <c r="MVR43" s="1044"/>
      <c r="MVS43" s="1044"/>
      <c r="MVT43" s="1044"/>
      <c r="MVU43" s="1044"/>
      <c r="MVV43" s="1044"/>
      <c r="MVW43" s="1044"/>
      <c r="MVX43" s="1044"/>
      <c r="MVY43" s="1044"/>
      <c r="MVZ43" s="1044"/>
      <c r="MWA43" s="1044"/>
      <c r="MWB43" s="1044"/>
      <c r="MWC43" s="1044"/>
      <c r="MWD43" s="1044"/>
      <c r="MWE43" s="1044"/>
      <c r="MWF43" s="1044"/>
      <c r="MWG43" s="1044"/>
      <c r="MWH43" s="1044"/>
      <c r="MWI43" s="1044"/>
      <c r="MWJ43" s="1044"/>
      <c r="MWK43" s="1044"/>
      <c r="MWL43" s="1044"/>
      <c r="MWM43" s="1044"/>
      <c r="MWN43" s="1044"/>
      <c r="MWO43" s="1044"/>
      <c r="MWP43" s="1044"/>
      <c r="MWQ43" s="1044"/>
      <c r="MWR43" s="1044"/>
      <c r="MWS43" s="1044"/>
      <c r="MWT43" s="1044"/>
      <c r="MWU43" s="1044"/>
      <c r="MWV43" s="1044"/>
      <c r="MWW43" s="1044"/>
      <c r="MWX43" s="1044"/>
      <c r="MWY43" s="1044"/>
      <c r="MWZ43" s="1044"/>
      <c r="MXA43" s="1044"/>
      <c r="MXB43" s="1044"/>
      <c r="MXC43" s="1044"/>
      <c r="MXD43" s="1044"/>
      <c r="MXE43" s="1044"/>
      <c r="MXF43" s="1044"/>
      <c r="MXG43" s="1044"/>
      <c r="MXH43" s="1044"/>
      <c r="MXI43" s="1044"/>
      <c r="MXJ43" s="1044"/>
      <c r="MXK43" s="1044"/>
      <c r="MXL43" s="1044"/>
      <c r="MXM43" s="1044"/>
      <c r="MXN43" s="1044"/>
      <c r="MXO43" s="1044"/>
      <c r="MXP43" s="1044"/>
      <c r="MXQ43" s="1044"/>
      <c r="MXR43" s="1044"/>
      <c r="MXS43" s="1044"/>
      <c r="MXT43" s="1044"/>
      <c r="MXU43" s="1044"/>
      <c r="MXV43" s="1044"/>
      <c r="MXW43" s="1044"/>
      <c r="MXX43" s="1044"/>
      <c r="MXY43" s="1044"/>
      <c r="MXZ43" s="1044"/>
      <c r="MYA43" s="1044"/>
      <c r="MYB43" s="1044"/>
      <c r="MYC43" s="1044"/>
      <c r="MYD43" s="1044"/>
      <c r="MYE43" s="1044"/>
      <c r="MYF43" s="1044"/>
      <c r="MYG43" s="1044"/>
      <c r="MYH43" s="1044"/>
      <c r="MYI43" s="1044"/>
      <c r="MYJ43" s="1044"/>
      <c r="MYK43" s="1044"/>
      <c r="MYL43" s="1044"/>
      <c r="MYM43" s="1044"/>
      <c r="MYN43" s="1044"/>
      <c r="MYO43" s="1044"/>
      <c r="MYP43" s="1044"/>
      <c r="MYQ43" s="1044"/>
      <c r="MYR43" s="1044"/>
      <c r="MYS43" s="1044"/>
      <c r="MYT43" s="1044"/>
      <c r="MYU43" s="1044"/>
      <c r="MYV43" s="1044"/>
      <c r="MYW43" s="1044"/>
      <c r="MYX43" s="1044"/>
      <c r="MYY43" s="1044"/>
      <c r="MYZ43" s="1044"/>
      <c r="MZA43" s="1044"/>
      <c r="MZB43" s="1044"/>
      <c r="MZC43" s="1044"/>
      <c r="MZD43" s="1044"/>
      <c r="MZE43" s="1044"/>
      <c r="MZF43" s="1044"/>
      <c r="MZG43" s="1044"/>
      <c r="MZH43" s="1044"/>
      <c r="MZI43" s="1044"/>
      <c r="MZJ43" s="1044"/>
      <c r="MZK43" s="1044"/>
      <c r="MZL43" s="1044"/>
      <c r="MZM43" s="1044"/>
      <c r="MZN43" s="1044"/>
      <c r="MZO43" s="1044"/>
      <c r="MZP43" s="1044"/>
      <c r="MZQ43" s="1044"/>
      <c r="MZR43" s="1044"/>
      <c r="MZS43" s="1044"/>
      <c r="MZT43" s="1044"/>
      <c r="MZU43" s="1044"/>
      <c r="MZV43" s="1044"/>
      <c r="MZW43" s="1044"/>
      <c r="MZX43" s="1044"/>
      <c r="MZY43" s="1044"/>
      <c r="MZZ43" s="1044"/>
      <c r="NAA43" s="1044"/>
      <c r="NAB43" s="1044"/>
      <c r="NAC43" s="1044"/>
      <c r="NAD43" s="1044"/>
      <c r="NAE43" s="1044"/>
      <c r="NAF43" s="1044"/>
      <c r="NAG43" s="1044"/>
      <c r="NAH43" s="1044"/>
      <c r="NAI43" s="1044"/>
      <c r="NAJ43" s="1044"/>
      <c r="NAK43" s="1044"/>
      <c r="NAL43" s="1044"/>
      <c r="NAM43" s="1044"/>
      <c r="NAN43" s="1044"/>
      <c r="NAO43" s="1044"/>
      <c r="NAP43" s="1044"/>
      <c r="NAQ43" s="1044"/>
      <c r="NAR43" s="1044"/>
      <c r="NAS43" s="1044"/>
      <c r="NAT43" s="1044"/>
      <c r="NAU43" s="1044"/>
      <c r="NAV43" s="1044"/>
      <c r="NAW43" s="1044"/>
      <c r="NAX43" s="1044"/>
      <c r="NAY43" s="1044"/>
      <c r="NAZ43" s="1044"/>
      <c r="NBA43" s="1044"/>
      <c r="NBB43" s="1044"/>
      <c r="NBC43" s="1044"/>
      <c r="NBD43" s="1044"/>
      <c r="NBE43" s="1044"/>
      <c r="NBF43" s="1044"/>
      <c r="NBG43" s="1044"/>
      <c r="NBH43" s="1044"/>
      <c r="NBI43" s="1044"/>
      <c r="NBJ43" s="1044"/>
      <c r="NBK43" s="1044"/>
      <c r="NBL43" s="1044"/>
      <c r="NBM43" s="1044"/>
      <c r="NBN43" s="1044"/>
      <c r="NBO43" s="1044"/>
      <c r="NBP43" s="1044"/>
      <c r="NBQ43" s="1044"/>
      <c r="NBR43" s="1044"/>
      <c r="NBS43" s="1044"/>
      <c r="NBT43" s="1044"/>
      <c r="NBU43" s="1044"/>
      <c r="NBV43" s="1044"/>
      <c r="NBW43" s="1044"/>
      <c r="NBX43" s="1044"/>
      <c r="NBY43" s="1044"/>
      <c r="NBZ43" s="1044"/>
      <c r="NCA43" s="1044"/>
      <c r="NCB43" s="1044"/>
      <c r="NCC43" s="1044"/>
      <c r="NCD43" s="1044"/>
      <c r="NCE43" s="1044"/>
      <c r="NCF43" s="1044"/>
      <c r="NCG43" s="1044"/>
      <c r="NCH43" s="1044"/>
      <c r="NCI43" s="1044"/>
      <c r="NCJ43" s="1044"/>
      <c r="NCK43" s="1044"/>
      <c r="NCL43" s="1044"/>
      <c r="NCM43" s="1044"/>
      <c r="NCN43" s="1044"/>
      <c r="NCO43" s="1044"/>
      <c r="NCP43" s="1044"/>
      <c r="NCQ43" s="1044"/>
      <c r="NCR43" s="1044"/>
      <c r="NCS43" s="1044"/>
      <c r="NCT43" s="1044"/>
      <c r="NCU43" s="1044"/>
      <c r="NCV43" s="1044"/>
      <c r="NCW43" s="1044"/>
      <c r="NCX43" s="1044"/>
      <c r="NCY43" s="1044"/>
      <c r="NCZ43" s="1044"/>
      <c r="NDA43" s="1044"/>
      <c r="NDB43" s="1044"/>
      <c r="NDC43" s="1044"/>
      <c r="NDD43" s="1044"/>
      <c r="NDE43" s="1044"/>
      <c r="NDF43" s="1044"/>
      <c r="NDG43" s="1044"/>
      <c r="NDH43" s="1044"/>
      <c r="NDI43" s="1044"/>
      <c r="NDJ43" s="1044"/>
      <c r="NDK43" s="1044"/>
      <c r="NDL43" s="1044"/>
      <c r="NDM43" s="1044"/>
      <c r="NDN43" s="1044"/>
      <c r="NDO43" s="1044"/>
      <c r="NDP43" s="1044"/>
      <c r="NDQ43" s="1044"/>
      <c r="NDR43" s="1044"/>
      <c r="NDS43" s="1044"/>
      <c r="NDT43" s="1044"/>
      <c r="NDU43" s="1044"/>
      <c r="NDV43" s="1044"/>
      <c r="NDW43" s="1044"/>
      <c r="NDX43" s="1044"/>
      <c r="NDY43" s="1044"/>
      <c r="NDZ43" s="1044"/>
      <c r="NEA43" s="1044"/>
      <c r="NEB43" s="1044"/>
      <c r="NEC43" s="1044"/>
      <c r="NED43" s="1044"/>
      <c r="NEE43" s="1044"/>
      <c r="NEF43" s="1044"/>
      <c r="NEG43" s="1044"/>
      <c r="NEH43" s="1044"/>
      <c r="NEI43" s="1044"/>
      <c r="NEJ43" s="1044"/>
      <c r="NEK43" s="1044"/>
      <c r="NEL43" s="1044"/>
      <c r="NEM43" s="1044"/>
      <c r="NEN43" s="1044"/>
      <c r="NEO43" s="1044"/>
      <c r="NEP43" s="1044"/>
      <c r="NEQ43" s="1044"/>
      <c r="NER43" s="1044"/>
      <c r="NES43" s="1044"/>
      <c r="NET43" s="1044"/>
      <c r="NEU43" s="1044"/>
      <c r="NEV43" s="1044"/>
      <c r="NEW43" s="1044"/>
      <c r="NEX43" s="1044"/>
      <c r="NEY43" s="1044"/>
      <c r="NEZ43" s="1044"/>
      <c r="NFA43" s="1044"/>
      <c r="NFB43" s="1044"/>
      <c r="NFC43" s="1044"/>
      <c r="NFD43" s="1044"/>
      <c r="NFE43" s="1044"/>
      <c r="NFF43" s="1044"/>
      <c r="NFG43" s="1044"/>
      <c r="NFH43" s="1044"/>
      <c r="NFI43" s="1044"/>
      <c r="NFJ43" s="1044"/>
      <c r="NFK43" s="1044"/>
      <c r="NFL43" s="1044"/>
      <c r="NFM43" s="1044"/>
      <c r="NFN43" s="1044"/>
      <c r="NFO43" s="1044"/>
      <c r="NFP43" s="1044"/>
      <c r="NFQ43" s="1044"/>
      <c r="NFR43" s="1044"/>
      <c r="NFS43" s="1044"/>
      <c r="NFT43" s="1044"/>
      <c r="NFU43" s="1044"/>
      <c r="NFV43" s="1044"/>
      <c r="NFW43" s="1044"/>
      <c r="NFX43" s="1044"/>
      <c r="NFY43" s="1044"/>
      <c r="NFZ43" s="1044"/>
      <c r="NGA43" s="1044"/>
      <c r="NGB43" s="1044"/>
      <c r="NGC43" s="1044"/>
      <c r="NGD43" s="1044"/>
      <c r="NGE43" s="1044"/>
      <c r="NGF43" s="1044"/>
      <c r="NGG43" s="1044"/>
      <c r="NGH43" s="1044"/>
      <c r="NGI43" s="1044"/>
      <c r="NGJ43" s="1044"/>
      <c r="NGK43" s="1044"/>
      <c r="NGL43" s="1044"/>
      <c r="NGM43" s="1044"/>
      <c r="NGN43" s="1044"/>
      <c r="NGO43" s="1044"/>
      <c r="NGP43" s="1044"/>
      <c r="NGQ43" s="1044"/>
      <c r="NGR43" s="1044"/>
      <c r="NGS43" s="1044"/>
      <c r="NGT43" s="1044"/>
      <c r="NGU43" s="1044"/>
      <c r="NGV43" s="1044"/>
      <c r="NGW43" s="1044"/>
      <c r="NGX43" s="1044"/>
      <c r="NGY43" s="1044"/>
      <c r="NGZ43" s="1044"/>
      <c r="NHA43" s="1044"/>
      <c r="NHB43" s="1044"/>
      <c r="NHC43" s="1044"/>
      <c r="NHD43" s="1044"/>
      <c r="NHE43" s="1044"/>
      <c r="NHF43" s="1044"/>
      <c r="NHG43" s="1044"/>
      <c r="NHH43" s="1044"/>
      <c r="NHI43" s="1044"/>
      <c r="NHJ43" s="1044"/>
      <c r="NHK43" s="1044"/>
      <c r="NHL43" s="1044"/>
      <c r="NHM43" s="1044"/>
      <c r="NHN43" s="1044"/>
      <c r="NHO43" s="1044"/>
      <c r="NHP43" s="1044"/>
      <c r="NHQ43" s="1044"/>
      <c r="NHR43" s="1044"/>
      <c r="NHS43" s="1044"/>
      <c r="NHT43" s="1044"/>
      <c r="NHU43" s="1044"/>
      <c r="NHV43" s="1044"/>
      <c r="NHW43" s="1044"/>
      <c r="NHX43" s="1044"/>
      <c r="NHY43" s="1044"/>
      <c r="NHZ43" s="1044"/>
      <c r="NIA43" s="1044"/>
      <c r="NIB43" s="1044"/>
      <c r="NIC43" s="1044"/>
      <c r="NID43" s="1044"/>
      <c r="NIE43" s="1044"/>
      <c r="NIF43" s="1044"/>
      <c r="NIG43" s="1044"/>
      <c r="NIH43" s="1044"/>
      <c r="NII43" s="1044"/>
      <c r="NIJ43" s="1044"/>
      <c r="NIK43" s="1044"/>
      <c r="NIL43" s="1044"/>
      <c r="NIM43" s="1044"/>
      <c r="NIN43" s="1044"/>
      <c r="NIO43" s="1044"/>
      <c r="NIP43" s="1044"/>
      <c r="NIQ43" s="1044"/>
      <c r="NIR43" s="1044"/>
      <c r="NIS43" s="1044"/>
      <c r="NIT43" s="1044"/>
      <c r="NIU43" s="1044"/>
      <c r="NIV43" s="1044"/>
      <c r="NIW43" s="1044"/>
      <c r="NIX43" s="1044"/>
      <c r="NIY43" s="1044"/>
      <c r="NIZ43" s="1044"/>
      <c r="NJA43" s="1044"/>
      <c r="NJB43" s="1044"/>
      <c r="NJC43" s="1044"/>
      <c r="NJD43" s="1044"/>
      <c r="NJE43" s="1044"/>
      <c r="NJF43" s="1044"/>
      <c r="NJG43" s="1044"/>
      <c r="NJH43" s="1044"/>
      <c r="NJI43" s="1044"/>
      <c r="NJJ43" s="1044"/>
      <c r="NJK43" s="1044"/>
      <c r="NJL43" s="1044"/>
      <c r="NJM43" s="1044"/>
      <c r="NJN43" s="1044"/>
      <c r="NJO43" s="1044"/>
      <c r="NJP43" s="1044"/>
      <c r="NJQ43" s="1044"/>
      <c r="NJR43" s="1044"/>
      <c r="NJS43" s="1044"/>
      <c r="NJT43" s="1044"/>
      <c r="NJU43" s="1044"/>
      <c r="NJV43" s="1044"/>
      <c r="NJW43" s="1044"/>
      <c r="NJX43" s="1044"/>
      <c r="NJY43" s="1044"/>
      <c r="NJZ43" s="1044"/>
      <c r="NKA43" s="1044"/>
      <c r="NKB43" s="1044"/>
      <c r="NKC43" s="1044"/>
      <c r="NKD43" s="1044"/>
      <c r="NKE43" s="1044"/>
      <c r="NKF43" s="1044"/>
      <c r="NKG43" s="1044"/>
      <c r="NKH43" s="1044"/>
      <c r="NKI43" s="1044"/>
      <c r="NKJ43" s="1044"/>
      <c r="NKK43" s="1044"/>
      <c r="NKL43" s="1044"/>
      <c r="NKM43" s="1044"/>
      <c r="NKN43" s="1044"/>
      <c r="NKO43" s="1044"/>
      <c r="NKP43" s="1044"/>
      <c r="NKQ43" s="1044"/>
      <c r="NKR43" s="1044"/>
      <c r="NKS43" s="1044"/>
      <c r="NKT43" s="1044"/>
      <c r="NKU43" s="1044"/>
      <c r="NKV43" s="1044"/>
      <c r="NKW43" s="1044"/>
      <c r="NKX43" s="1044"/>
      <c r="NKY43" s="1044"/>
      <c r="NKZ43" s="1044"/>
      <c r="NLA43" s="1044"/>
      <c r="NLB43" s="1044"/>
      <c r="NLC43" s="1044"/>
      <c r="NLD43" s="1044"/>
      <c r="NLE43" s="1044"/>
      <c r="NLF43" s="1044"/>
      <c r="NLG43" s="1044"/>
      <c r="NLH43" s="1044"/>
      <c r="NLI43" s="1044"/>
      <c r="NLJ43" s="1044"/>
      <c r="NLK43" s="1044"/>
      <c r="NLL43" s="1044"/>
      <c r="NLM43" s="1044"/>
      <c r="NLN43" s="1044"/>
      <c r="NLO43" s="1044"/>
      <c r="NLP43" s="1044"/>
      <c r="NLQ43" s="1044"/>
      <c r="NLR43" s="1044"/>
      <c r="NLS43" s="1044"/>
      <c r="NLT43" s="1044"/>
      <c r="NLU43" s="1044"/>
      <c r="NLV43" s="1044"/>
      <c r="NLW43" s="1044"/>
      <c r="NLX43" s="1044"/>
      <c r="NLY43" s="1044"/>
      <c r="NLZ43" s="1044"/>
      <c r="NMA43" s="1044"/>
      <c r="NMB43" s="1044"/>
      <c r="NMC43" s="1044"/>
      <c r="NMD43" s="1044"/>
      <c r="NME43" s="1044"/>
      <c r="NMF43" s="1044"/>
      <c r="NMG43" s="1044"/>
      <c r="NMH43" s="1044"/>
      <c r="NMI43" s="1044"/>
      <c r="NMJ43" s="1044"/>
      <c r="NMK43" s="1044"/>
      <c r="NML43" s="1044"/>
      <c r="NMM43" s="1044"/>
      <c r="NMN43" s="1044"/>
      <c r="NMO43" s="1044"/>
      <c r="NMP43" s="1044"/>
      <c r="NMQ43" s="1044"/>
      <c r="NMR43" s="1044"/>
      <c r="NMS43" s="1044"/>
      <c r="NMT43" s="1044"/>
      <c r="NMU43" s="1044"/>
      <c r="NMV43" s="1044"/>
      <c r="NMW43" s="1044"/>
      <c r="NMX43" s="1044"/>
      <c r="NMY43" s="1044"/>
      <c r="NMZ43" s="1044"/>
      <c r="NNA43" s="1044"/>
      <c r="NNB43" s="1044"/>
      <c r="NNC43" s="1044"/>
      <c r="NND43" s="1044"/>
      <c r="NNE43" s="1044"/>
      <c r="NNF43" s="1044"/>
      <c r="NNG43" s="1044"/>
      <c r="NNH43" s="1044"/>
      <c r="NNI43" s="1044"/>
      <c r="NNJ43" s="1044"/>
      <c r="NNK43" s="1044"/>
      <c r="NNL43" s="1044"/>
      <c r="NNM43" s="1044"/>
      <c r="NNN43" s="1044"/>
      <c r="NNO43" s="1044"/>
      <c r="NNP43" s="1044"/>
      <c r="NNQ43" s="1044"/>
      <c r="NNR43" s="1044"/>
      <c r="NNS43" s="1044"/>
      <c r="NNT43" s="1044"/>
      <c r="NNU43" s="1044"/>
      <c r="NNV43" s="1044"/>
      <c r="NNW43" s="1044"/>
      <c r="NNX43" s="1044"/>
      <c r="NNY43" s="1044"/>
      <c r="NNZ43" s="1044"/>
      <c r="NOA43" s="1044"/>
      <c r="NOB43" s="1044"/>
      <c r="NOC43" s="1044"/>
      <c r="NOD43" s="1044"/>
      <c r="NOE43" s="1044"/>
      <c r="NOF43" s="1044"/>
      <c r="NOG43" s="1044"/>
      <c r="NOH43" s="1044"/>
      <c r="NOI43" s="1044"/>
      <c r="NOJ43" s="1044"/>
      <c r="NOK43" s="1044"/>
      <c r="NOL43" s="1044"/>
      <c r="NOM43" s="1044"/>
      <c r="NON43" s="1044"/>
      <c r="NOO43" s="1044"/>
      <c r="NOP43" s="1044"/>
      <c r="NOQ43" s="1044"/>
      <c r="NOR43" s="1044"/>
      <c r="NOS43" s="1044"/>
      <c r="NOT43" s="1044"/>
      <c r="NOU43" s="1044"/>
      <c r="NOV43" s="1044"/>
      <c r="NOW43" s="1044"/>
      <c r="NOX43" s="1044"/>
      <c r="NOY43" s="1044"/>
      <c r="NOZ43" s="1044"/>
      <c r="NPA43" s="1044"/>
      <c r="NPB43" s="1044"/>
      <c r="NPC43" s="1044"/>
      <c r="NPD43" s="1044"/>
      <c r="NPE43" s="1044"/>
      <c r="NPF43" s="1044"/>
      <c r="NPG43" s="1044"/>
      <c r="NPH43" s="1044"/>
      <c r="NPI43" s="1044"/>
      <c r="NPJ43" s="1044"/>
      <c r="NPK43" s="1044"/>
      <c r="NPL43" s="1044"/>
      <c r="NPM43" s="1044"/>
      <c r="NPN43" s="1044"/>
      <c r="NPO43" s="1044"/>
      <c r="NPP43" s="1044"/>
      <c r="NPQ43" s="1044"/>
      <c r="NPR43" s="1044"/>
      <c r="NPS43" s="1044"/>
      <c r="NPT43" s="1044"/>
      <c r="NPU43" s="1044"/>
      <c r="NPV43" s="1044"/>
      <c r="NPW43" s="1044"/>
      <c r="NPX43" s="1044"/>
      <c r="NPY43" s="1044"/>
      <c r="NPZ43" s="1044"/>
      <c r="NQA43" s="1044"/>
      <c r="NQB43" s="1044"/>
      <c r="NQC43" s="1044"/>
      <c r="NQD43" s="1044"/>
      <c r="NQE43" s="1044"/>
      <c r="NQF43" s="1044"/>
      <c r="NQG43" s="1044"/>
      <c r="NQH43" s="1044"/>
      <c r="NQI43" s="1044"/>
      <c r="NQJ43" s="1044"/>
      <c r="NQK43" s="1044"/>
      <c r="NQL43" s="1044"/>
      <c r="NQM43" s="1044"/>
      <c r="NQN43" s="1044"/>
      <c r="NQO43" s="1044"/>
      <c r="NQP43" s="1044"/>
      <c r="NQQ43" s="1044"/>
      <c r="NQR43" s="1044"/>
      <c r="NQS43" s="1044"/>
      <c r="NQT43" s="1044"/>
      <c r="NQU43" s="1044"/>
      <c r="NQV43" s="1044"/>
      <c r="NQW43" s="1044"/>
      <c r="NQX43" s="1044"/>
      <c r="NQY43" s="1044"/>
      <c r="NQZ43" s="1044"/>
      <c r="NRA43" s="1044"/>
      <c r="NRB43" s="1044"/>
      <c r="NRC43" s="1044"/>
      <c r="NRD43" s="1044"/>
      <c r="NRE43" s="1044"/>
      <c r="NRF43" s="1044"/>
      <c r="NRG43" s="1044"/>
      <c r="NRH43" s="1044"/>
      <c r="NRI43" s="1044"/>
      <c r="NRJ43" s="1044"/>
      <c r="NRK43" s="1044"/>
      <c r="NRL43" s="1044"/>
      <c r="NRM43" s="1044"/>
      <c r="NRN43" s="1044"/>
      <c r="NRO43" s="1044"/>
      <c r="NRP43" s="1044"/>
      <c r="NRQ43" s="1044"/>
      <c r="NRR43" s="1044"/>
      <c r="NRS43" s="1044"/>
      <c r="NRT43" s="1044"/>
      <c r="NRU43" s="1044"/>
      <c r="NRV43" s="1044"/>
      <c r="NRW43" s="1044"/>
      <c r="NRX43" s="1044"/>
      <c r="NRY43" s="1044"/>
      <c r="NRZ43" s="1044"/>
      <c r="NSA43" s="1044"/>
      <c r="NSB43" s="1044"/>
      <c r="NSC43" s="1044"/>
      <c r="NSD43" s="1044"/>
      <c r="NSE43" s="1044"/>
      <c r="NSF43" s="1044"/>
      <c r="NSG43" s="1044"/>
      <c r="NSH43" s="1044"/>
      <c r="NSI43" s="1044"/>
      <c r="NSJ43" s="1044"/>
      <c r="NSK43" s="1044"/>
      <c r="NSL43" s="1044"/>
      <c r="NSM43" s="1044"/>
      <c r="NSN43" s="1044"/>
      <c r="NSO43" s="1044"/>
      <c r="NSP43" s="1044"/>
      <c r="NSQ43" s="1044"/>
      <c r="NSR43" s="1044"/>
      <c r="NSS43" s="1044"/>
      <c r="NST43" s="1044"/>
      <c r="NSU43" s="1044"/>
      <c r="NSV43" s="1044"/>
      <c r="NSW43" s="1044"/>
      <c r="NSX43" s="1044"/>
      <c r="NSY43" s="1044"/>
      <c r="NSZ43" s="1044"/>
      <c r="NTA43" s="1044"/>
      <c r="NTB43" s="1044"/>
      <c r="NTC43" s="1044"/>
      <c r="NTD43" s="1044"/>
      <c r="NTE43" s="1044"/>
      <c r="NTF43" s="1044"/>
      <c r="NTG43" s="1044"/>
      <c r="NTH43" s="1044"/>
      <c r="NTI43" s="1044"/>
      <c r="NTJ43" s="1044"/>
      <c r="NTK43" s="1044"/>
      <c r="NTL43" s="1044"/>
      <c r="NTM43" s="1044"/>
      <c r="NTN43" s="1044"/>
      <c r="NTO43" s="1044"/>
      <c r="NTP43" s="1044"/>
      <c r="NTQ43" s="1044"/>
      <c r="NTR43" s="1044"/>
      <c r="NTS43" s="1044"/>
      <c r="NTT43" s="1044"/>
      <c r="NTU43" s="1044"/>
      <c r="NTV43" s="1044"/>
      <c r="NTW43" s="1044"/>
      <c r="NTX43" s="1044"/>
      <c r="NTY43" s="1044"/>
      <c r="NTZ43" s="1044"/>
      <c r="NUA43" s="1044"/>
      <c r="NUB43" s="1044"/>
      <c r="NUC43" s="1044"/>
      <c r="NUD43" s="1044"/>
      <c r="NUE43" s="1044"/>
      <c r="NUF43" s="1044"/>
      <c r="NUG43" s="1044"/>
      <c r="NUH43" s="1044"/>
      <c r="NUI43" s="1044"/>
      <c r="NUJ43" s="1044"/>
      <c r="NUK43" s="1044"/>
      <c r="NUL43" s="1044"/>
      <c r="NUM43" s="1044"/>
      <c r="NUN43" s="1044"/>
      <c r="NUO43" s="1044"/>
      <c r="NUP43" s="1044"/>
      <c r="NUQ43" s="1044"/>
      <c r="NUR43" s="1044"/>
      <c r="NUS43" s="1044"/>
      <c r="NUT43" s="1044"/>
      <c r="NUU43" s="1044"/>
      <c r="NUV43" s="1044"/>
      <c r="NUW43" s="1044"/>
      <c r="NUX43" s="1044"/>
      <c r="NUY43" s="1044"/>
      <c r="NUZ43" s="1044"/>
      <c r="NVA43" s="1044"/>
      <c r="NVB43" s="1044"/>
      <c r="NVC43" s="1044"/>
      <c r="NVD43" s="1044"/>
      <c r="NVE43" s="1044"/>
      <c r="NVF43" s="1044"/>
      <c r="NVG43" s="1044"/>
      <c r="NVH43" s="1044"/>
      <c r="NVI43" s="1044"/>
      <c r="NVJ43" s="1044"/>
      <c r="NVK43" s="1044"/>
      <c r="NVL43" s="1044"/>
      <c r="NVM43" s="1044"/>
      <c r="NVN43" s="1044"/>
      <c r="NVO43" s="1044"/>
      <c r="NVP43" s="1044"/>
      <c r="NVQ43" s="1044"/>
      <c r="NVR43" s="1044"/>
      <c r="NVS43" s="1044"/>
      <c r="NVT43" s="1044"/>
      <c r="NVU43" s="1044"/>
      <c r="NVV43" s="1044"/>
      <c r="NVW43" s="1044"/>
      <c r="NVX43" s="1044"/>
      <c r="NVY43" s="1044"/>
      <c r="NVZ43" s="1044"/>
      <c r="NWA43" s="1044"/>
      <c r="NWB43" s="1044"/>
      <c r="NWC43" s="1044"/>
      <c r="NWD43" s="1044"/>
      <c r="NWE43" s="1044"/>
      <c r="NWF43" s="1044"/>
      <c r="NWG43" s="1044"/>
      <c r="NWH43" s="1044"/>
      <c r="NWI43" s="1044"/>
      <c r="NWJ43" s="1044"/>
      <c r="NWK43" s="1044"/>
      <c r="NWL43" s="1044"/>
      <c r="NWM43" s="1044"/>
      <c r="NWN43" s="1044"/>
      <c r="NWO43" s="1044"/>
      <c r="NWP43" s="1044"/>
      <c r="NWQ43" s="1044"/>
      <c r="NWR43" s="1044"/>
      <c r="NWS43" s="1044"/>
      <c r="NWT43" s="1044"/>
      <c r="NWU43" s="1044"/>
      <c r="NWV43" s="1044"/>
      <c r="NWW43" s="1044"/>
      <c r="NWX43" s="1044"/>
      <c r="NWY43" s="1044"/>
      <c r="NWZ43" s="1044"/>
      <c r="NXA43" s="1044"/>
      <c r="NXB43" s="1044"/>
      <c r="NXC43" s="1044"/>
      <c r="NXD43" s="1044"/>
      <c r="NXE43" s="1044"/>
      <c r="NXF43" s="1044"/>
      <c r="NXG43" s="1044"/>
      <c r="NXH43" s="1044"/>
      <c r="NXI43" s="1044"/>
      <c r="NXJ43" s="1044"/>
      <c r="NXK43" s="1044"/>
      <c r="NXL43" s="1044"/>
      <c r="NXM43" s="1044"/>
      <c r="NXN43" s="1044"/>
      <c r="NXO43" s="1044"/>
      <c r="NXP43" s="1044"/>
      <c r="NXQ43" s="1044"/>
      <c r="NXR43" s="1044"/>
      <c r="NXS43" s="1044"/>
      <c r="NXT43" s="1044"/>
      <c r="NXU43" s="1044"/>
      <c r="NXV43" s="1044"/>
      <c r="NXW43" s="1044"/>
      <c r="NXX43" s="1044"/>
      <c r="NXY43" s="1044"/>
      <c r="NXZ43" s="1044"/>
      <c r="NYA43" s="1044"/>
      <c r="NYB43" s="1044"/>
      <c r="NYC43" s="1044"/>
      <c r="NYD43" s="1044"/>
      <c r="NYE43" s="1044"/>
      <c r="NYF43" s="1044"/>
      <c r="NYG43" s="1044"/>
      <c r="NYH43" s="1044"/>
      <c r="NYI43" s="1044"/>
      <c r="NYJ43" s="1044"/>
      <c r="NYK43" s="1044"/>
      <c r="NYL43" s="1044"/>
      <c r="NYM43" s="1044"/>
      <c r="NYN43" s="1044"/>
      <c r="NYO43" s="1044"/>
      <c r="NYP43" s="1044"/>
      <c r="NYQ43" s="1044"/>
      <c r="NYR43" s="1044"/>
      <c r="NYS43" s="1044"/>
      <c r="NYT43" s="1044"/>
      <c r="NYU43" s="1044"/>
      <c r="NYV43" s="1044"/>
      <c r="NYW43" s="1044"/>
      <c r="NYX43" s="1044"/>
      <c r="NYY43" s="1044"/>
      <c r="NYZ43" s="1044"/>
      <c r="NZA43" s="1044"/>
      <c r="NZB43" s="1044"/>
      <c r="NZC43" s="1044"/>
      <c r="NZD43" s="1044"/>
      <c r="NZE43" s="1044"/>
      <c r="NZF43" s="1044"/>
      <c r="NZG43" s="1044"/>
      <c r="NZH43" s="1044"/>
      <c r="NZI43" s="1044"/>
      <c r="NZJ43" s="1044"/>
      <c r="NZK43" s="1044"/>
      <c r="NZL43" s="1044"/>
      <c r="NZM43" s="1044"/>
      <c r="NZN43" s="1044"/>
      <c r="NZO43" s="1044"/>
      <c r="NZP43" s="1044"/>
      <c r="NZQ43" s="1044"/>
      <c r="NZR43" s="1044"/>
      <c r="NZS43" s="1044"/>
      <c r="NZT43" s="1044"/>
      <c r="NZU43" s="1044"/>
      <c r="NZV43" s="1044"/>
      <c r="NZW43" s="1044"/>
      <c r="NZX43" s="1044"/>
      <c r="NZY43" s="1044"/>
      <c r="NZZ43" s="1044"/>
      <c r="OAA43" s="1044"/>
      <c r="OAB43" s="1044"/>
      <c r="OAC43" s="1044"/>
      <c r="OAD43" s="1044"/>
      <c r="OAE43" s="1044"/>
      <c r="OAF43" s="1044"/>
      <c r="OAG43" s="1044"/>
      <c r="OAH43" s="1044"/>
      <c r="OAI43" s="1044"/>
      <c r="OAJ43" s="1044"/>
      <c r="OAK43" s="1044"/>
      <c r="OAL43" s="1044"/>
      <c r="OAM43" s="1044"/>
      <c r="OAN43" s="1044"/>
      <c r="OAO43" s="1044"/>
      <c r="OAP43" s="1044"/>
      <c r="OAQ43" s="1044"/>
      <c r="OAR43" s="1044"/>
      <c r="OAS43" s="1044"/>
      <c r="OAT43" s="1044"/>
      <c r="OAU43" s="1044"/>
      <c r="OAV43" s="1044"/>
      <c r="OAW43" s="1044"/>
      <c r="OAX43" s="1044"/>
      <c r="OAY43" s="1044"/>
      <c r="OAZ43" s="1044"/>
      <c r="OBA43" s="1044"/>
      <c r="OBB43" s="1044"/>
      <c r="OBC43" s="1044"/>
      <c r="OBD43" s="1044"/>
      <c r="OBE43" s="1044"/>
      <c r="OBF43" s="1044"/>
      <c r="OBG43" s="1044"/>
      <c r="OBH43" s="1044"/>
      <c r="OBI43" s="1044"/>
      <c r="OBJ43" s="1044"/>
      <c r="OBK43" s="1044"/>
      <c r="OBL43" s="1044"/>
      <c r="OBM43" s="1044"/>
      <c r="OBN43" s="1044"/>
      <c r="OBO43" s="1044"/>
      <c r="OBP43" s="1044"/>
      <c r="OBQ43" s="1044"/>
      <c r="OBR43" s="1044"/>
      <c r="OBS43" s="1044"/>
      <c r="OBT43" s="1044"/>
      <c r="OBU43" s="1044"/>
      <c r="OBV43" s="1044"/>
      <c r="OBW43" s="1044"/>
      <c r="OBX43" s="1044"/>
      <c r="OBY43" s="1044"/>
      <c r="OBZ43" s="1044"/>
      <c r="OCA43" s="1044"/>
      <c r="OCB43" s="1044"/>
      <c r="OCC43" s="1044"/>
      <c r="OCD43" s="1044"/>
      <c r="OCE43" s="1044"/>
      <c r="OCF43" s="1044"/>
      <c r="OCG43" s="1044"/>
      <c r="OCH43" s="1044"/>
      <c r="OCI43" s="1044"/>
      <c r="OCJ43" s="1044"/>
      <c r="OCK43" s="1044"/>
      <c r="OCL43" s="1044"/>
      <c r="OCM43" s="1044"/>
      <c r="OCN43" s="1044"/>
      <c r="OCO43" s="1044"/>
      <c r="OCP43" s="1044"/>
      <c r="OCQ43" s="1044"/>
      <c r="OCR43" s="1044"/>
      <c r="OCS43" s="1044"/>
      <c r="OCT43" s="1044"/>
      <c r="OCU43" s="1044"/>
      <c r="OCV43" s="1044"/>
      <c r="OCW43" s="1044"/>
      <c r="OCX43" s="1044"/>
      <c r="OCY43" s="1044"/>
      <c r="OCZ43" s="1044"/>
      <c r="ODA43" s="1044"/>
      <c r="ODB43" s="1044"/>
      <c r="ODC43" s="1044"/>
      <c r="ODD43" s="1044"/>
      <c r="ODE43" s="1044"/>
      <c r="ODF43" s="1044"/>
      <c r="ODG43" s="1044"/>
      <c r="ODH43" s="1044"/>
      <c r="ODI43" s="1044"/>
      <c r="ODJ43" s="1044"/>
      <c r="ODK43" s="1044"/>
      <c r="ODL43" s="1044"/>
      <c r="ODM43" s="1044"/>
      <c r="ODN43" s="1044"/>
      <c r="ODO43" s="1044"/>
      <c r="ODP43" s="1044"/>
      <c r="ODQ43" s="1044"/>
      <c r="ODR43" s="1044"/>
      <c r="ODS43" s="1044"/>
      <c r="ODT43" s="1044"/>
      <c r="ODU43" s="1044"/>
      <c r="ODV43" s="1044"/>
      <c r="ODW43" s="1044"/>
      <c r="ODX43" s="1044"/>
      <c r="ODY43" s="1044"/>
      <c r="ODZ43" s="1044"/>
      <c r="OEA43" s="1044"/>
      <c r="OEB43" s="1044"/>
      <c r="OEC43" s="1044"/>
      <c r="OED43" s="1044"/>
      <c r="OEE43" s="1044"/>
      <c r="OEF43" s="1044"/>
      <c r="OEG43" s="1044"/>
      <c r="OEH43" s="1044"/>
      <c r="OEI43" s="1044"/>
      <c r="OEJ43" s="1044"/>
      <c r="OEK43" s="1044"/>
      <c r="OEL43" s="1044"/>
      <c r="OEM43" s="1044"/>
      <c r="OEN43" s="1044"/>
      <c r="OEO43" s="1044"/>
      <c r="OEP43" s="1044"/>
      <c r="OEQ43" s="1044"/>
      <c r="OER43" s="1044"/>
      <c r="OES43" s="1044"/>
      <c r="OET43" s="1044"/>
      <c r="OEU43" s="1044"/>
      <c r="OEV43" s="1044"/>
      <c r="OEW43" s="1044"/>
      <c r="OEX43" s="1044"/>
      <c r="OEY43" s="1044"/>
      <c r="OEZ43" s="1044"/>
      <c r="OFA43" s="1044"/>
      <c r="OFB43" s="1044"/>
      <c r="OFC43" s="1044"/>
      <c r="OFD43" s="1044"/>
      <c r="OFE43" s="1044"/>
      <c r="OFF43" s="1044"/>
      <c r="OFG43" s="1044"/>
      <c r="OFH43" s="1044"/>
      <c r="OFI43" s="1044"/>
      <c r="OFJ43" s="1044"/>
      <c r="OFK43" s="1044"/>
      <c r="OFL43" s="1044"/>
      <c r="OFM43" s="1044"/>
      <c r="OFN43" s="1044"/>
      <c r="OFO43" s="1044"/>
      <c r="OFP43" s="1044"/>
      <c r="OFQ43" s="1044"/>
      <c r="OFR43" s="1044"/>
      <c r="OFS43" s="1044"/>
      <c r="OFT43" s="1044"/>
      <c r="OFU43" s="1044"/>
      <c r="OFV43" s="1044"/>
      <c r="OFW43" s="1044"/>
      <c r="OFX43" s="1044"/>
      <c r="OFY43" s="1044"/>
      <c r="OFZ43" s="1044"/>
      <c r="OGA43" s="1044"/>
      <c r="OGB43" s="1044"/>
      <c r="OGC43" s="1044"/>
      <c r="OGD43" s="1044"/>
      <c r="OGE43" s="1044"/>
      <c r="OGF43" s="1044"/>
      <c r="OGG43" s="1044"/>
      <c r="OGH43" s="1044"/>
      <c r="OGI43" s="1044"/>
      <c r="OGJ43" s="1044"/>
      <c r="OGK43" s="1044"/>
      <c r="OGL43" s="1044"/>
      <c r="OGM43" s="1044"/>
      <c r="OGN43" s="1044"/>
      <c r="OGO43" s="1044"/>
      <c r="OGP43" s="1044"/>
      <c r="OGQ43" s="1044"/>
      <c r="OGR43" s="1044"/>
      <c r="OGS43" s="1044"/>
      <c r="OGT43" s="1044"/>
      <c r="OGU43" s="1044"/>
      <c r="OGV43" s="1044"/>
      <c r="OGW43" s="1044"/>
      <c r="OGX43" s="1044"/>
      <c r="OGY43" s="1044"/>
      <c r="OGZ43" s="1044"/>
      <c r="OHA43" s="1044"/>
      <c r="OHB43" s="1044"/>
      <c r="OHC43" s="1044"/>
      <c r="OHD43" s="1044"/>
      <c r="OHE43" s="1044"/>
      <c r="OHF43" s="1044"/>
      <c r="OHG43" s="1044"/>
      <c r="OHH43" s="1044"/>
      <c r="OHI43" s="1044"/>
      <c r="OHJ43" s="1044"/>
      <c r="OHK43" s="1044"/>
      <c r="OHL43" s="1044"/>
      <c r="OHM43" s="1044"/>
      <c r="OHN43" s="1044"/>
      <c r="OHO43" s="1044"/>
      <c r="OHP43" s="1044"/>
      <c r="OHQ43" s="1044"/>
      <c r="OHR43" s="1044"/>
      <c r="OHS43" s="1044"/>
      <c r="OHT43" s="1044"/>
      <c r="OHU43" s="1044"/>
      <c r="OHV43" s="1044"/>
      <c r="OHW43" s="1044"/>
      <c r="OHX43" s="1044"/>
      <c r="OHY43" s="1044"/>
      <c r="OHZ43" s="1044"/>
      <c r="OIA43" s="1044"/>
      <c r="OIB43" s="1044"/>
      <c r="OIC43" s="1044"/>
      <c r="OID43" s="1044"/>
      <c r="OIE43" s="1044"/>
      <c r="OIF43" s="1044"/>
      <c r="OIG43" s="1044"/>
      <c r="OIH43" s="1044"/>
      <c r="OII43" s="1044"/>
      <c r="OIJ43" s="1044"/>
      <c r="OIK43" s="1044"/>
      <c r="OIL43" s="1044"/>
      <c r="OIM43" s="1044"/>
      <c r="OIN43" s="1044"/>
      <c r="OIO43" s="1044"/>
      <c r="OIP43" s="1044"/>
      <c r="OIQ43" s="1044"/>
      <c r="OIR43" s="1044"/>
      <c r="OIS43" s="1044"/>
      <c r="OIT43" s="1044"/>
      <c r="OIU43" s="1044"/>
      <c r="OIV43" s="1044"/>
      <c r="OIW43" s="1044"/>
      <c r="OIX43" s="1044"/>
      <c r="OIY43" s="1044"/>
      <c r="OIZ43" s="1044"/>
      <c r="OJA43" s="1044"/>
      <c r="OJB43" s="1044"/>
      <c r="OJC43" s="1044"/>
      <c r="OJD43" s="1044"/>
      <c r="OJE43" s="1044"/>
      <c r="OJF43" s="1044"/>
      <c r="OJG43" s="1044"/>
      <c r="OJH43" s="1044"/>
      <c r="OJI43" s="1044"/>
      <c r="OJJ43" s="1044"/>
      <c r="OJK43" s="1044"/>
      <c r="OJL43" s="1044"/>
      <c r="OJM43" s="1044"/>
      <c r="OJN43" s="1044"/>
      <c r="OJO43" s="1044"/>
      <c r="OJP43" s="1044"/>
      <c r="OJQ43" s="1044"/>
      <c r="OJR43" s="1044"/>
      <c r="OJS43" s="1044"/>
      <c r="OJT43" s="1044"/>
      <c r="OJU43" s="1044"/>
      <c r="OJV43" s="1044"/>
      <c r="OJW43" s="1044"/>
      <c r="OJX43" s="1044"/>
      <c r="OJY43" s="1044"/>
      <c r="OJZ43" s="1044"/>
      <c r="OKA43" s="1044"/>
      <c r="OKB43" s="1044"/>
      <c r="OKC43" s="1044"/>
      <c r="OKD43" s="1044"/>
      <c r="OKE43" s="1044"/>
      <c r="OKF43" s="1044"/>
      <c r="OKG43" s="1044"/>
      <c r="OKH43" s="1044"/>
      <c r="OKI43" s="1044"/>
      <c r="OKJ43" s="1044"/>
      <c r="OKK43" s="1044"/>
      <c r="OKL43" s="1044"/>
      <c r="OKM43" s="1044"/>
      <c r="OKN43" s="1044"/>
      <c r="OKO43" s="1044"/>
      <c r="OKP43" s="1044"/>
      <c r="OKQ43" s="1044"/>
      <c r="OKR43" s="1044"/>
      <c r="OKS43" s="1044"/>
      <c r="OKT43" s="1044"/>
      <c r="OKU43" s="1044"/>
      <c r="OKV43" s="1044"/>
      <c r="OKW43" s="1044"/>
      <c r="OKX43" s="1044"/>
      <c r="OKY43" s="1044"/>
      <c r="OKZ43" s="1044"/>
      <c r="OLA43" s="1044"/>
      <c r="OLB43" s="1044"/>
      <c r="OLC43" s="1044"/>
      <c r="OLD43" s="1044"/>
      <c r="OLE43" s="1044"/>
      <c r="OLF43" s="1044"/>
      <c r="OLG43" s="1044"/>
      <c r="OLH43" s="1044"/>
      <c r="OLI43" s="1044"/>
      <c r="OLJ43" s="1044"/>
      <c r="OLK43" s="1044"/>
      <c r="OLL43" s="1044"/>
      <c r="OLM43" s="1044"/>
      <c r="OLN43" s="1044"/>
      <c r="OLO43" s="1044"/>
      <c r="OLP43" s="1044"/>
      <c r="OLQ43" s="1044"/>
      <c r="OLR43" s="1044"/>
      <c r="OLS43" s="1044"/>
      <c r="OLT43" s="1044"/>
      <c r="OLU43" s="1044"/>
      <c r="OLV43" s="1044"/>
      <c r="OLW43" s="1044"/>
      <c r="OLX43" s="1044"/>
      <c r="OLY43" s="1044"/>
      <c r="OLZ43" s="1044"/>
      <c r="OMA43" s="1044"/>
      <c r="OMB43" s="1044"/>
      <c r="OMC43" s="1044"/>
      <c r="OMD43" s="1044"/>
      <c r="OME43" s="1044"/>
      <c r="OMF43" s="1044"/>
      <c r="OMG43" s="1044"/>
      <c r="OMH43" s="1044"/>
      <c r="OMI43" s="1044"/>
      <c r="OMJ43" s="1044"/>
      <c r="OMK43" s="1044"/>
      <c r="OML43" s="1044"/>
      <c r="OMM43" s="1044"/>
      <c r="OMN43" s="1044"/>
      <c r="OMO43" s="1044"/>
      <c r="OMP43" s="1044"/>
      <c r="OMQ43" s="1044"/>
      <c r="OMR43" s="1044"/>
      <c r="OMS43" s="1044"/>
      <c r="OMT43" s="1044"/>
      <c r="OMU43" s="1044"/>
      <c r="OMV43" s="1044"/>
      <c r="OMW43" s="1044"/>
      <c r="OMX43" s="1044"/>
      <c r="OMY43" s="1044"/>
      <c r="OMZ43" s="1044"/>
      <c r="ONA43" s="1044"/>
      <c r="ONB43" s="1044"/>
      <c r="ONC43" s="1044"/>
      <c r="OND43" s="1044"/>
      <c r="ONE43" s="1044"/>
      <c r="ONF43" s="1044"/>
      <c r="ONG43" s="1044"/>
      <c r="ONH43" s="1044"/>
      <c r="ONI43" s="1044"/>
      <c r="ONJ43" s="1044"/>
      <c r="ONK43" s="1044"/>
      <c r="ONL43" s="1044"/>
      <c r="ONM43" s="1044"/>
      <c r="ONN43" s="1044"/>
      <c r="ONO43" s="1044"/>
      <c r="ONP43" s="1044"/>
      <c r="ONQ43" s="1044"/>
      <c r="ONR43" s="1044"/>
      <c r="ONS43" s="1044"/>
      <c r="ONT43" s="1044"/>
      <c r="ONU43" s="1044"/>
      <c r="ONV43" s="1044"/>
      <c r="ONW43" s="1044"/>
      <c r="ONX43" s="1044"/>
      <c r="ONY43" s="1044"/>
      <c r="ONZ43" s="1044"/>
      <c r="OOA43" s="1044"/>
      <c r="OOB43" s="1044"/>
      <c r="OOC43" s="1044"/>
      <c r="OOD43" s="1044"/>
      <c r="OOE43" s="1044"/>
      <c r="OOF43" s="1044"/>
      <c r="OOG43" s="1044"/>
      <c r="OOH43" s="1044"/>
      <c r="OOI43" s="1044"/>
      <c r="OOJ43" s="1044"/>
      <c r="OOK43" s="1044"/>
      <c r="OOL43" s="1044"/>
      <c r="OOM43" s="1044"/>
      <c r="OON43" s="1044"/>
      <c r="OOO43" s="1044"/>
      <c r="OOP43" s="1044"/>
      <c r="OOQ43" s="1044"/>
      <c r="OOR43" s="1044"/>
      <c r="OOS43" s="1044"/>
      <c r="OOT43" s="1044"/>
      <c r="OOU43" s="1044"/>
      <c r="OOV43" s="1044"/>
      <c r="OOW43" s="1044"/>
      <c r="OOX43" s="1044"/>
      <c r="OOY43" s="1044"/>
      <c r="OOZ43" s="1044"/>
      <c r="OPA43" s="1044"/>
      <c r="OPB43" s="1044"/>
      <c r="OPC43" s="1044"/>
      <c r="OPD43" s="1044"/>
      <c r="OPE43" s="1044"/>
      <c r="OPF43" s="1044"/>
      <c r="OPG43" s="1044"/>
      <c r="OPH43" s="1044"/>
      <c r="OPI43" s="1044"/>
      <c r="OPJ43" s="1044"/>
      <c r="OPK43" s="1044"/>
      <c r="OPL43" s="1044"/>
      <c r="OPM43" s="1044"/>
      <c r="OPN43" s="1044"/>
      <c r="OPO43" s="1044"/>
      <c r="OPP43" s="1044"/>
      <c r="OPQ43" s="1044"/>
      <c r="OPR43" s="1044"/>
      <c r="OPS43" s="1044"/>
      <c r="OPT43" s="1044"/>
      <c r="OPU43" s="1044"/>
      <c r="OPV43" s="1044"/>
      <c r="OPW43" s="1044"/>
      <c r="OPX43" s="1044"/>
      <c r="OPY43" s="1044"/>
      <c r="OPZ43" s="1044"/>
      <c r="OQA43" s="1044"/>
      <c r="OQB43" s="1044"/>
      <c r="OQC43" s="1044"/>
      <c r="OQD43" s="1044"/>
      <c r="OQE43" s="1044"/>
      <c r="OQF43" s="1044"/>
      <c r="OQG43" s="1044"/>
      <c r="OQH43" s="1044"/>
      <c r="OQI43" s="1044"/>
      <c r="OQJ43" s="1044"/>
      <c r="OQK43" s="1044"/>
      <c r="OQL43" s="1044"/>
      <c r="OQM43" s="1044"/>
      <c r="OQN43" s="1044"/>
      <c r="OQO43" s="1044"/>
      <c r="OQP43" s="1044"/>
      <c r="OQQ43" s="1044"/>
      <c r="OQR43" s="1044"/>
      <c r="OQS43" s="1044"/>
      <c r="OQT43" s="1044"/>
      <c r="OQU43" s="1044"/>
      <c r="OQV43" s="1044"/>
      <c r="OQW43" s="1044"/>
      <c r="OQX43" s="1044"/>
      <c r="OQY43" s="1044"/>
      <c r="OQZ43" s="1044"/>
      <c r="ORA43" s="1044"/>
      <c r="ORB43" s="1044"/>
      <c r="ORC43" s="1044"/>
      <c r="ORD43" s="1044"/>
      <c r="ORE43" s="1044"/>
      <c r="ORF43" s="1044"/>
      <c r="ORG43" s="1044"/>
      <c r="ORH43" s="1044"/>
      <c r="ORI43" s="1044"/>
      <c r="ORJ43" s="1044"/>
      <c r="ORK43" s="1044"/>
      <c r="ORL43" s="1044"/>
      <c r="ORM43" s="1044"/>
      <c r="ORN43" s="1044"/>
      <c r="ORO43" s="1044"/>
      <c r="ORP43" s="1044"/>
      <c r="ORQ43" s="1044"/>
      <c r="ORR43" s="1044"/>
      <c r="ORS43" s="1044"/>
      <c r="ORT43" s="1044"/>
      <c r="ORU43" s="1044"/>
      <c r="ORV43" s="1044"/>
      <c r="ORW43" s="1044"/>
      <c r="ORX43" s="1044"/>
      <c r="ORY43" s="1044"/>
      <c r="ORZ43" s="1044"/>
      <c r="OSA43" s="1044"/>
      <c r="OSB43" s="1044"/>
      <c r="OSC43" s="1044"/>
      <c r="OSD43" s="1044"/>
      <c r="OSE43" s="1044"/>
      <c r="OSF43" s="1044"/>
      <c r="OSG43" s="1044"/>
      <c r="OSH43" s="1044"/>
      <c r="OSI43" s="1044"/>
      <c r="OSJ43" s="1044"/>
      <c r="OSK43" s="1044"/>
      <c r="OSL43" s="1044"/>
      <c r="OSM43" s="1044"/>
      <c r="OSN43" s="1044"/>
      <c r="OSO43" s="1044"/>
      <c r="OSP43" s="1044"/>
      <c r="OSQ43" s="1044"/>
      <c r="OSR43" s="1044"/>
      <c r="OSS43" s="1044"/>
      <c r="OST43" s="1044"/>
      <c r="OSU43" s="1044"/>
      <c r="OSV43" s="1044"/>
      <c r="OSW43" s="1044"/>
      <c r="OSX43" s="1044"/>
      <c r="OSY43" s="1044"/>
      <c r="OSZ43" s="1044"/>
      <c r="OTA43" s="1044"/>
      <c r="OTB43" s="1044"/>
      <c r="OTC43" s="1044"/>
      <c r="OTD43" s="1044"/>
      <c r="OTE43" s="1044"/>
      <c r="OTF43" s="1044"/>
      <c r="OTG43" s="1044"/>
      <c r="OTH43" s="1044"/>
      <c r="OTI43" s="1044"/>
      <c r="OTJ43" s="1044"/>
      <c r="OTK43" s="1044"/>
      <c r="OTL43" s="1044"/>
      <c r="OTM43" s="1044"/>
      <c r="OTN43" s="1044"/>
      <c r="OTO43" s="1044"/>
      <c r="OTP43" s="1044"/>
      <c r="OTQ43" s="1044"/>
      <c r="OTR43" s="1044"/>
      <c r="OTS43" s="1044"/>
      <c r="OTT43" s="1044"/>
      <c r="OTU43" s="1044"/>
      <c r="OTV43" s="1044"/>
      <c r="OTW43" s="1044"/>
      <c r="OTX43" s="1044"/>
      <c r="OTY43" s="1044"/>
      <c r="OTZ43" s="1044"/>
      <c r="OUA43" s="1044"/>
      <c r="OUB43" s="1044"/>
      <c r="OUC43" s="1044"/>
      <c r="OUD43" s="1044"/>
      <c r="OUE43" s="1044"/>
      <c r="OUF43" s="1044"/>
      <c r="OUG43" s="1044"/>
      <c r="OUH43" s="1044"/>
      <c r="OUI43" s="1044"/>
      <c r="OUJ43" s="1044"/>
      <c r="OUK43" s="1044"/>
      <c r="OUL43" s="1044"/>
      <c r="OUM43" s="1044"/>
      <c r="OUN43" s="1044"/>
      <c r="OUO43" s="1044"/>
      <c r="OUP43" s="1044"/>
      <c r="OUQ43" s="1044"/>
      <c r="OUR43" s="1044"/>
      <c r="OUS43" s="1044"/>
      <c r="OUT43" s="1044"/>
      <c r="OUU43" s="1044"/>
      <c r="OUV43" s="1044"/>
      <c r="OUW43" s="1044"/>
      <c r="OUX43" s="1044"/>
      <c r="OUY43" s="1044"/>
      <c r="OUZ43" s="1044"/>
      <c r="OVA43" s="1044"/>
      <c r="OVB43" s="1044"/>
      <c r="OVC43" s="1044"/>
      <c r="OVD43" s="1044"/>
      <c r="OVE43" s="1044"/>
      <c r="OVF43" s="1044"/>
      <c r="OVG43" s="1044"/>
      <c r="OVH43" s="1044"/>
      <c r="OVI43" s="1044"/>
      <c r="OVJ43" s="1044"/>
      <c r="OVK43" s="1044"/>
      <c r="OVL43" s="1044"/>
      <c r="OVM43" s="1044"/>
      <c r="OVN43" s="1044"/>
      <c r="OVO43" s="1044"/>
      <c r="OVP43" s="1044"/>
      <c r="OVQ43" s="1044"/>
      <c r="OVR43" s="1044"/>
      <c r="OVS43" s="1044"/>
      <c r="OVT43" s="1044"/>
      <c r="OVU43" s="1044"/>
      <c r="OVV43" s="1044"/>
      <c r="OVW43" s="1044"/>
      <c r="OVX43" s="1044"/>
      <c r="OVY43" s="1044"/>
      <c r="OVZ43" s="1044"/>
      <c r="OWA43" s="1044"/>
      <c r="OWB43" s="1044"/>
      <c r="OWC43" s="1044"/>
      <c r="OWD43" s="1044"/>
      <c r="OWE43" s="1044"/>
      <c r="OWF43" s="1044"/>
      <c r="OWG43" s="1044"/>
      <c r="OWH43" s="1044"/>
      <c r="OWI43" s="1044"/>
      <c r="OWJ43" s="1044"/>
      <c r="OWK43" s="1044"/>
      <c r="OWL43" s="1044"/>
      <c r="OWM43" s="1044"/>
      <c r="OWN43" s="1044"/>
      <c r="OWO43" s="1044"/>
      <c r="OWP43" s="1044"/>
      <c r="OWQ43" s="1044"/>
      <c r="OWR43" s="1044"/>
      <c r="OWS43" s="1044"/>
      <c r="OWT43" s="1044"/>
      <c r="OWU43" s="1044"/>
      <c r="OWV43" s="1044"/>
      <c r="OWW43" s="1044"/>
      <c r="OWX43" s="1044"/>
      <c r="OWY43" s="1044"/>
      <c r="OWZ43" s="1044"/>
      <c r="OXA43" s="1044"/>
      <c r="OXB43" s="1044"/>
      <c r="OXC43" s="1044"/>
      <c r="OXD43" s="1044"/>
      <c r="OXE43" s="1044"/>
      <c r="OXF43" s="1044"/>
      <c r="OXG43" s="1044"/>
      <c r="OXH43" s="1044"/>
      <c r="OXI43" s="1044"/>
      <c r="OXJ43" s="1044"/>
      <c r="OXK43" s="1044"/>
      <c r="OXL43" s="1044"/>
      <c r="OXM43" s="1044"/>
      <c r="OXN43" s="1044"/>
      <c r="OXO43" s="1044"/>
      <c r="OXP43" s="1044"/>
      <c r="OXQ43" s="1044"/>
      <c r="OXR43" s="1044"/>
      <c r="OXS43" s="1044"/>
      <c r="OXT43" s="1044"/>
      <c r="OXU43" s="1044"/>
      <c r="OXV43" s="1044"/>
      <c r="OXW43" s="1044"/>
      <c r="OXX43" s="1044"/>
      <c r="OXY43" s="1044"/>
      <c r="OXZ43" s="1044"/>
      <c r="OYA43" s="1044"/>
      <c r="OYB43" s="1044"/>
      <c r="OYC43" s="1044"/>
      <c r="OYD43" s="1044"/>
      <c r="OYE43" s="1044"/>
      <c r="OYF43" s="1044"/>
      <c r="OYG43" s="1044"/>
      <c r="OYH43" s="1044"/>
      <c r="OYI43" s="1044"/>
      <c r="OYJ43" s="1044"/>
      <c r="OYK43" s="1044"/>
      <c r="OYL43" s="1044"/>
      <c r="OYM43" s="1044"/>
      <c r="OYN43" s="1044"/>
      <c r="OYO43" s="1044"/>
      <c r="OYP43" s="1044"/>
      <c r="OYQ43" s="1044"/>
      <c r="OYR43" s="1044"/>
      <c r="OYS43" s="1044"/>
      <c r="OYT43" s="1044"/>
      <c r="OYU43" s="1044"/>
      <c r="OYV43" s="1044"/>
      <c r="OYW43" s="1044"/>
      <c r="OYX43" s="1044"/>
      <c r="OYY43" s="1044"/>
      <c r="OYZ43" s="1044"/>
      <c r="OZA43" s="1044"/>
      <c r="OZB43" s="1044"/>
      <c r="OZC43" s="1044"/>
      <c r="OZD43" s="1044"/>
      <c r="OZE43" s="1044"/>
      <c r="OZF43" s="1044"/>
      <c r="OZG43" s="1044"/>
      <c r="OZH43" s="1044"/>
      <c r="OZI43" s="1044"/>
      <c r="OZJ43" s="1044"/>
      <c r="OZK43" s="1044"/>
      <c r="OZL43" s="1044"/>
      <c r="OZM43" s="1044"/>
      <c r="OZN43" s="1044"/>
      <c r="OZO43" s="1044"/>
      <c r="OZP43" s="1044"/>
      <c r="OZQ43" s="1044"/>
      <c r="OZR43" s="1044"/>
      <c r="OZS43" s="1044"/>
      <c r="OZT43" s="1044"/>
      <c r="OZU43" s="1044"/>
      <c r="OZV43" s="1044"/>
      <c r="OZW43" s="1044"/>
      <c r="OZX43" s="1044"/>
      <c r="OZY43" s="1044"/>
      <c r="OZZ43" s="1044"/>
      <c r="PAA43" s="1044"/>
      <c r="PAB43" s="1044"/>
      <c r="PAC43" s="1044"/>
      <c r="PAD43" s="1044"/>
      <c r="PAE43" s="1044"/>
      <c r="PAF43" s="1044"/>
      <c r="PAG43" s="1044"/>
      <c r="PAH43" s="1044"/>
      <c r="PAI43" s="1044"/>
      <c r="PAJ43" s="1044"/>
      <c r="PAK43" s="1044"/>
      <c r="PAL43" s="1044"/>
      <c r="PAM43" s="1044"/>
      <c r="PAN43" s="1044"/>
      <c r="PAO43" s="1044"/>
      <c r="PAP43" s="1044"/>
      <c r="PAQ43" s="1044"/>
      <c r="PAR43" s="1044"/>
      <c r="PAS43" s="1044"/>
      <c r="PAT43" s="1044"/>
      <c r="PAU43" s="1044"/>
      <c r="PAV43" s="1044"/>
      <c r="PAW43" s="1044"/>
      <c r="PAX43" s="1044"/>
      <c r="PAY43" s="1044"/>
      <c r="PAZ43" s="1044"/>
      <c r="PBA43" s="1044"/>
      <c r="PBB43" s="1044"/>
      <c r="PBC43" s="1044"/>
      <c r="PBD43" s="1044"/>
      <c r="PBE43" s="1044"/>
      <c r="PBF43" s="1044"/>
      <c r="PBG43" s="1044"/>
      <c r="PBH43" s="1044"/>
      <c r="PBI43" s="1044"/>
      <c r="PBJ43" s="1044"/>
      <c r="PBK43" s="1044"/>
      <c r="PBL43" s="1044"/>
      <c r="PBM43" s="1044"/>
      <c r="PBN43" s="1044"/>
      <c r="PBO43" s="1044"/>
      <c r="PBP43" s="1044"/>
      <c r="PBQ43" s="1044"/>
      <c r="PBR43" s="1044"/>
      <c r="PBS43" s="1044"/>
      <c r="PBT43" s="1044"/>
      <c r="PBU43" s="1044"/>
      <c r="PBV43" s="1044"/>
      <c r="PBW43" s="1044"/>
      <c r="PBX43" s="1044"/>
      <c r="PBY43" s="1044"/>
      <c r="PBZ43" s="1044"/>
      <c r="PCA43" s="1044"/>
      <c r="PCB43" s="1044"/>
      <c r="PCC43" s="1044"/>
      <c r="PCD43" s="1044"/>
      <c r="PCE43" s="1044"/>
      <c r="PCF43" s="1044"/>
      <c r="PCG43" s="1044"/>
      <c r="PCH43" s="1044"/>
      <c r="PCI43" s="1044"/>
      <c r="PCJ43" s="1044"/>
      <c r="PCK43" s="1044"/>
      <c r="PCL43" s="1044"/>
      <c r="PCM43" s="1044"/>
      <c r="PCN43" s="1044"/>
      <c r="PCO43" s="1044"/>
      <c r="PCP43" s="1044"/>
      <c r="PCQ43" s="1044"/>
      <c r="PCR43" s="1044"/>
      <c r="PCS43" s="1044"/>
      <c r="PCT43" s="1044"/>
      <c r="PCU43" s="1044"/>
      <c r="PCV43" s="1044"/>
      <c r="PCW43" s="1044"/>
      <c r="PCX43" s="1044"/>
      <c r="PCY43" s="1044"/>
      <c r="PCZ43" s="1044"/>
      <c r="PDA43" s="1044"/>
      <c r="PDB43" s="1044"/>
      <c r="PDC43" s="1044"/>
      <c r="PDD43" s="1044"/>
      <c r="PDE43" s="1044"/>
      <c r="PDF43" s="1044"/>
      <c r="PDG43" s="1044"/>
      <c r="PDH43" s="1044"/>
      <c r="PDI43" s="1044"/>
      <c r="PDJ43" s="1044"/>
      <c r="PDK43" s="1044"/>
      <c r="PDL43" s="1044"/>
      <c r="PDM43" s="1044"/>
      <c r="PDN43" s="1044"/>
      <c r="PDO43" s="1044"/>
      <c r="PDP43" s="1044"/>
      <c r="PDQ43" s="1044"/>
      <c r="PDR43" s="1044"/>
      <c r="PDS43" s="1044"/>
      <c r="PDT43" s="1044"/>
      <c r="PDU43" s="1044"/>
      <c r="PDV43" s="1044"/>
      <c r="PDW43" s="1044"/>
      <c r="PDX43" s="1044"/>
      <c r="PDY43" s="1044"/>
      <c r="PDZ43" s="1044"/>
      <c r="PEA43" s="1044"/>
      <c r="PEB43" s="1044"/>
      <c r="PEC43" s="1044"/>
      <c r="PED43" s="1044"/>
      <c r="PEE43" s="1044"/>
      <c r="PEF43" s="1044"/>
      <c r="PEG43" s="1044"/>
      <c r="PEH43" s="1044"/>
      <c r="PEI43" s="1044"/>
      <c r="PEJ43" s="1044"/>
      <c r="PEK43" s="1044"/>
      <c r="PEL43" s="1044"/>
      <c r="PEM43" s="1044"/>
      <c r="PEN43" s="1044"/>
      <c r="PEO43" s="1044"/>
      <c r="PEP43" s="1044"/>
      <c r="PEQ43" s="1044"/>
      <c r="PER43" s="1044"/>
      <c r="PES43" s="1044"/>
      <c r="PET43" s="1044"/>
      <c r="PEU43" s="1044"/>
      <c r="PEV43" s="1044"/>
      <c r="PEW43" s="1044"/>
      <c r="PEX43" s="1044"/>
      <c r="PEY43" s="1044"/>
      <c r="PEZ43" s="1044"/>
      <c r="PFA43" s="1044"/>
      <c r="PFB43" s="1044"/>
      <c r="PFC43" s="1044"/>
      <c r="PFD43" s="1044"/>
      <c r="PFE43" s="1044"/>
      <c r="PFF43" s="1044"/>
      <c r="PFG43" s="1044"/>
      <c r="PFH43" s="1044"/>
      <c r="PFI43" s="1044"/>
      <c r="PFJ43" s="1044"/>
      <c r="PFK43" s="1044"/>
      <c r="PFL43" s="1044"/>
      <c r="PFM43" s="1044"/>
      <c r="PFN43" s="1044"/>
      <c r="PFO43" s="1044"/>
      <c r="PFP43" s="1044"/>
      <c r="PFQ43" s="1044"/>
      <c r="PFR43" s="1044"/>
      <c r="PFS43" s="1044"/>
      <c r="PFT43" s="1044"/>
      <c r="PFU43" s="1044"/>
      <c r="PFV43" s="1044"/>
      <c r="PFW43" s="1044"/>
      <c r="PFX43" s="1044"/>
      <c r="PFY43" s="1044"/>
      <c r="PFZ43" s="1044"/>
      <c r="PGA43" s="1044"/>
      <c r="PGB43" s="1044"/>
      <c r="PGC43" s="1044"/>
      <c r="PGD43" s="1044"/>
      <c r="PGE43" s="1044"/>
      <c r="PGF43" s="1044"/>
      <c r="PGG43" s="1044"/>
      <c r="PGH43" s="1044"/>
      <c r="PGI43" s="1044"/>
      <c r="PGJ43" s="1044"/>
      <c r="PGK43" s="1044"/>
      <c r="PGL43" s="1044"/>
      <c r="PGM43" s="1044"/>
      <c r="PGN43" s="1044"/>
      <c r="PGO43" s="1044"/>
      <c r="PGP43" s="1044"/>
      <c r="PGQ43" s="1044"/>
      <c r="PGR43" s="1044"/>
      <c r="PGS43" s="1044"/>
      <c r="PGT43" s="1044"/>
      <c r="PGU43" s="1044"/>
      <c r="PGV43" s="1044"/>
      <c r="PGW43" s="1044"/>
      <c r="PGX43" s="1044"/>
      <c r="PGY43" s="1044"/>
      <c r="PGZ43" s="1044"/>
      <c r="PHA43" s="1044"/>
      <c r="PHB43" s="1044"/>
      <c r="PHC43" s="1044"/>
      <c r="PHD43" s="1044"/>
      <c r="PHE43" s="1044"/>
      <c r="PHF43" s="1044"/>
      <c r="PHG43" s="1044"/>
      <c r="PHH43" s="1044"/>
      <c r="PHI43" s="1044"/>
      <c r="PHJ43" s="1044"/>
      <c r="PHK43" s="1044"/>
      <c r="PHL43" s="1044"/>
      <c r="PHM43" s="1044"/>
      <c r="PHN43" s="1044"/>
      <c r="PHO43" s="1044"/>
      <c r="PHP43" s="1044"/>
      <c r="PHQ43" s="1044"/>
      <c r="PHR43" s="1044"/>
      <c r="PHS43" s="1044"/>
      <c r="PHT43" s="1044"/>
      <c r="PHU43" s="1044"/>
      <c r="PHV43" s="1044"/>
      <c r="PHW43" s="1044"/>
      <c r="PHX43" s="1044"/>
      <c r="PHY43" s="1044"/>
      <c r="PHZ43" s="1044"/>
      <c r="PIA43" s="1044"/>
      <c r="PIB43" s="1044"/>
      <c r="PIC43" s="1044"/>
      <c r="PID43" s="1044"/>
      <c r="PIE43" s="1044"/>
      <c r="PIF43" s="1044"/>
      <c r="PIG43" s="1044"/>
      <c r="PIH43" s="1044"/>
      <c r="PII43" s="1044"/>
      <c r="PIJ43" s="1044"/>
      <c r="PIK43" s="1044"/>
      <c r="PIL43" s="1044"/>
      <c r="PIM43" s="1044"/>
      <c r="PIN43" s="1044"/>
      <c r="PIO43" s="1044"/>
      <c r="PIP43" s="1044"/>
      <c r="PIQ43" s="1044"/>
      <c r="PIR43" s="1044"/>
      <c r="PIS43" s="1044"/>
      <c r="PIT43" s="1044"/>
      <c r="PIU43" s="1044"/>
      <c r="PIV43" s="1044"/>
      <c r="PIW43" s="1044"/>
      <c r="PIX43" s="1044"/>
      <c r="PIY43" s="1044"/>
      <c r="PIZ43" s="1044"/>
      <c r="PJA43" s="1044"/>
      <c r="PJB43" s="1044"/>
      <c r="PJC43" s="1044"/>
      <c r="PJD43" s="1044"/>
      <c r="PJE43" s="1044"/>
      <c r="PJF43" s="1044"/>
      <c r="PJG43" s="1044"/>
      <c r="PJH43" s="1044"/>
      <c r="PJI43" s="1044"/>
      <c r="PJJ43" s="1044"/>
      <c r="PJK43" s="1044"/>
      <c r="PJL43" s="1044"/>
      <c r="PJM43" s="1044"/>
      <c r="PJN43" s="1044"/>
      <c r="PJO43" s="1044"/>
      <c r="PJP43" s="1044"/>
      <c r="PJQ43" s="1044"/>
      <c r="PJR43" s="1044"/>
      <c r="PJS43" s="1044"/>
      <c r="PJT43" s="1044"/>
      <c r="PJU43" s="1044"/>
      <c r="PJV43" s="1044"/>
      <c r="PJW43" s="1044"/>
      <c r="PJX43" s="1044"/>
      <c r="PJY43" s="1044"/>
      <c r="PJZ43" s="1044"/>
      <c r="PKA43" s="1044"/>
      <c r="PKB43" s="1044"/>
      <c r="PKC43" s="1044"/>
      <c r="PKD43" s="1044"/>
      <c r="PKE43" s="1044"/>
      <c r="PKF43" s="1044"/>
      <c r="PKG43" s="1044"/>
      <c r="PKH43" s="1044"/>
      <c r="PKI43" s="1044"/>
      <c r="PKJ43" s="1044"/>
      <c r="PKK43" s="1044"/>
      <c r="PKL43" s="1044"/>
      <c r="PKM43" s="1044"/>
      <c r="PKN43" s="1044"/>
      <c r="PKO43" s="1044"/>
      <c r="PKP43" s="1044"/>
      <c r="PKQ43" s="1044"/>
      <c r="PKR43" s="1044"/>
      <c r="PKS43" s="1044"/>
      <c r="PKT43" s="1044"/>
      <c r="PKU43" s="1044"/>
      <c r="PKV43" s="1044"/>
      <c r="PKW43" s="1044"/>
      <c r="PKX43" s="1044"/>
      <c r="PKY43" s="1044"/>
      <c r="PKZ43" s="1044"/>
      <c r="PLA43" s="1044"/>
      <c r="PLB43" s="1044"/>
      <c r="PLC43" s="1044"/>
      <c r="PLD43" s="1044"/>
      <c r="PLE43" s="1044"/>
      <c r="PLF43" s="1044"/>
      <c r="PLG43" s="1044"/>
      <c r="PLH43" s="1044"/>
      <c r="PLI43" s="1044"/>
      <c r="PLJ43" s="1044"/>
      <c r="PLK43" s="1044"/>
      <c r="PLL43" s="1044"/>
      <c r="PLM43" s="1044"/>
      <c r="PLN43" s="1044"/>
      <c r="PLO43" s="1044"/>
      <c r="PLP43" s="1044"/>
      <c r="PLQ43" s="1044"/>
      <c r="PLR43" s="1044"/>
      <c r="PLS43" s="1044"/>
      <c r="PLT43" s="1044"/>
      <c r="PLU43" s="1044"/>
      <c r="PLV43" s="1044"/>
      <c r="PLW43" s="1044"/>
      <c r="PLX43" s="1044"/>
      <c r="PLY43" s="1044"/>
      <c r="PLZ43" s="1044"/>
      <c r="PMA43" s="1044"/>
      <c r="PMB43" s="1044"/>
      <c r="PMC43" s="1044"/>
      <c r="PMD43" s="1044"/>
      <c r="PME43" s="1044"/>
      <c r="PMF43" s="1044"/>
      <c r="PMG43" s="1044"/>
      <c r="PMH43" s="1044"/>
      <c r="PMI43" s="1044"/>
      <c r="PMJ43" s="1044"/>
      <c r="PMK43" s="1044"/>
      <c r="PML43" s="1044"/>
      <c r="PMM43" s="1044"/>
      <c r="PMN43" s="1044"/>
      <c r="PMO43" s="1044"/>
      <c r="PMP43" s="1044"/>
      <c r="PMQ43" s="1044"/>
      <c r="PMR43" s="1044"/>
      <c r="PMS43" s="1044"/>
      <c r="PMT43" s="1044"/>
      <c r="PMU43" s="1044"/>
      <c r="PMV43" s="1044"/>
      <c r="PMW43" s="1044"/>
      <c r="PMX43" s="1044"/>
      <c r="PMY43" s="1044"/>
      <c r="PMZ43" s="1044"/>
      <c r="PNA43" s="1044"/>
      <c r="PNB43" s="1044"/>
      <c r="PNC43" s="1044"/>
      <c r="PND43" s="1044"/>
      <c r="PNE43" s="1044"/>
      <c r="PNF43" s="1044"/>
      <c r="PNG43" s="1044"/>
      <c r="PNH43" s="1044"/>
      <c r="PNI43" s="1044"/>
      <c r="PNJ43" s="1044"/>
      <c r="PNK43" s="1044"/>
      <c r="PNL43" s="1044"/>
      <c r="PNM43" s="1044"/>
      <c r="PNN43" s="1044"/>
      <c r="PNO43" s="1044"/>
      <c r="PNP43" s="1044"/>
      <c r="PNQ43" s="1044"/>
      <c r="PNR43" s="1044"/>
      <c r="PNS43" s="1044"/>
      <c r="PNT43" s="1044"/>
      <c r="PNU43" s="1044"/>
      <c r="PNV43" s="1044"/>
      <c r="PNW43" s="1044"/>
      <c r="PNX43" s="1044"/>
      <c r="PNY43" s="1044"/>
      <c r="PNZ43" s="1044"/>
      <c r="POA43" s="1044"/>
      <c r="POB43" s="1044"/>
      <c r="POC43" s="1044"/>
      <c r="POD43" s="1044"/>
      <c r="POE43" s="1044"/>
      <c r="POF43" s="1044"/>
      <c r="POG43" s="1044"/>
      <c r="POH43" s="1044"/>
      <c r="POI43" s="1044"/>
      <c r="POJ43" s="1044"/>
      <c r="POK43" s="1044"/>
      <c r="POL43" s="1044"/>
      <c r="POM43" s="1044"/>
      <c r="PON43" s="1044"/>
      <c r="POO43" s="1044"/>
      <c r="POP43" s="1044"/>
      <c r="POQ43" s="1044"/>
      <c r="POR43" s="1044"/>
      <c r="POS43" s="1044"/>
      <c r="POT43" s="1044"/>
      <c r="POU43" s="1044"/>
      <c r="POV43" s="1044"/>
      <c r="POW43" s="1044"/>
      <c r="POX43" s="1044"/>
      <c r="POY43" s="1044"/>
      <c r="POZ43" s="1044"/>
      <c r="PPA43" s="1044"/>
      <c r="PPB43" s="1044"/>
      <c r="PPC43" s="1044"/>
      <c r="PPD43" s="1044"/>
      <c r="PPE43" s="1044"/>
      <c r="PPF43" s="1044"/>
      <c r="PPG43" s="1044"/>
      <c r="PPH43" s="1044"/>
      <c r="PPI43" s="1044"/>
      <c r="PPJ43" s="1044"/>
      <c r="PPK43" s="1044"/>
      <c r="PPL43" s="1044"/>
      <c r="PPM43" s="1044"/>
      <c r="PPN43" s="1044"/>
      <c r="PPO43" s="1044"/>
      <c r="PPP43" s="1044"/>
      <c r="PPQ43" s="1044"/>
      <c r="PPR43" s="1044"/>
      <c r="PPS43" s="1044"/>
      <c r="PPT43" s="1044"/>
      <c r="PPU43" s="1044"/>
      <c r="PPV43" s="1044"/>
      <c r="PPW43" s="1044"/>
      <c r="PPX43" s="1044"/>
      <c r="PPY43" s="1044"/>
      <c r="PPZ43" s="1044"/>
      <c r="PQA43" s="1044"/>
      <c r="PQB43" s="1044"/>
      <c r="PQC43" s="1044"/>
      <c r="PQD43" s="1044"/>
      <c r="PQE43" s="1044"/>
      <c r="PQF43" s="1044"/>
      <c r="PQG43" s="1044"/>
      <c r="PQH43" s="1044"/>
      <c r="PQI43" s="1044"/>
      <c r="PQJ43" s="1044"/>
      <c r="PQK43" s="1044"/>
      <c r="PQL43" s="1044"/>
      <c r="PQM43" s="1044"/>
      <c r="PQN43" s="1044"/>
      <c r="PQO43" s="1044"/>
      <c r="PQP43" s="1044"/>
      <c r="PQQ43" s="1044"/>
      <c r="PQR43" s="1044"/>
      <c r="PQS43" s="1044"/>
      <c r="PQT43" s="1044"/>
      <c r="PQU43" s="1044"/>
      <c r="PQV43" s="1044"/>
      <c r="PQW43" s="1044"/>
      <c r="PQX43" s="1044"/>
      <c r="PQY43" s="1044"/>
      <c r="PQZ43" s="1044"/>
      <c r="PRA43" s="1044"/>
      <c r="PRB43" s="1044"/>
      <c r="PRC43" s="1044"/>
      <c r="PRD43" s="1044"/>
      <c r="PRE43" s="1044"/>
      <c r="PRF43" s="1044"/>
      <c r="PRG43" s="1044"/>
      <c r="PRH43" s="1044"/>
      <c r="PRI43" s="1044"/>
      <c r="PRJ43" s="1044"/>
      <c r="PRK43" s="1044"/>
      <c r="PRL43" s="1044"/>
      <c r="PRM43" s="1044"/>
      <c r="PRN43" s="1044"/>
      <c r="PRO43" s="1044"/>
      <c r="PRP43" s="1044"/>
      <c r="PRQ43" s="1044"/>
      <c r="PRR43" s="1044"/>
      <c r="PRS43" s="1044"/>
      <c r="PRT43" s="1044"/>
      <c r="PRU43" s="1044"/>
      <c r="PRV43" s="1044"/>
      <c r="PRW43" s="1044"/>
      <c r="PRX43" s="1044"/>
      <c r="PRY43" s="1044"/>
      <c r="PRZ43" s="1044"/>
      <c r="PSA43" s="1044"/>
      <c r="PSB43" s="1044"/>
      <c r="PSC43" s="1044"/>
      <c r="PSD43" s="1044"/>
      <c r="PSE43" s="1044"/>
      <c r="PSF43" s="1044"/>
      <c r="PSG43" s="1044"/>
      <c r="PSH43" s="1044"/>
      <c r="PSI43" s="1044"/>
      <c r="PSJ43" s="1044"/>
      <c r="PSK43" s="1044"/>
      <c r="PSL43" s="1044"/>
      <c r="PSM43" s="1044"/>
      <c r="PSN43" s="1044"/>
      <c r="PSO43" s="1044"/>
      <c r="PSP43" s="1044"/>
      <c r="PSQ43" s="1044"/>
      <c r="PSR43" s="1044"/>
      <c r="PSS43" s="1044"/>
      <c r="PST43" s="1044"/>
      <c r="PSU43" s="1044"/>
      <c r="PSV43" s="1044"/>
      <c r="PSW43" s="1044"/>
      <c r="PSX43" s="1044"/>
      <c r="PSY43" s="1044"/>
      <c r="PSZ43" s="1044"/>
      <c r="PTA43" s="1044"/>
      <c r="PTB43" s="1044"/>
      <c r="PTC43" s="1044"/>
      <c r="PTD43" s="1044"/>
      <c r="PTE43" s="1044"/>
      <c r="PTF43" s="1044"/>
      <c r="PTG43" s="1044"/>
      <c r="PTH43" s="1044"/>
      <c r="PTI43" s="1044"/>
      <c r="PTJ43" s="1044"/>
      <c r="PTK43" s="1044"/>
      <c r="PTL43" s="1044"/>
      <c r="PTM43" s="1044"/>
      <c r="PTN43" s="1044"/>
      <c r="PTO43" s="1044"/>
      <c r="PTP43" s="1044"/>
      <c r="PTQ43" s="1044"/>
      <c r="PTR43" s="1044"/>
      <c r="PTS43" s="1044"/>
      <c r="PTT43" s="1044"/>
      <c r="PTU43" s="1044"/>
      <c r="PTV43" s="1044"/>
      <c r="PTW43" s="1044"/>
      <c r="PTX43" s="1044"/>
      <c r="PTY43" s="1044"/>
      <c r="PTZ43" s="1044"/>
      <c r="PUA43" s="1044"/>
      <c r="PUB43" s="1044"/>
      <c r="PUC43" s="1044"/>
      <c r="PUD43" s="1044"/>
      <c r="PUE43" s="1044"/>
      <c r="PUF43" s="1044"/>
      <c r="PUG43" s="1044"/>
      <c r="PUH43" s="1044"/>
      <c r="PUI43" s="1044"/>
      <c r="PUJ43" s="1044"/>
      <c r="PUK43" s="1044"/>
      <c r="PUL43" s="1044"/>
      <c r="PUM43" s="1044"/>
      <c r="PUN43" s="1044"/>
      <c r="PUO43" s="1044"/>
      <c r="PUP43" s="1044"/>
      <c r="PUQ43" s="1044"/>
      <c r="PUR43" s="1044"/>
      <c r="PUS43" s="1044"/>
      <c r="PUT43" s="1044"/>
      <c r="PUU43" s="1044"/>
      <c r="PUV43" s="1044"/>
      <c r="PUW43" s="1044"/>
      <c r="PUX43" s="1044"/>
      <c r="PUY43" s="1044"/>
      <c r="PUZ43" s="1044"/>
      <c r="PVA43" s="1044"/>
      <c r="PVB43" s="1044"/>
      <c r="PVC43" s="1044"/>
      <c r="PVD43" s="1044"/>
      <c r="PVE43" s="1044"/>
      <c r="PVF43" s="1044"/>
      <c r="PVG43" s="1044"/>
      <c r="PVH43" s="1044"/>
      <c r="PVI43" s="1044"/>
      <c r="PVJ43" s="1044"/>
      <c r="PVK43" s="1044"/>
      <c r="PVL43" s="1044"/>
      <c r="PVM43" s="1044"/>
      <c r="PVN43" s="1044"/>
      <c r="PVO43" s="1044"/>
      <c r="PVP43" s="1044"/>
      <c r="PVQ43" s="1044"/>
      <c r="PVR43" s="1044"/>
      <c r="PVS43" s="1044"/>
      <c r="PVT43" s="1044"/>
      <c r="PVU43" s="1044"/>
      <c r="PVV43" s="1044"/>
      <c r="PVW43" s="1044"/>
      <c r="PVX43" s="1044"/>
      <c r="PVY43" s="1044"/>
      <c r="PVZ43" s="1044"/>
      <c r="PWA43" s="1044"/>
      <c r="PWB43" s="1044"/>
      <c r="PWC43" s="1044"/>
      <c r="PWD43" s="1044"/>
      <c r="PWE43" s="1044"/>
      <c r="PWF43" s="1044"/>
      <c r="PWG43" s="1044"/>
      <c r="PWH43" s="1044"/>
      <c r="PWI43" s="1044"/>
      <c r="PWJ43" s="1044"/>
      <c r="PWK43" s="1044"/>
      <c r="PWL43" s="1044"/>
      <c r="PWM43" s="1044"/>
      <c r="PWN43" s="1044"/>
      <c r="PWO43" s="1044"/>
      <c r="PWP43" s="1044"/>
      <c r="PWQ43" s="1044"/>
      <c r="PWR43" s="1044"/>
      <c r="PWS43" s="1044"/>
      <c r="PWT43" s="1044"/>
      <c r="PWU43" s="1044"/>
      <c r="PWV43" s="1044"/>
      <c r="PWW43" s="1044"/>
      <c r="PWX43" s="1044"/>
      <c r="PWY43" s="1044"/>
      <c r="PWZ43" s="1044"/>
      <c r="PXA43" s="1044"/>
      <c r="PXB43" s="1044"/>
      <c r="PXC43" s="1044"/>
      <c r="PXD43" s="1044"/>
      <c r="PXE43" s="1044"/>
      <c r="PXF43" s="1044"/>
      <c r="PXG43" s="1044"/>
      <c r="PXH43" s="1044"/>
      <c r="PXI43" s="1044"/>
      <c r="PXJ43" s="1044"/>
      <c r="PXK43" s="1044"/>
      <c r="PXL43" s="1044"/>
      <c r="PXM43" s="1044"/>
      <c r="PXN43" s="1044"/>
      <c r="PXO43" s="1044"/>
      <c r="PXP43" s="1044"/>
      <c r="PXQ43" s="1044"/>
      <c r="PXR43" s="1044"/>
      <c r="PXS43" s="1044"/>
      <c r="PXT43" s="1044"/>
      <c r="PXU43" s="1044"/>
      <c r="PXV43" s="1044"/>
      <c r="PXW43" s="1044"/>
      <c r="PXX43" s="1044"/>
      <c r="PXY43" s="1044"/>
      <c r="PXZ43" s="1044"/>
      <c r="PYA43" s="1044"/>
      <c r="PYB43" s="1044"/>
      <c r="PYC43" s="1044"/>
      <c r="PYD43" s="1044"/>
      <c r="PYE43" s="1044"/>
      <c r="PYF43" s="1044"/>
      <c r="PYG43" s="1044"/>
      <c r="PYH43" s="1044"/>
      <c r="PYI43" s="1044"/>
      <c r="PYJ43" s="1044"/>
      <c r="PYK43" s="1044"/>
      <c r="PYL43" s="1044"/>
      <c r="PYM43" s="1044"/>
      <c r="PYN43" s="1044"/>
      <c r="PYO43" s="1044"/>
      <c r="PYP43" s="1044"/>
      <c r="PYQ43" s="1044"/>
      <c r="PYR43" s="1044"/>
      <c r="PYS43" s="1044"/>
      <c r="PYT43" s="1044"/>
      <c r="PYU43" s="1044"/>
      <c r="PYV43" s="1044"/>
      <c r="PYW43" s="1044"/>
      <c r="PYX43" s="1044"/>
      <c r="PYY43" s="1044"/>
      <c r="PYZ43" s="1044"/>
      <c r="PZA43" s="1044"/>
      <c r="PZB43" s="1044"/>
      <c r="PZC43" s="1044"/>
      <c r="PZD43" s="1044"/>
      <c r="PZE43" s="1044"/>
      <c r="PZF43" s="1044"/>
      <c r="PZG43" s="1044"/>
      <c r="PZH43" s="1044"/>
      <c r="PZI43" s="1044"/>
      <c r="PZJ43" s="1044"/>
      <c r="PZK43" s="1044"/>
      <c r="PZL43" s="1044"/>
      <c r="PZM43" s="1044"/>
      <c r="PZN43" s="1044"/>
      <c r="PZO43" s="1044"/>
      <c r="PZP43" s="1044"/>
      <c r="PZQ43" s="1044"/>
      <c r="PZR43" s="1044"/>
      <c r="PZS43" s="1044"/>
      <c r="PZT43" s="1044"/>
      <c r="PZU43" s="1044"/>
      <c r="PZV43" s="1044"/>
      <c r="PZW43" s="1044"/>
      <c r="PZX43" s="1044"/>
      <c r="PZY43" s="1044"/>
      <c r="PZZ43" s="1044"/>
      <c r="QAA43" s="1044"/>
      <c r="QAB43" s="1044"/>
      <c r="QAC43" s="1044"/>
      <c r="QAD43" s="1044"/>
      <c r="QAE43" s="1044"/>
      <c r="QAF43" s="1044"/>
      <c r="QAG43" s="1044"/>
      <c r="QAH43" s="1044"/>
      <c r="QAI43" s="1044"/>
      <c r="QAJ43" s="1044"/>
      <c r="QAK43" s="1044"/>
      <c r="QAL43" s="1044"/>
      <c r="QAM43" s="1044"/>
      <c r="QAN43" s="1044"/>
      <c r="QAO43" s="1044"/>
      <c r="QAP43" s="1044"/>
      <c r="QAQ43" s="1044"/>
      <c r="QAR43" s="1044"/>
      <c r="QAS43" s="1044"/>
      <c r="QAT43" s="1044"/>
      <c r="QAU43" s="1044"/>
      <c r="QAV43" s="1044"/>
      <c r="QAW43" s="1044"/>
      <c r="QAX43" s="1044"/>
      <c r="QAY43" s="1044"/>
      <c r="QAZ43" s="1044"/>
      <c r="QBA43" s="1044"/>
      <c r="QBB43" s="1044"/>
      <c r="QBC43" s="1044"/>
      <c r="QBD43" s="1044"/>
      <c r="QBE43" s="1044"/>
      <c r="QBF43" s="1044"/>
      <c r="QBG43" s="1044"/>
      <c r="QBH43" s="1044"/>
      <c r="QBI43" s="1044"/>
      <c r="QBJ43" s="1044"/>
      <c r="QBK43" s="1044"/>
      <c r="QBL43" s="1044"/>
      <c r="QBM43" s="1044"/>
      <c r="QBN43" s="1044"/>
      <c r="QBO43" s="1044"/>
      <c r="QBP43" s="1044"/>
      <c r="QBQ43" s="1044"/>
      <c r="QBR43" s="1044"/>
      <c r="QBS43" s="1044"/>
      <c r="QBT43" s="1044"/>
      <c r="QBU43" s="1044"/>
      <c r="QBV43" s="1044"/>
      <c r="QBW43" s="1044"/>
      <c r="QBX43" s="1044"/>
      <c r="QBY43" s="1044"/>
      <c r="QBZ43" s="1044"/>
      <c r="QCA43" s="1044"/>
      <c r="QCB43" s="1044"/>
      <c r="QCC43" s="1044"/>
      <c r="QCD43" s="1044"/>
      <c r="QCE43" s="1044"/>
      <c r="QCF43" s="1044"/>
      <c r="QCG43" s="1044"/>
      <c r="QCH43" s="1044"/>
      <c r="QCI43" s="1044"/>
      <c r="QCJ43" s="1044"/>
      <c r="QCK43" s="1044"/>
      <c r="QCL43" s="1044"/>
      <c r="QCM43" s="1044"/>
      <c r="QCN43" s="1044"/>
      <c r="QCO43" s="1044"/>
      <c r="QCP43" s="1044"/>
      <c r="QCQ43" s="1044"/>
      <c r="QCR43" s="1044"/>
      <c r="QCS43" s="1044"/>
      <c r="QCT43" s="1044"/>
      <c r="QCU43" s="1044"/>
      <c r="QCV43" s="1044"/>
      <c r="QCW43" s="1044"/>
      <c r="QCX43" s="1044"/>
      <c r="QCY43" s="1044"/>
      <c r="QCZ43" s="1044"/>
      <c r="QDA43" s="1044"/>
      <c r="QDB43" s="1044"/>
      <c r="QDC43" s="1044"/>
      <c r="QDD43" s="1044"/>
      <c r="QDE43" s="1044"/>
      <c r="QDF43" s="1044"/>
      <c r="QDG43" s="1044"/>
      <c r="QDH43" s="1044"/>
      <c r="QDI43" s="1044"/>
      <c r="QDJ43" s="1044"/>
      <c r="QDK43" s="1044"/>
      <c r="QDL43" s="1044"/>
      <c r="QDM43" s="1044"/>
      <c r="QDN43" s="1044"/>
      <c r="QDO43" s="1044"/>
      <c r="QDP43" s="1044"/>
      <c r="QDQ43" s="1044"/>
      <c r="QDR43" s="1044"/>
      <c r="QDS43" s="1044"/>
      <c r="QDT43" s="1044"/>
      <c r="QDU43" s="1044"/>
      <c r="QDV43" s="1044"/>
      <c r="QDW43" s="1044"/>
      <c r="QDX43" s="1044"/>
      <c r="QDY43" s="1044"/>
      <c r="QDZ43" s="1044"/>
      <c r="QEA43" s="1044"/>
      <c r="QEB43" s="1044"/>
      <c r="QEC43" s="1044"/>
      <c r="QED43" s="1044"/>
      <c r="QEE43" s="1044"/>
      <c r="QEF43" s="1044"/>
      <c r="QEG43" s="1044"/>
      <c r="QEH43" s="1044"/>
      <c r="QEI43" s="1044"/>
      <c r="QEJ43" s="1044"/>
      <c r="QEK43" s="1044"/>
      <c r="QEL43" s="1044"/>
      <c r="QEM43" s="1044"/>
      <c r="QEN43" s="1044"/>
      <c r="QEO43" s="1044"/>
      <c r="QEP43" s="1044"/>
      <c r="QEQ43" s="1044"/>
      <c r="QER43" s="1044"/>
      <c r="QES43" s="1044"/>
      <c r="QET43" s="1044"/>
      <c r="QEU43" s="1044"/>
      <c r="QEV43" s="1044"/>
      <c r="QEW43" s="1044"/>
      <c r="QEX43" s="1044"/>
      <c r="QEY43" s="1044"/>
      <c r="QEZ43" s="1044"/>
      <c r="QFA43" s="1044"/>
      <c r="QFB43" s="1044"/>
      <c r="QFC43" s="1044"/>
      <c r="QFD43" s="1044"/>
      <c r="QFE43" s="1044"/>
      <c r="QFF43" s="1044"/>
      <c r="QFG43" s="1044"/>
      <c r="QFH43" s="1044"/>
      <c r="QFI43" s="1044"/>
      <c r="QFJ43" s="1044"/>
      <c r="QFK43" s="1044"/>
      <c r="QFL43" s="1044"/>
      <c r="QFM43" s="1044"/>
      <c r="QFN43" s="1044"/>
      <c r="QFO43" s="1044"/>
      <c r="QFP43" s="1044"/>
      <c r="QFQ43" s="1044"/>
      <c r="QFR43" s="1044"/>
      <c r="QFS43" s="1044"/>
      <c r="QFT43" s="1044"/>
      <c r="QFU43" s="1044"/>
      <c r="QFV43" s="1044"/>
      <c r="QFW43" s="1044"/>
      <c r="QFX43" s="1044"/>
      <c r="QFY43" s="1044"/>
      <c r="QFZ43" s="1044"/>
      <c r="QGA43" s="1044"/>
      <c r="QGB43" s="1044"/>
      <c r="QGC43" s="1044"/>
      <c r="QGD43" s="1044"/>
      <c r="QGE43" s="1044"/>
      <c r="QGF43" s="1044"/>
      <c r="QGG43" s="1044"/>
      <c r="QGH43" s="1044"/>
      <c r="QGI43" s="1044"/>
      <c r="QGJ43" s="1044"/>
      <c r="QGK43" s="1044"/>
      <c r="QGL43" s="1044"/>
      <c r="QGM43" s="1044"/>
      <c r="QGN43" s="1044"/>
      <c r="QGO43" s="1044"/>
      <c r="QGP43" s="1044"/>
      <c r="QGQ43" s="1044"/>
      <c r="QGR43" s="1044"/>
      <c r="QGS43" s="1044"/>
      <c r="QGT43" s="1044"/>
      <c r="QGU43" s="1044"/>
      <c r="QGV43" s="1044"/>
      <c r="QGW43" s="1044"/>
      <c r="QGX43" s="1044"/>
      <c r="QGY43" s="1044"/>
      <c r="QGZ43" s="1044"/>
      <c r="QHA43" s="1044"/>
      <c r="QHB43" s="1044"/>
      <c r="QHC43" s="1044"/>
      <c r="QHD43" s="1044"/>
      <c r="QHE43" s="1044"/>
      <c r="QHF43" s="1044"/>
      <c r="QHG43" s="1044"/>
      <c r="QHH43" s="1044"/>
      <c r="QHI43" s="1044"/>
      <c r="QHJ43" s="1044"/>
      <c r="QHK43" s="1044"/>
      <c r="QHL43" s="1044"/>
      <c r="QHM43" s="1044"/>
      <c r="QHN43" s="1044"/>
      <c r="QHO43" s="1044"/>
      <c r="QHP43" s="1044"/>
      <c r="QHQ43" s="1044"/>
      <c r="QHR43" s="1044"/>
      <c r="QHS43" s="1044"/>
      <c r="QHT43" s="1044"/>
      <c r="QHU43" s="1044"/>
      <c r="QHV43" s="1044"/>
      <c r="QHW43" s="1044"/>
      <c r="QHX43" s="1044"/>
      <c r="QHY43" s="1044"/>
      <c r="QHZ43" s="1044"/>
      <c r="QIA43" s="1044"/>
      <c r="QIB43" s="1044"/>
      <c r="QIC43" s="1044"/>
      <c r="QID43" s="1044"/>
      <c r="QIE43" s="1044"/>
      <c r="QIF43" s="1044"/>
      <c r="QIG43" s="1044"/>
      <c r="QIH43" s="1044"/>
      <c r="QII43" s="1044"/>
      <c r="QIJ43" s="1044"/>
      <c r="QIK43" s="1044"/>
      <c r="QIL43" s="1044"/>
      <c r="QIM43" s="1044"/>
      <c r="QIN43" s="1044"/>
      <c r="QIO43" s="1044"/>
      <c r="QIP43" s="1044"/>
      <c r="QIQ43" s="1044"/>
      <c r="QIR43" s="1044"/>
      <c r="QIS43" s="1044"/>
      <c r="QIT43" s="1044"/>
      <c r="QIU43" s="1044"/>
      <c r="QIV43" s="1044"/>
      <c r="QIW43" s="1044"/>
      <c r="QIX43" s="1044"/>
      <c r="QIY43" s="1044"/>
      <c r="QIZ43" s="1044"/>
      <c r="QJA43" s="1044"/>
      <c r="QJB43" s="1044"/>
      <c r="QJC43" s="1044"/>
      <c r="QJD43" s="1044"/>
      <c r="QJE43" s="1044"/>
      <c r="QJF43" s="1044"/>
      <c r="QJG43" s="1044"/>
      <c r="QJH43" s="1044"/>
      <c r="QJI43" s="1044"/>
      <c r="QJJ43" s="1044"/>
      <c r="QJK43" s="1044"/>
      <c r="QJL43" s="1044"/>
      <c r="QJM43" s="1044"/>
      <c r="QJN43" s="1044"/>
      <c r="QJO43" s="1044"/>
      <c r="QJP43" s="1044"/>
      <c r="QJQ43" s="1044"/>
      <c r="QJR43" s="1044"/>
      <c r="QJS43" s="1044"/>
      <c r="QJT43" s="1044"/>
      <c r="QJU43" s="1044"/>
      <c r="QJV43" s="1044"/>
      <c r="QJW43" s="1044"/>
      <c r="QJX43" s="1044"/>
      <c r="QJY43" s="1044"/>
      <c r="QJZ43" s="1044"/>
      <c r="QKA43" s="1044"/>
      <c r="QKB43" s="1044"/>
      <c r="QKC43" s="1044"/>
      <c r="QKD43" s="1044"/>
      <c r="QKE43" s="1044"/>
      <c r="QKF43" s="1044"/>
      <c r="QKG43" s="1044"/>
      <c r="QKH43" s="1044"/>
      <c r="QKI43" s="1044"/>
      <c r="QKJ43" s="1044"/>
      <c r="QKK43" s="1044"/>
      <c r="QKL43" s="1044"/>
      <c r="QKM43" s="1044"/>
      <c r="QKN43" s="1044"/>
      <c r="QKO43" s="1044"/>
      <c r="QKP43" s="1044"/>
      <c r="QKQ43" s="1044"/>
      <c r="QKR43" s="1044"/>
      <c r="QKS43" s="1044"/>
      <c r="QKT43" s="1044"/>
      <c r="QKU43" s="1044"/>
      <c r="QKV43" s="1044"/>
      <c r="QKW43" s="1044"/>
      <c r="QKX43" s="1044"/>
      <c r="QKY43" s="1044"/>
      <c r="QKZ43" s="1044"/>
      <c r="QLA43" s="1044"/>
      <c r="QLB43" s="1044"/>
      <c r="QLC43" s="1044"/>
      <c r="QLD43" s="1044"/>
      <c r="QLE43" s="1044"/>
      <c r="QLF43" s="1044"/>
      <c r="QLG43" s="1044"/>
      <c r="QLH43" s="1044"/>
      <c r="QLI43" s="1044"/>
      <c r="QLJ43" s="1044"/>
      <c r="QLK43" s="1044"/>
      <c r="QLL43" s="1044"/>
      <c r="QLM43" s="1044"/>
      <c r="QLN43" s="1044"/>
      <c r="QLO43" s="1044"/>
      <c r="QLP43" s="1044"/>
      <c r="QLQ43" s="1044"/>
      <c r="QLR43" s="1044"/>
      <c r="QLS43" s="1044"/>
      <c r="QLT43" s="1044"/>
      <c r="QLU43" s="1044"/>
      <c r="QLV43" s="1044"/>
      <c r="QLW43" s="1044"/>
      <c r="QLX43" s="1044"/>
      <c r="QLY43" s="1044"/>
      <c r="QLZ43" s="1044"/>
      <c r="QMA43" s="1044"/>
      <c r="QMB43" s="1044"/>
      <c r="QMC43" s="1044"/>
      <c r="QMD43" s="1044"/>
      <c r="QME43" s="1044"/>
      <c r="QMF43" s="1044"/>
      <c r="QMG43" s="1044"/>
      <c r="QMH43" s="1044"/>
      <c r="QMI43" s="1044"/>
      <c r="QMJ43" s="1044"/>
      <c r="QMK43" s="1044"/>
      <c r="QML43" s="1044"/>
      <c r="QMM43" s="1044"/>
      <c r="QMN43" s="1044"/>
      <c r="QMO43" s="1044"/>
      <c r="QMP43" s="1044"/>
      <c r="QMQ43" s="1044"/>
      <c r="QMR43" s="1044"/>
      <c r="QMS43" s="1044"/>
      <c r="QMT43" s="1044"/>
      <c r="QMU43" s="1044"/>
      <c r="QMV43" s="1044"/>
      <c r="QMW43" s="1044"/>
      <c r="QMX43" s="1044"/>
      <c r="QMY43" s="1044"/>
      <c r="QMZ43" s="1044"/>
      <c r="QNA43" s="1044"/>
      <c r="QNB43" s="1044"/>
      <c r="QNC43" s="1044"/>
      <c r="QND43" s="1044"/>
      <c r="QNE43" s="1044"/>
      <c r="QNF43" s="1044"/>
      <c r="QNG43" s="1044"/>
      <c r="QNH43" s="1044"/>
      <c r="QNI43" s="1044"/>
      <c r="QNJ43" s="1044"/>
      <c r="QNK43" s="1044"/>
      <c r="QNL43" s="1044"/>
      <c r="QNM43" s="1044"/>
      <c r="QNN43" s="1044"/>
      <c r="QNO43" s="1044"/>
      <c r="QNP43" s="1044"/>
      <c r="QNQ43" s="1044"/>
      <c r="QNR43" s="1044"/>
      <c r="QNS43" s="1044"/>
      <c r="QNT43" s="1044"/>
      <c r="QNU43" s="1044"/>
      <c r="QNV43" s="1044"/>
      <c r="QNW43" s="1044"/>
      <c r="QNX43" s="1044"/>
      <c r="QNY43" s="1044"/>
      <c r="QNZ43" s="1044"/>
      <c r="QOA43" s="1044"/>
      <c r="QOB43" s="1044"/>
      <c r="QOC43" s="1044"/>
      <c r="QOD43" s="1044"/>
      <c r="QOE43" s="1044"/>
      <c r="QOF43" s="1044"/>
      <c r="QOG43" s="1044"/>
      <c r="QOH43" s="1044"/>
      <c r="QOI43" s="1044"/>
      <c r="QOJ43" s="1044"/>
      <c r="QOK43" s="1044"/>
      <c r="QOL43" s="1044"/>
      <c r="QOM43" s="1044"/>
      <c r="QON43" s="1044"/>
      <c r="QOO43" s="1044"/>
      <c r="QOP43" s="1044"/>
      <c r="QOQ43" s="1044"/>
      <c r="QOR43" s="1044"/>
      <c r="QOS43" s="1044"/>
      <c r="QOT43" s="1044"/>
      <c r="QOU43" s="1044"/>
      <c r="QOV43" s="1044"/>
      <c r="QOW43" s="1044"/>
      <c r="QOX43" s="1044"/>
      <c r="QOY43" s="1044"/>
      <c r="QOZ43" s="1044"/>
      <c r="QPA43" s="1044"/>
      <c r="QPB43" s="1044"/>
      <c r="QPC43" s="1044"/>
      <c r="QPD43" s="1044"/>
      <c r="QPE43" s="1044"/>
      <c r="QPF43" s="1044"/>
      <c r="QPG43" s="1044"/>
      <c r="QPH43" s="1044"/>
      <c r="QPI43" s="1044"/>
      <c r="QPJ43" s="1044"/>
      <c r="QPK43" s="1044"/>
      <c r="QPL43" s="1044"/>
      <c r="QPM43" s="1044"/>
      <c r="QPN43" s="1044"/>
      <c r="QPO43" s="1044"/>
      <c r="QPP43" s="1044"/>
      <c r="QPQ43" s="1044"/>
      <c r="QPR43" s="1044"/>
      <c r="QPS43" s="1044"/>
      <c r="QPT43" s="1044"/>
      <c r="QPU43" s="1044"/>
      <c r="QPV43" s="1044"/>
      <c r="QPW43" s="1044"/>
      <c r="QPX43" s="1044"/>
      <c r="QPY43" s="1044"/>
      <c r="QPZ43" s="1044"/>
      <c r="QQA43" s="1044"/>
      <c r="QQB43" s="1044"/>
      <c r="QQC43" s="1044"/>
      <c r="QQD43" s="1044"/>
      <c r="QQE43" s="1044"/>
      <c r="QQF43" s="1044"/>
      <c r="QQG43" s="1044"/>
      <c r="QQH43" s="1044"/>
      <c r="QQI43" s="1044"/>
      <c r="QQJ43" s="1044"/>
      <c r="QQK43" s="1044"/>
      <c r="QQL43" s="1044"/>
      <c r="QQM43" s="1044"/>
      <c r="QQN43" s="1044"/>
      <c r="QQO43" s="1044"/>
      <c r="QQP43" s="1044"/>
      <c r="QQQ43" s="1044"/>
      <c r="QQR43" s="1044"/>
      <c r="QQS43" s="1044"/>
      <c r="QQT43" s="1044"/>
      <c r="QQU43" s="1044"/>
      <c r="QQV43" s="1044"/>
      <c r="QQW43" s="1044"/>
      <c r="QQX43" s="1044"/>
      <c r="QQY43" s="1044"/>
      <c r="QQZ43" s="1044"/>
      <c r="QRA43" s="1044"/>
      <c r="QRB43" s="1044"/>
      <c r="QRC43" s="1044"/>
      <c r="QRD43" s="1044"/>
      <c r="QRE43" s="1044"/>
      <c r="QRF43" s="1044"/>
      <c r="QRG43" s="1044"/>
      <c r="QRH43" s="1044"/>
      <c r="QRI43" s="1044"/>
      <c r="QRJ43" s="1044"/>
      <c r="QRK43" s="1044"/>
      <c r="QRL43" s="1044"/>
      <c r="QRM43" s="1044"/>
      <c r="QRN43" s="1044"/>
      <c r="QRO43" s="1044"/>
      <c r="QRP43" s="1044"/>
      <c r="QRQ43" s="1044"/>
      <c r="QRR43" s="1044"/>
      <c r="QRS43" s="1044"/>
      <c r="QRT43" s="1044"/>
      <c r="QRU43" s="1044"/>
      <c r="QRV43" s="1044"/>
      <c r="QRW43" s="1044"/>
      <c r="QRX43" s="1044"/>
      <c r="QRY43" s="1044"/>
      <c r="QRZ43" s="1044"/>
      <c r="QSA43" s="1044"/>
      <c r="QSB43" s="1044"/>
      <c r="QSC43" s="1044"/>
      <c r="QSD43" s="1044"/>
      <c r="QSE43" s="1044"/>
      <c r="QSF43" s="1044"/>
      <c r="QSG43" s="1044"/>
      <c r="QSH43" s="1044"/>
      <c r="QSI43" s="1044"/>
      <c r="QSJ43" s="1044"/>
      <c r="QSK43" s="1044"/>
      <c r="QSL43" s="1044"/>
      <c r="QSM43" s="1044"/>
      <c r="QSN43" s="1044"/>
      <c r="QSO43" s="1044"/>
      <c r="QSP43" s="1044"/>
      <c r="QSQ43" s="1044"/>
      <c r="QSR43" s="1044"/>
      <c r="QSS43" s="1044"/>
      <c r="QST43" s="1044"/>
      <c r="QSU43" s="1044"/>
      <c r="QSV43" s="1044"/>
      <c r="QSW43" s="1044"/>
      <c r="QSX43" s="1044"/>
      <c r="QSY43" s="1044"/>
      <c r="QSZ43" s="1044"/>
      <c r="QTA43" s="1044"/>
      <c r="QTB43" s="1044"/>
      <c r="QTC43" s="1044"/>
      <c r="QTD43" s="1044"/>
      <c r="QTE43" s="1044"/>
      <c r="QTF43" s="1044"/>
      <c r="QTG43" s="1044"/>
      <c r="QTH43" s="1044"/>
      <c r="QTI43" s="1044"/>
      <c r="QTJ43" s="1044"/>
      <c r="QTK43" s="1044"/>
      <c r="QTL43" s="1044"/>
      <c r="QTM43" s="1044"/>
      <c r="QTN43" s="1044"/>
      <c r="QTO43" s="1044"/>
      <c r="QTP43" s="1044"/>
      <c r="QTQ43" s="1044"/>
      <c r="QTR43" s="1044"/>
      <c r="QTS43" s="1044"/>
      <c r="QTT43" s="1044"/>
      <c r="QTU43" s="1044"/>
      <c r="QTV43" s="1044"/>
      <c r="QTW43" s="1044"/>
      <c r="QTX43" s="1044"/>
      <c r="QTY43" s="1044"/>
      <c r="QTZ43" s="1044"/>
      <c r="QUA43" s="1044"/>
      <c r="QUB43" s="1044"/>
      <c r="QUC43" s="1044"/>
      <c r="QUD43" s="1044"/>
      <c r="QUE43" s="1044"/>
      <c r="QUF43" s="1044"/>
      <c r="QUG43" s="1044"/>
      <c r="QUH43" s="1044"/>
      <c r="QUI43" s="1044"/>
      <c r="QUJ43" s="1044"/>
      <c r="QUK43" s="1044"/>
      <c r="QUL43" s="1044"/>
      <c r="QUM43" s="1044"/>
      <c r="QUN43" s="1044"/>
      <c r="QUO43" s="1044"/>
      <c r="QUP43" s="1044"/>
      <c r="QUQ43" s="1044"/>
      <c r="QUR43" s="1044"/>
      <c r="QUS43" s="1044"/>
      <c r="QUT43" s="1044"/>
      <c r="QUU43" s="1044"/>
      <c r="QUV43" s="1044"/>
      <c r="QUW43" s="1044"/>
      <c r="QUX43" s="1044"/>
      <c r="QUY43" s="1044"/>
      <c r="QUZ43" s="1044"/>
      <c r="QVA43" s="1044"/>
      <c r="QVB43" s="1044"/>
      <c r="QVC43" s="1044"/>
      <c r="QVD43" s="1044"/>
      <c r="QVE43" s="1044"/>
      <c r="QVF43" s="1044"/>
      <c r="QVG43" s="1044"/>
      <c r="QVH43" s="1044"/>
      <c r="QVI43" s="1044"/>
      <c r="QVJ43" s="1044"/>
      <c r="QVK43" s="1044"/>
      <c r="QVL43" s="1044"/>
      <c r="QVM43" s="1044"/>
      <c r="QVN43" s="1044"/>
      <c r="QVO43" s="1044"/>
      <c r="QVP43" s="1044"/>
      <c r="QVQ43" s="1044"/>
      <c r="QVR43" s="1044"/>
      <c r="QVS43" s="1044"/>
      <c r="QVT43" s="1044"/>
      <c r="QVU43" s="1044"/>
      <c r="QVV43" s="1044"/>
      <c r="QVW43" s="1044"/>
      <c r="QVX43" s="1044"/>
      <c r="QVY43" s="1044"/>
      <c r="QVZ43" s="1044"/>
      <c r="QWA43" s="1044"/>
      <c r="QWB43" s="1044"/>
      <c r="QWC43" s="1044"/>
      <c r="QWD43" s="1044"/>
      <c r="QWE43" s="1044"/>
      <c r="QWF43" s="1044"/>
      <c r="QWG43" s="1044"/>
      <c r="QWH43" s="1044"/>
      <c r="QWI43" s="1044"/>
      <c r="QWJ43" s="1044"/>
      <c r="QWK43" s="1044"/>
      <c r="QWL43" s="1044"/>
      <c r="QWM43" s="1044"/>
      <c r="QWN43" s="1044"/>
      <c r="QWO43" s="1044"/>
      <c r="QWP43" s="1044"/>
      <c r="QWQ43" s="1044"/>
      <c r="QWR43" s="1044"/>
      <c r="QWS43" s="1044"/>
      <c r="QWT43" s="1044"/>
      <c r="QWU43" s="1044"/>
      <c r="QWV43" s="1044"/>
      <c r="QWW43" s="1044"/>
      <c r="QWX43" s="1044"/>
      <c r="QWY43" s="1044"/>
      <c r="QWZ43" s="1044"/>
      <c r="QXA43" s="1044"/>
      <c r="QXB43" s="1044"/>
      <c r="QXC43" s="1044"/>
      <c r="QXD43" s="1044"/>
      <c r="QXE43" s="1044"/>
      <c r="QXF43" s="1044"/>
      <c r="QXG43" s="1044"/>
      <c r="QXH43" s="1044"/>
      <c r="QXI43" s="1044"/>
      <c r="QXJ43" s="1044"/>
      <c r="QXK43" s="1044"/>
      <c r="QXL43" s="1044"/>
      <c r="QXM43" s="1044"/>
      <c r="QXN43" s="1044"/>
      <c r="QXO43" s="1044"/>
      <c r="QXP43" s="1044"/>
      <c r="QXQ43" s="1044"/>
      <c r="QXR43" s="1044"/>
      <c r="QXS43" s="1044"/>
      <c r="QXT43" s="1044"/>
      <c r="QXU43" s="1044"/>
      <c r="QXV43" s="1044"/>
      <c r="QXW43" s="1044"/>
      <c r="QXX43" s="1044"/>
      <c r="QXY43" s="1044"/>
      <c r="QXZ43" s="1044"/>
      <c r="QYA43" s="1044"/>
      <c r="QYB43" s="1044"/>
      <c r="QYC43" s="1044"/>
      <c r="QYD43" s="1044"/>
      <c r="QYE43" s="1044"/>
      <c r="QYF43" s="1044"/>
      <c r="QYG43" s="1044"/>
      <c r="QYH43" s="1044"/>
      <c r="QYI43" s="1044"/>
      <c r="QYJ43" s="1044"/>
      <c r="QYK43" s="1044"/>
      <c r="QYL43" s="1044"/>
      <c r="QYM43" s="1044"/>
      <c r="QYN43" s="1044"/>
      <c r="QYO43" s="1044"/>
      <c r="QYP43" s="1044"/>
      <c r="QYQ43" s="1044"/>
      <c r="QYR43" s="1044"/>
      <c r="QYS43" s="1044"/>
      <c r="QYT43" s="1044"/>
      <c r="QYU43" s="1044"/>
      <c r="QYV43" s="1044"/>
      <c r="QYW43" s="1044"/>
      <c r="QYX43" s="1044"/>
      <c r="QYY43" s="1044"/>
      <c r="QYZ43" s="1044"/>
      <c r="QZA43" s="1044"/>
      <c r="QZB43" s="1044"/>
      <c r="QZC43" s="1044"/>
      <c r="QZD43" s="1044"/>
      <c r="QZE43" s="1044"/>
      <c r="QZF43" s="1044"/>
      <c r="QZG43" s="1044"/>
      <c r="QZH43" s="1044"/>
      <c r="QZI43" s="1044"/>
      <c r="QZJ43" s="1044"/>
      <c r="QZK43" s="1044"/>
      <c r="QZL43" s="1044"/>
      <c r="QZM43" s="1044"/>
      <c r="QZN43" s="1044"/>
      <c r="QZO43" s="1044"/>
      <c r="QZP43" s="1044"/>
      <c r="QZQ43" s="1044"/>
      <c r="QZR43" s="1044"/>
      <c r="QZS43" s="1044"/>
      <c r="QZT43" s="1044"/>
      <c r="QZU43" s="1044"/>
      <c r="QZV43" s="1044"/>
      <c r="QZW43" s="1044"/>
      <c r="QZX43" s="1044"/>
      <c r="QZY43" s="1044"/>
      <c r="QZZ43" s="1044"/>
      <c r="RAA43" s="1044"/>
      <c r="RAB43" s="1044"/>
      <c r="RAC43" s="1044"/>
      <c r="RAD43" s="1044"/>
      <c r="RAE43" s="1044"/>
      <c r="RAF43" s="1044"/>
      <c r="RAG43" s="1044"/>
      <c r="RAH43" s="1044"/>
      <c r="RAI43" s="1044"/>
      <c r="RAJ43" s="1044"/>
      <c r="RAK43" s="1044"/>
      <c r="RAL43" s="1044"/>
      <c r="RAM43" s="1044"/>
      <c r="RAN43" s="1044"/>
      <c r="RAO43" s="1044"/>
      <c r="RAP43" s="1044"/>
      <c r="RAQ43" s="1044"/>
      <c r="RAR43" s="1044"/>
      <c r="RAS43" s="1044"/>
      <c r="RAT43" s="1044"/>
      <c r="RAU43" s="1044"/>
      <c r="RAV43" s="1044"/>
      <c r="RAW43" s="1044"/>
      <c r="RAX43" s="1044"/>
      <c r="RAY43" s="1044"/>
      <c r="RAZ43" s="1044"/>
      <c r="RBA43" s="1044"/>
      <c r="RBB43" s="1044"/>
      <c r="RBC43" s="1044"/>
      <c r="RBD43" s="1044"/>
      <c r="RBE43" s="1044"/>
      <c r="RBF43" s="1044"/>
      <c r="RBG43" s="1044"/>
      <c r="RBH43" s="1044"/>
      <c r="RBI43" s="1044"/>
      <c r="RBJ43" s="1044"/>
      <c r="RBK43" s="1044"/>
      <c r="RBL43" s="1044"/>
      <c r="RBM43" s="1044"/>
      <c r="RBN43" s="1044"/>
      <c r="RBO43" s="1044"/>
      <c r="RBP43" s="1044"/>
      <c r="RBQ43" s="1044"/>
      <c r="RBR43" s="1044"/>
      <c r="RBS43" s="1044"/>
      <c r="RBT43" s="1044"/>
      <c r="RBU43" s="1044"/>
      <c r="RBV43" s="1044"/>
      <c r="RBW43" s="1044"/>
      <c r="RBX43" s="1044"/>
      <c r="RBY43" s="1044"/>
      <c r="RBZ43" s="1044"/>
      <c r="RCA43" s="1044"/>
      <c r="RCB43" s="1044"/>
      <c r="RCC43" s="1044"/>
      <c r="RCD43" s="1044"/>
      <c r="RCE43" s="1044"/>
      <c r="RCF43" s="1044"/>
      <c r="RCG43" s="1044"/>
      <c r="RCH43" s="1044"/>
      <c r="RCI43" s="1044"/>
      <c r="RCJ43" s="1044"/>
      <c r="RCK43" s="1044"/>
      <c r="RCL43" s="1044"/>
      <c r="RCM43" s="1044"/>
      <c r="RCN43" s="1044"/>
      <c r="RCO43" s="1044"/>
      <c r="RCP43" s="1044"/>
      <c r="RCQ43" s="1044"/>
      <c r="RCR43" s="1044"/>
      <c r="RCS43" s="1044"/>
      <c r="RCT43" s="1044"/>
      <c r="RCU43" s="1044"/>
      <c r="RCV43" s="1044"/>
      <c r="RCW43" s="1044"/>
      <c r="RCX43" s="1044"/>
      <c r="RCY43" s="1044"/>
      <c r="RCZ43" s="1044"/>
      <c r="RDA43" s="1044"/>
      <c r="RDB43" s="1044"/>
      <c r="RDC43" s="1044"/>
      <c r="RDD43" s="1044"/>
      <c r="RDE43" s="1044"/>
      <c r="RDF43" s="1044"/>
      <c r="RDG43" s="1044"/>
      <c r="RDH43" s="1044"/>
      <c r="RDI43" s="1044"/>
      <c r="RDJ43" s="1044"/>
      <c r="RDK43" s="1044"/>
      <c r="RDL43" s="1044"/>
      <c r="RDM43" s="1044"/>
      <c r="RDN43" s="1044"/>
      <c r="RDO43" s="1044"/>
      <c r="RDP43" s="1044"/>
      <c r="RDQ43" s="1044"/>
      <c r="RDR43" s="1044"/>
      <c r="RDS43" s="1044"/>
      <c r="RDT43" s="1044"/>
      <c r="RDU43" s="1044"/>
      <c r="RDV43" s="1044"/>
      <c r="RDW43" s="1044"/>
      <c r="RDX43" s="1044"/>
      <c r="RDY43" s="1044"/>
      <c r="RDZ43" s="1044"/>
      <c r="REA43" s="1044"/>
      <c r="REB43" s="1044"/>
      <c r="REC43" s="1044"/>
      <c r="RED43" s="1044"/>
      <c r="REE43" s="1044"/>
      <c r="REF43" s="1044"/>
      <c r="REG43" s="1044"/>
      <c r="REH43" s="1044"/>
      <c r="REI43" s="1044"/>
      <c r="REJ43" s="1044"/>
      <c r="REK43" s="1044"/>
      <c r="REL43" s="1044"/>
      <c r="REM43" s="1044"/>
      <c r="REN43" s="1044"/>
      <c r="REO43" s="1044"/>
      <c r="REP43" s="1044"/>
      <c r="REQ43" s="1044"/>
      <c r="RER43" s="1044"/>
      <c r="RES43" s="1044"/>
      <c r="RET43" s="1044"/>
      <c r="REU43" s="1044"/>
      <c r="REV43" s="1044"/>
      <c r="REW43" s="1044"/>
      <c r="REX43" s="1044"/>
      <c r="REY43" s="1044"/>
      <c r="REZ43" s="1044"/>
      <c r="RFA43" s="1044"/>
      <c r="RFB43" s="1044"/>
      <c r="RFC43" s="1044"/>
      <c r="RFD43" s="1044"/>
      <c r="RFE43" s="1044"/>
      <c r="RFF43" s="1044"/>
      <c r="RFG43" s="1044"/>
      <c r="RFH43" s="1044"/>
      <c r="RFI43" s="1044"/>
      <c r="RFJ43" s="1044"/>
      <c r="RFK43" s="1044"/>
      <c r="RFL43" s="1044"/>
      <c r="RFM43" s="1044"/>
      <c r="RFN43" s="1044"/>
      <c r="RFO43" s="1044"/>
      <c r="RFP43" s="1044"/>
      <c r="RFQ43" s="1044"/>
      <c r="RFR43" s="1044"/>
      <c r="RFS43" s="1044"/>
      <c r="RFT43" s="1044"/>
      <c r="RFU43" s="1044"/>
      <c r="RFV43" s="1044"/>
      <c r="RFW43" s="1044"/>
      <c r="RFX43" s="1044"/>
      <c r="RFY43" s="1044"/>
      <c r="RFZ43" s="1044"/>
      <c r="RGA43" s="1044"/>
      <c r="RGB43" s="1044"/>
      <c r="RGC43" s="1044"/>
      <c r="RGD43" s="1044"/>
      <c r="RGE43" s="1044"/>
      <c r="RGF43" s="1044"/>
      <c r="RGG43" s="1044"/>
      <c r="RGH43" s="1044"/>
      <c r="RGI43" s="1044"/>
      <c r="RGJ43" s="1044"/>
      <c r="RGK43" s="1044"/>
      <c r="RGL43" s="1044"/>
      <c r="RGM43" s="1044"/>
      <c r="RGN43" s="1044"/>
      <c r="RGO43" s="1044"/>
      <c r="RGP43" s="1044"/>
      <c r="RGQ43" s="1044"/>
      <c r="RGR43" s="1044"/>
      <c r="RGS43" s="1044"/>
      <c r="RGT43" s="1044"/>
      <c r="RGU43" s="1044"/>
      <c r="RGV43" s="1044"/>
      <c r="RGW43" s="1044"/>
      <c r="RGX43" s="1044"/>
      <c r="RGY43" s="1044"/>
      <c r="RGZ43" s="1044"/>
      <c r="RHA43" s="1044"/>
      <c r="RHB43" s="1044"/>
      <c r="RHC43" s="1044"/>
      <c r="RHD43" s="1044"/>
      <c r="RHE43" s="1044"/>
      <c r="RHF43" s="1044"/>
      <c r="RHG43" s="1044"/>
      <c r="RHH43" s="1044"/>
      <c r="RHI43" s="1044"/>
      <c r="RHJ43" s="1044"/>
      <c r="RHK43" s="1044"/>
      <c r="RHL43" s="1044"/>
      <c r="RHM43" s="1044"/>
      <c r="RHN43" s="1044"/>
      <c r="RHO43" s="1044"/>
      <c r="RHP43" s="1044"/>
      <c r="RHQ43" s="1044"/>
      <c r="RHR43" s="1044"/>
      <c r="RHS43" s="1044"/>
      <c r="RHT43" s="1044"/>
      <c r="RHU43" s="1044"/>
      <c r="RHV43" s="1044"/>
      <c r="RHW43" s="1044"/>
      <c r="RHX43" s="1044"/>
      <c r="RHY43" s="1044"/>
      <c r="RHZ43" s="1044"/>
      <c r="RIA43" s="1044"/>
      <c r="RIB43" s="1044"/>
      <c r="RIC43" s="1044"/>
      <c r="RID43" s="1044"/>
      <c r="RIE43" s="1044"/>
      <c r="RIF43" s="1044"/>
      <c r="RIG43" s="1044"/>
      <c r="RIH43" s="1044"/>
      <c r="RII43" s="1044"/>
      <c r="RIJ43" s="1044"/>
      <c r="RIK43" s="1044"/>
      <c r="RIL43" s="1044"/>
      <c r="RIM43" s="1044"/>
      <c r="RIN43" s="1044"/>
      <c r="RIO43" s="1044"/>
      <c r="RIP43" s="1044"/>
      <c r="RIQ43" s="1044"/>
      <c r="RIR43" s="1044"/>
      <c r="RIS43" s="1044"/>
      <c r="RIT43" s="1044"/>
      <c r="RIU43" s="1044"/>
      <c r="RIV43" s="1044"/>
      <c r="RIW43" s="1044"/>
      <c r="RIX43" s="1044"/>
      <c r="RIY43" s="1044"/>
      <c r="RIZ43" s="1044"/>
      <c r="RJA43" s="1044"/>
      <c r="RJB43" s="1044"/>
      <c r="RJC43" s="1044"/>
      <c r="RJD43" s="1044"/>
      <c r="RJE43" s="1044"/>
      <c r="RJF43" s="1044"/>
      <c r="RJG43" s="1044"/>
      <c r="RJH43" s="1044"/>
      <c r="RJI43" s="1044"/>
      <c r="RJJ43" s="1044"/>
      <c r="RJK43" s="1044"/>
      <c r="RJL43" s="1044"/>
      <c r="RJM43" s="1044"/>
      <c r="RJN43" s="1044"/>
      <c r="RJO43" s="1044"/>
      <c r="RJP43" s="1044"/>
      <c r="RJQ43" s="1044"/>
      <c r="RJR43" s="1044"/>
      <c r="RJS43" s="1044"/>
      <c r="RJT43" s="1044"/>
      <c r="RJU43" s="1044"/>
      <c r="RJV43" s="1044"/>
      <c r="RJW43" s="1044"/>
      <c r="RJX43" s="1044"/>
      <c r="RJY43" s="1044"/>
      <c r="RJZ43" s="1044"/>
      <c r="RKA43" s="1044"/>
      <c r="RKB43" s="1044"/>
      <c r="RKC43" s="1044"/>
      <c r="RKD43" s="1044"/>
      <c r="RKE43" s="1044"/>
      <c r="RKF43" s="1044"/>
      <c r="RKG43" s="1044"/>
      <c r="RKH43" s="1044"/>
      <c r="RKI43" s="1044"/>
      <c r="RKJ43" s="1044"/>
      <c r="RKK43" s="1044"/>
      <c r="RKL43" s="1044"/>
      <c r="RKM43" s="1044"/>
      <c r="RKN43" s="1044"/>
      <c r="RKO43" s="1044"/>
      <c r="RKP43" s="1044"/>
      <c r="RKQ43" s="1044"/>
      <c r="RKR43" s="1044"/>
      <c r="RKS43" s="1044"/>
      <c r="RKT43" s="1044"/>
      <c r="RKU43" s="1044"/>
      <c r="RKV43" s="1044"/>
      <c r="RKW43" s="1044"/>
      <c r="RKX43" s="1044"/>
      <c r="RKY43" s="1044"/>
      <c r="RKZ43" s="1044"/>
      <c r="RLA43" s="1044"/>
      <c r="RLB43" s="1044"/>
      <c r="RLC43" s="1044"/>
      <c r="RLD43" s="1044"/>
      <c r="RLE43" s="1044"/>
      <c r="RLF43" s="1044"/>
      <c r="RLG43" s="1044"/>
      <c r="RLH43" s="1044"/>
      <c r="RLI43" s="1044"/>
      <c r="RLJ43" s="1044"/>
      <c r="RLK43" s="1044"/>
      <c r="RLL43" s="1044"/>
      <c r="RLM43" s="1044"/>
      <c r="RLN43" s="1044"/>
      <c r="RLO43" s="1044"/>
      <c r="RLP43" s="1044"/>
      <c r="RLQ43" s="1044"/>
      <c r="RLR43" s="1044"/>
      <c r="RLS43" s="1044"/>
      <c r="RLT43" s="1044"/>
      <c r="RLU43" s="1044"/>
      <c r="RLV43" s="1044"/>
      <c r="RLW43" s="1044"/>
      <c r="RLX43" s="1044"/>
      <c r="RLY43" s="1044"/>
      <c r="RLZ43" s="1044"/>
      <c r="RMA43" s="1044"/>
      <c r="RMB43" s="1044"/>
      <c r="RMC43" s="1044"/>
      <c r="RMD43" s="1044"/>
      <c r="RME43" s="1044"/>
      <c r="RMF43" s="1044"/>
      <c r="RMG43" s="1044"/>
      <c r="RMH43" s="1044"/>
      <c r="RMI43" s="1044"/>
      <c r="RMJ43" s="1044"/>
      <c r="RMK43" s="1044"/>
      <c r="RML43" s="1044"/>
      <c r="RMM43" s="1044"/>
      <c r="RMN43" s="1044"/>
      <c r="RMO43" s="1044"/>
      <c r="RMP43" s="1044"/>
      <c r="RMQ43" s="1044"/>
      <c r="RMR43" s="1044"/>
      <c r="RMS43" s="1044"/>
      <c r="RMT43" s="1044"/>
      <c r="RMU43" s="1044"/>
      <c r="RMV43" s="1044"/>
      <c r="RMW43" s="1044"/>
      <c r="RMX43" s="1044"/>
      <c r="RMY43" s="1044"/>
      <c r="RMZ43" s="1044"/>
      <c r="RNA43" s="1044"/>
      <c r="RNB43" s="1044"/>
      <c r="RNC43" s="1044"/>
      <c r="RND43" s="1044"/>
      <c r="RNE43" s="1044"/>
      <c r="RNF43" s="1044"/>
      <c r="RNG43" s="1044"/>
      <c r="RNH43" s="1044"/>
      <c r="RNI43" s="1044"/>
      <c r="RNJ43" s="1044"/>
      <c r="RNK43" s="1044"/>
      <c r="RNL43" s="1044"/>
      <c r="RNM43" s="1044"/>
      <c r="RNN43" s="1044"/>
      <c r="RNO43" s="1044"/>
      <c r="RNP43" s="1044"/>
      <c r="RNQ43" s="1044"/>
      <c r="RNR43" s="1044"/>
      <c r="RNS43" s="1044"/>
      <c r="RNT43" s="1044"/>
      <c r="RNU43" s="1044"/>
      <c r="RNV43" s="1044"/>
      <c r="RNW43" s="1044"/>
      <c r="RNX43" s="1044"/>
      <c r="RNY43" s="1044"/>
      <c r="RNZ43" s="1044"/>
      <c r="ROA43" s="1044"/>
      <c r="ROB43" s="1044"/>
      <c r="ROC43" s="1044"/>
      <c r="ROD43" s="1044"/>
      <c r="ROE43" s="1044"/>
      <c r="ROF43" s="1044"/>
      <c r="ROG43" s="1044"/>
      <c r="ROH43" s="1044"/>
      <c r="ROI43" s="1044"/>
      <c r="ROJ43" s="1044"/>
      <c r="ROK43" s="1044"/>
      <c r="ROL43" s="1044"/>
      <c r="ROM43" s="1044"/>
      <c r="RON43" s="1044"/>
      <c r="ROO43" s="1044"/>
      <c r="ROP43" s="1044"/>
      <c r="ROQ43" s="1044"/>
      <c r="ROR43" s="1044"/>
      <c r="ROS43" s="1044"/>
      <c r="ROT43" s="1044"/>
      <c r="ROU43" s="1044"/>
      <c r="ROV43" s="1044"/>
      <c r="ROW43" s="1044"/>
      <c r="ROX43" s="1044"/>
      <c r="ROY43" s="1044"/>
      <c r="ROZ43" s="1044"/>
      <c r="RPA43" s="1044"/>
      <c r="RPB43" s="1044"/>
      <c r="RPC43" s="1044"/>
      <c r="RPD43" s="1044"/>
      <c r="RPE43" s="1044"/>
      <c r="RPF43" s="1044"/>
      <c r="RPG43" s="1044"/>
      <c r="RPH43" s="1044"/>
      <c r="RPI43" s="1044"/>
      <c r="RPJ43" s="1044"/>
      <c r="RPK43" s="1044"/>
      <c r="RPL43" s="1044"/>
      <c r="RPM43" s="1044"/>
      <c r="RPN43" s="1044"/>
      <c r="RPO43" s="1044"/>
      <c r="RPP43" s="1044"/>
      <c r="RPQ43" s="1044"/>
      <c r="RPR43" s="1044"/>
      <c r="RPS43" s="1044"/>
      <c r="RPT43" s="1044"/>
      <c r="RPU43" s="1044"/>
      <c r="RPV43" s="1044"/>
      <c r="RPW43" s="1044"/>
      <c r="RPX43" s="1044"/>
      <c r="RPY43" s="1044"/>
      <c r="RPZ43" s="1044"/>
      <c r="RQA43" s="1044"/>
      <c r="RQB43" s="1044"/>
      <c r="RQC43" s="1044"/>
      <c r="RQD43" s="1044"/>
      <c r="RQE43" s="1044"/>
      <c r="RQF43" s="1044"/>
      <c r="RQG43" s="1044"/>
      <c r="RQH43" s="1044"/>
      <c r="RQI43" s="1044"/>
      <c r="RQJ43" s="1044"/>
      <c r="RQK43" s="1044"/>
      <c r="RQL43" s="1044"/>
      <c r="RQM43" s="1044"/>
      <c r="RQN43" s="1044"/>
      <c r="RQO43" s="1044"/>
      <c r="RQP43" s="1044"/>
      <c r="RQQ43" s="1044"/>
      <c r="RQR43" s="1044"/>
      <c r="RQS43" s="1044"/>
      <c r="RQT43" s="1044"/>
      <c r="RQU43" s="1044"/>
      <c r="RQV43" s="1044"/>
      <c r="RQW43" s="1044"/>
      <c r="RQX43" s="1044"/>
      <c r="RQY43" s="1044"/>
      <c r="RQZ43" s="1044"/>
      <c r="RRA43" s="1044"/>
      <c r="RRB43" s="1044"/>
      <c r="RRC43" s="1044"/>
      <c r="RRD43" s="1044"/>
      <c r="RRE43" s="1044"/>
      <c r="RRF43" s="1044"/>
      <c r="RRG43" s="1044"/>
      <c r="RRH43" s="1044"/>
      <c r="RRI43" s="1044"/>
      <c r="RRJ43" s="1044"/>
      <c r="RRK43" s="1044"/>
      <c r="RRL43" s="1044"/>
      <c r="RRM43" s="1044"/>
      <c r="RRN43" s="1044"/>
      <c r="RRO43" s="1044"/>
      <c r="RRP43" s="1044"/>
      <c r="RRQ43" s="1044"/>
      <c r="RRR43" s="1044"/>
      <c r="RRS43" s="1044"/>
      <c r="RRT43" s="1044"/>
      <c r="RRU43" s="1044"/>
      <c r="RRV43" s="1044"/>
      <c r="RRW43" s="1044"/>
      <c r="RRX43" s="1044"/>
      <c r="RRY43" s="1044"/>
      <c r="RRZ43" s="1044"/>
      <c r="RSA43" s="1044"/>
      <c r="RSB43" s="1044"/>
      <c r="RSC43" s="1044"/>
      <c r="RSD43" s="1044"/>
      <c r="RSE43" s="1044"/>
      <c r="RSF43" s="1044"/>
      <c r="RSG43" s="1044"/>
      <c r="RSH43" s="1044"/>
      <c r="RSI43" s="1044"/>
      <c r="RSJ43" s="1044"/>
      <c r="RSK43" s="1044"/>
      <c r="RSL43" s="1044"/>
      <c r="RSM43" s="1044"/>
      <c r="RSN43" s="1044"/>
      <c r="RSO43" s="1044"/>
      <c r="RSP43" s="1044"/>
      <c r="RSQ43" s="1044"/>
      <c r="RSR43" s="1044"/>
      <c r="RSS43" s="1044"/>
      <c r="RST43" s="1044"/>
      <c r="RSU43" s="1044"/>
      <c r="RSV43" s="1044"/>
      <c r="RSW43" s="1044"/>
      <c r="RSX43" s="1044"/>
      <c r="RSY43" s="1044"/>
      <c r="RSZ43" s="1044"/>
      <c r="RTA43" s="1044"/>
      <c r="RTB43" s="1044"/>
      <c r="RTC43" s="1044"/>
      <c r="RTD43" s="1044"/>
      <c r="RTE43" s="1044"/>
      <c r="RTF43" s="1044"/>
      <c r="RTG43" s="1044"/>
      <c r="RTH43" s="1044"/>
      <c r="RTI43" s="1044"/>
      <c r="RTJ43" s="1044"/>
      <c r="RTK43" s="1044"/>
      <c r="RTL43" s="1044"/>
      <c r="RTM43" s="1044"/>
      <c r="RTN43" s="1044"/>
      <c r="RTO43" s="1044"/>
      <c r="RTP43" s="1044"/>
      <c r="RTQ43" s="1044"/>
      <c r="RTR43" s="1044"/>
      <c r="RTS43" s="1044"/>
      <c r="RTT43" s="1044"/>
      <c r="RTU43" s="1044"/>
      <c r="RTV43" s="1044"/>
      <c r="RTW43" s="1044"/>
      <c r="RTX43" s="1044"/>
      <c r="RTY43" s="1044"/>
      <c r="RTZ43" s="1044"/>
      <c r="RUA43" s="1044"/>
      <c r="RUB43" s="1044"/>
      <c r="RUC43" s="1044"/>
      <c r="RUD43" s="1044"/>
      <c r="RUE43" s="1044"/>
      <c r="RUF43" s="1044"/>
      <c r="RUG43" s="1044"/>
      <c r="RUH43" s="1044"/>
      <c r="RUI43" s="1044"/>
      <c r="RUJ43" s="1044"/>
      <c r="RUK43" s="1044"/>
      <c r="RUL43" s="1044"/>
      <c r="RUM43" s="1044"/>
      <c r="RUN43" s="1044"/>
      <c r="RUO43" s="1044"/>
      <c r="RUP43" s="1044"/>
      <c r="RUQ43" s="1044"/>
      <c r="RUR43" s="1044"/>
      <c r="RUS43" s="1044"/>
      <c r="RUT43" s="1044"/>
      <c r="RUU43" s="1044"/>
      <c r="RUV43" s="1044"/>
      <c r="RUW43" s="1044"/>
      <c r="RUX43" s="1044"/>
      <c r="RUY43" s="1044"/>
      <c r="RUZ43" s="1044"/>
      <c r="RVA43" s="1044"/>
      <c r="RVB43" s="1044"/>
      <c r="RVC43" s="1044"/>
      <c r="RVD43" s="1044"/>
      <c r="RVE43" s="1044"/>
      <c r="RVF43" s="1044"/>
      <c r="RVG43" s="1044"/>
      <c r="RVH43" s="1044"/>
      <c r="RVI43" s="1044"/>
      <c r="RVJ43" s="1044"/>
      <c r="RVK43" s="1044"/>
      <c r="RVL43" s="1044"/>
      <c r="RVM43" s="1044"/>
      <c r="RVN43" s="1044"/>
      <c r="RVO43" s="1044"/>
      <c r="RVP43" s="1044"/>
      <c r="RVQ43" s="1044"/>
      <c r="RVR43" s="1044"/>
      <c r="RVS43" s="1044"/>
      <c r="RVT43" s="1044"/>
      <c r="RVU43" s="1044"/>
      <c r="RVV43" s="1044"/>
      <c r="RVW43" s="1044"/>
      <c r="RVX43" s="1044"/>
      <c r="RVY43" s="1044"/>
      <c r="RVZ43" s="1044"/>
      <c r="RWA43" s="1044"/>
      <c r="RWB43" s="1044"/>
      <c r="RWC43" s="1044"/>
      <c r="RWD43" s="1044"/>
      <c r="RWE43" s="1044"/>
      <c r="RWF43" s="1044"/>
      <c r="RWG43" s="1044"/>
      <c r="RWH43" s="1044"/>
      <c r="RWI43" s="1044"/>
      <c r="RWJ43" s="1044"/>
      <c r="RWK43" s="1044"/>
      <c r="RWL43" s="1044"/>
      <c r="RWM43" s="1044"/>
      <c r="RWN43" s="1044"/>
      <c r="RWO43" s="1044"/>
      <c r="RWP43" s="1044"/>
      <c r="RWQ43" s="1044"/>
      <c r="RWR43" s="1044"/>
      <c r="RWS43" s="1044"/>
      <c r="RWT43" s="1044"/>
      <c r="RWU43" s="1044"/>
      <c r="RWV43" s="1044"/>
      <c r="RWW43" s="1044"/>
      <c r="RWX43" s="1044"/>
      <c r="RWY43" s="1044"/>
      <c r="RWZ43" s="1044"/>
      <c r="RXA43" s="1044"/>
      <c r="RXB43" s="1044"/>
      <c r="RXC43" s="1044"/>
      <c r="RXD43" s="1044"/>
      <c r="RXE43" s="1044"/>
      <c r="RXF43" s="1044"/>
      <c r="RXG43" s="1044"/>
      <c r="RXH43" s="1044"/>
      <c r="RXI43" s="1044"/>
      <c r="RXJ43" s="1044"/>
      <c r="RXK43" s="1044"/>
      <c r="RXL43" s="1044"/>
      <c r="RXM43" s="1044"/>
      <c r="RXN43" s="1044"/>
      <c r="RXO43" s="1044"/>
      <c r="RXP43" s="1044"/>
      <c r="RXQ43" s="1044"/>
      <c r="RXR43" s="1044"/>
      <c r="RXS43" s="1044"/>
      <c r="RXT43" s="1044"/>
      <c r="RXU43" s="1044"/>
      <c r="RXV43" s="1044"/>
      <c r="RXW43" s="1044"/>
      <c r="RXX43" s="1044"/>
      <c r="RXY43" s="1044"/>
      <c r="RXZ43" s="1044"/>
      <c r="RYA43" s="1044"/>
      <c r="RYB43" s="1044"/>
      <c r="RYC43" s="1044"/>
      <c r="RYD43" s="1044"/>
      <c r="RYE43" s="1044"/>
      <c r="RYF43" s="1044"/>
      <c r="RYG43" s="1044"/>
      <c r="RYH43" s="1044"/>
      <c r="RYI43" s="1044"/>
      <c r="RYJ43" s="1044"/>
      <c r="RYK43" s="1044"/>
      <c r="RYL43" s="1044"/>
      <c r="RYM43" s="1044"/>
      <c r="RYN43" s="1044"/>
      <c r="RYO43" s="1044"/>
      <c r="RYP43" s="1044"/>
      <c r="RYQ43" s="1044"/>
      <c r="RYR43" s="1044"/>
      <c r="RYS43" s="1044"/>
      <c r="RYT43" s="1044"/>
      <c r="RYU43" s="1044"/>
      <c r="RYV43" s="1044"/>
      <c r="RYW43" s="1044"/>
      <c r="RYX43" s="1044"/>
      <c r="RYY43" s="1044"/>
      <c r="RYZ43" s="1044"/>
      <c r="RZA43" s="1044"/>
      <c r="RZB43" s="1044"/>
      <c r="RZC43" s="1044"/>
      <c r="RZD43" s="1044"/>
      <c r="RZE43" s="1044"/>
      <c r="RZF43" s="1044"/>
      <c r="RZG43" s="1044"/>
      <c r="RZH43" s="1044"/>
      <c r="RZI43" s="1044"/>
      <c r="RZJ43" s="1044"/>
      <c r="RZK43" s="1044"/>
      <c r="RZL43" s="1044"/>
      <c r="RZM43" s="1044"/>
      <c r="RZN43" s="1044"/>
      <c r="RZO43" s="1044"/>
      <c r="RZP43" s="1044"/>
      <c r="RZQ43" s="1044"/>
      <c r="RZR43" s="1044"/>
      <c r="RZS43" s="1044"/>
      <c r="RZT43" s="1044"/>
      <c r="RZU43" s="1044"/>
      <c r="RZV43" s="1044"/>
      <c r="RZW43" s="1044"/>
      <c r="RZX43" s="1044"/>
      <c r="RZY43" s="1044"/>
      <c r="RZZ43" s="1044"/>
      <c r="SAA43" s="1044"/>
      <c r="SAB43" s="1044"/>
      <c r="SAC43" s="1044"/>
      <c r="SAD43" s="1044"/>
      <c r="SAE43" s="1044"/>
      <c r="SAF43" s="1044"/>
      <c r="SAG43" s="1044"/>
      <c r="SAH43" s="1044"/>
      <c r="SAI43" s="1044"/>
      <c r="SAJ43" s="1044"/>
      <c r="SAK43" s="1044"/>
      <c r="SAL43" s="1044"/>
      <c r="SAM43" s="1044"/>
      <c r="SAN43" s="1044"/>
      <c r="SAO43" s="1044"/>
      <c r="SAP43" s="1044"/>
      <c r="SAQ43" s="1044"/>
      <c r="SAR43" s="1044"/>
      <c r="SAS43" s="1044"/>
      <c r="SAT43" s="1044"/>
      <c r="SAU43" s="1044"/>
      <c r="SAV43" s="1044"/>
      <c r="SAW43" s="1044"/>
      <c r="SAX43" s="1044"/>
      <c r="SAY43" s="1044"/>
      <c r="SAZ43" s="1044"/>
      <c r="SBA43" s="1044"/>
      <c r="SBB43" s="1044"/>
      <c r="SBC43" s="1044"/>
      <c r="SBD43" s="1044"/>
      <c r="SBE43" s="1044"/>
      <c r="SBF43" s="1044"/>
      <c r="SBG43" s="1044"/>
      <c r="SBH43" s="1044"/>
      <c r="SBI43" s="1044"/>
      <c r="SBJ43" s="1044"/>
      <c r="SBK43" s="1044"/>
      <c r="SBL43" s="1044"/>
      <c r="SBM43" s="1044"/>
      <c r="SBN43" s="1044"/>
      <c r="SBO43" s="1044"/>
      <c r="SBP43" s="1044"/>
      <c r="SBQ43" s="1044"/>
      <c r="SBR43" s="1044"/>
      <c r="SBS43" s="1044"/>
      <c r="SBT43" s="1044"/>
      <c r="SBU43" s="1044"/>
      <c r="SBV43" s="1044"/>
      <c r="SBW43" s="1044"/>
      <c r="SBX43" s="1044"/>
      <c r="SBY43" s="1044"/>
      <c r="SBZ43" s="1044"/>
      <c r="SCA43" s="1044"/>
      <c r="SCB43" s="1044"/>
      <c r="SCC43" s="1044"/>
      <c r="SCD43" s="1044"/>
      <c r="SCE43" s="1044"/>
      <c r="SCF43" s="1044"/>
      <c r="SCG43" s="1044"/>
      <c r="SCH43" s="1044"/>
      <c r="SCI43" s="1044"/>
      <c r="SCJ43" s="1044"/>
      <c r="SCK43" s="1044"/>
      <c r="SCL43" s="1044"/>
      <c r="SCM43" s="1044"/>
      <c r="SCN43" s="1044"/>
      <c r="SCO43" s="1044"/>
      <c r="SCP43" s="1044"/>
      <c r="SCQ43" s="1044"/>
      <c r="SCR43" s="1044"/>
      <c r="SCS43" s="1044"/>
      <c r="SCT43" s="1044"/>
      <c r="SCU43" s="1044"/>
      <c r="SCV43" s="1044"/>
      <c r="SCW43" s="1044"/>
      <c r="SCX43" s="1044"/>
      <c r="SCY43" s="1044"/>
      <c r="SCZ43" s="1044"/>
      <c r="SDA43" s="1044"/>
      <c r="SDB43" s="1044"/>
      <c r="SDC43" s="1044"/>
      <c r="SDD43" s="1044"/>
      <c r="SDE43" s="1044"/>
      <c r="SDF43" s="1044"/>
      <c r="SDG43" s="1044"/>
      <c r="SDH43" s="1044"/>
      <c r="SDI43" s="1044"/>
      <c r="SDJ43" s="1044"/>
      <c r="SDK43" s="1044"/>
      <c r="SDL43" s="1044"/>
      <c r="SDM43" s="1044"/>
      <c r="SDN43" s="1044"/>
      <c r="SDO43" s="1044"/>
      <c r="SDP43" s="1044"/>
      <c r="SDQ43" s="1044"/>
      <c r="SDR43" s="1044"/>
      <c r="SDS43" s="1044"/>
      <c r="SDT43" s="1044"/>
      <c r="SDU43" s="1044"/>
      <c r="SDV43" s="1044"/>
      <c r="SDW43" s="1044"/>
      <c r="SDX43" s="1044"/>
      <c r="SDY43" s="1044"/>
      <c r="SDZ43" s="1044"/>
      <c r="SEA43" s="1044"/>
      <c r="SEB43" s="1044"/>
      <c r="SEC43" s="1044"/>
      <c r="SED43" s="1044"/>
      <c r="SEE43" s="1044"/>
      <c r="SEF43" s="1044"/>
      <c r="SEG43" s="1044"/>
      <c r="SEH43" s="1044"/>
      <c r="SEI43" s="1044"/>
      <c r="SEJ43" s="1044"/>
      <c r="SEK43" s="1044"/>
      <c r="SEL43" s="1044"/>
      <c r="SEM43" s="1044"/>
      <c r="SEN43" s="1044"/>
      <c r="SEO43" s="1044"/>
      <c r="SEP43" s="1044"/>
      <c r="SEQ43" s="1044"/>
      <c r="SER43" s="1044"/>
      <c r="SES43" s="1044"/>
      <c r="SET43" s="1044"/>
      <c r="SEU43" s="1044"/>
      <c r="SEV43" s="1044"/>
      <c r="SEW43" s="1044"/>
      <c r="SEX43" s="1044"/>
      <c r="SEY43" s="1044"/>
      <c r="SEZ43" s="1044"/>
      <c r="SFA43" s="1044"/>
      <c r="SFB43" s="1044"/>
      <c r="SFC43" s="1044"/>
      <c r="SFD43" s="1044"/>
      <c r="SFE43" s="1044"/>
      <c r="SFF43" s="1044"/>
      <c r="SFG43" s="1044"/>
      <c r="SFH43" s="1044"/>
      <c r="SFI43" s="1044"/>
      <c r="SFJ43" s="1044"/>
      <c r="SFK43" s="1044"/>
      <c r="SFL43" s="1044"/>
      <c r="SFM43" s="1044"/>
      <c r="SFN43" s="1044"/>
      <c r="SFO43" s="1044"/>
      <c r="SFP43" s="1044"/>
      <c r="SFQ43" s="1044"/>
      <c r="SFR43" s="1044"/>
      <c r="SFS43" s="1044"/>
      <c r="SFT43" s="1044"/>
      <c r="SFU43" s="1044"/>
      <c r="SFV43" s="1044"/>
      <c r="SFW43" s="1044"/>
      <c r="SFX43" s="1044"/>
      <c r="SFY43" s="1044"/>
      <c r="SFZ43" s="1044"/>
      <c r="SGA43" s="1044"/>
      <c r="SGB43" s="1044"/>
      <c r="SGC43" s="1044"/>
      <c r="SGD43" s="1044"/>
      <c r="SGE43" s="1044"/>
      <c r="SGF43" s="1044"/>
      <c r="SGG43" s="1044"/>
      <c r="SGH43" s="1044"/>
      <c r="SGI43" s="1044"/>
      <c r="SGJ43" s="1044"/>
      <c r="SGK43" s="1044"/>
      <c r="SGL43" s="1044"/>
      <c r="SGM43" s="1044"/>
      <c r="SGN43" s="1044"/>
      <c r="SGO43" s="1044"/>
      <c r="SGP43" s="1044"/>
      <c r="SGQ43" s="1044"/>
      <c r="SGR43" s="1044"/>
      <c r="SGS43" s="1044"/>
      <c r="SGT43" s="1044"/>
      <c r="SGU43" s="1044"/>
      <c r="SGV43" s="1044"/>
      <c r="SGW43" s="1044"/>
      <c r="SGX43" s="1044"/>
      <c r="SGY43" s="1044"/>
      <c r="SGZ43" s="1044"/>
      <c r="SHA43" s="1044"/>
      <c r="SHB43" s="1044"/>
      <c r="SHC43" s="1044"/>
      <c r="SHD43" s="1044"/>
      <c r="SHE43" s="1044"/>
      <c r="SHF43" s="1044"/>
      <c r="SHG43" s="1044"/>
      <c r="SHH43" s="1044"/>
      <c r="SHI43" s="1044"/>
      <c r="SHJ43" s="1044"/>
      <c r="SHK43" s="1044"/>
      <c r="SHL43" s="1044"/>
      <c r="SHM43" s="1044"/>
      <c r="SHN43" s="1044"/>
      <c r="SHO43" s="1044"/>
      <c r="SHP43" s="1044"/>
      <c r="SHQ43" s="1044"/>
      <c r="SHR43" s="1044"/>
      <c r="SHS43" s="1044"/>
      <c r="SHT43" s="1044"/>
      <c r="SHU43" s="1044"/>
      <c r="SHV43" s="1044"/>
      <c r="SHW43" s="1044"/>
      <c r="SHX43" s="1044"/>
      <c r="SHY43" s="1044"/>
      <c r="SHZ43" s="1044"/>
      <c r="SIA43" s="1044"/>
      <c r="SIB43" s="1044"/>
      <c r="SIC43" s="1044"/>
      <c r="SID43" s="1044"/>
      <c r="SIE43" s="1044"/>
      <c r="SIF43" s="1044"/>
      <c r="SIG43" s="1044"/>
      <c r="SIH43" s="1044"/>
      <c r="SII43" s="1044"/>
      <c r="SIJ43" s="1044"/>
      <c r="SIK43" s="1044"/>
      <c r="SIL43" s="1044"/>
      <c r="SIM43" s="1044"/>
      <c r="SIN43" s="1044"/>
      <c r="SIO43" s="1044"/>
      <c r="SIP43" s="1044"/>
      <c r="SIQ43" s="1044"/>
      <c r="SIR43" s="1044"/>
      <c r="SIS43" s="1044"/>
      <c r="SIT43" s="1044"/>
      <c r="SIU43" s="1044"/>
      <c r="SIV43" s="1044"/>
      <c r="SIW43" s="1044"/>
      <c r="SIX43" s="1044"/>
      <c r="SIY43" s="1044"/>
      <c r="SIZ43" s="1044"/>
      <c r="SJA43" s="1044"/>
      <c r="SJB43" s="1044"/>
      <c r="SJC43" s="1044"/>
      <c r="SJD43" s="1044"/>
      <c r="SJE43" s="1044"/>
      <c r="SJF43" s="1044"/>
      <c r="SJG43" s="1044"/>
      <c r="SJH43" s="1044"/>
      <c r="SJI43" s="1044"/>
      <c r="SJJ43" s="1044"/>
      <c r="SJK43" s="1044"/>
      <c r="SJL43" s="1044"/>
      <c r="SJM43" s="1044"/>
      <c r="SJN43" s="1044"/>
      <c r="SJO43" s="1044"/>
      <c r="SJP43" s="1044"/>
      <c r="SJQ43" s="1044"/>
      <c r="SJR43" s="1044"/>
      <c r="SJS43" s="1044"/>
      <c r="SJT43" s="1044"/>
      <c r="SJU43" s="1044"/>
      <c r="SJV43" s="1044"/>
      <c r="SJW43" s="1044"/>
      <c r="SJX43" s="1044"/>
      <c r="SJY43" s="1044"/>
      <c r="SJZ43" s="1044"/>
      <c r="SKA43" s="1044"/>
      <c r="SKB43" s="1044"/>
      <c r="SKC43" s="1044"/>
      <c r="SKD43" s="1044"/>
      <c r="SKE43" s="1044"/>
      <c r="SKF43" s="1044"/>
      <c r="SKG43" s="1044"/>
      <c r="SKH43" s="1044"/>
      <c r="SKI43" s="1044"/>
      <c r="SKJ43" s="1044"/>
      <c r="SKK43" s="1044"/>
      <c r="SKL43" s="1044"/>
      <c r="SKM43" s="1044"/>
      <c r="SKN43" s="1044"/>
      <c r="SKO43" s="1044"/>
      <c r="SKP43" s="1044"/>
      <c r="SKQ43" s="1044"/>
      <c r="SKR43" s="1044"/>
      <c r="SKS43" s="1044"/>
      <c r="SKT43" s="1044"/>
      <c r="SKU43" s="1044"/>
      <c r="SKV43" s="1044"/>
      <c r="SKW43" s="1044"/>
      <c r="SKX43" s="1044"/>
      <c r="SKY43" s="1044"/>
      <c r="SKZ43" s="1044"/>
      <c r="SLA43" s="1044"/>
      <c r="SLB43" s="1044"/>
      <c r="SLC43" s="1044"/>
      <c r="SLD43" s="1044"/>
      <c r="SLE43" s="1044"/>
      <c r="SLF43" s="1044"/>
      <c r="SLG43" s="1044"/>
      <c r="SLH43" s="1044"/>
      <c r="SLI43" s="1044"/>
      <c r="SLJ43" s="1044"/>
      <c r="SLK43" s="1044"/>
      <c r="SLL43" s="1044"/>
      <c r="SLM43" s="1044"/>
      <c r="SLN43" s="1044"/>
      <c r="SLO43" s="1044"/>
      <c r="SLP43" s="1044"/>
      <c r="SLQ43" s="1044"/>
      <c r="SLR43" s="1044"/>
      <c r="SLS43" s="1044"/>
      <c r="SLT43" s="1044"/>
      <c r="SLU43" s="1044"/>
      <c r="SLV43" s="1044"/>
      <c r="SLW43" s="1044"/>
      <c r="SLX43" s="1044"/>
      <c r="SLY43" s="1044"/>
      <c r="SLZ43" s="1044"/>
      <c r="SMA43" s="1044"/>
      <c r="SMB43" s="1044"/>
      <c r="SMC43" s="1044"/>
      <c r="SMD43" s="1044"/>
      <c r="SME43" s="1044"/>
      <c r="SMF43" s="1044"/>
      <c r="SMG43" s="1044"/>
      <c r="SMH43" s="1044"/>
      <c r="SMI43" s="1044"/>
      <c r="SMJ43" s="1044"/>
      <c r="SMK43" s="1044"/>
      <c r="SML43" s="1044"/>
      <c r="SMM43" s="1044"/>
      <c r="SMN43" s="1044"/>
      <c r="SMO43" s="1044"/>
      <c r="SMP43" s="1044"/>
      <c r="SMQ43" s="1044"/>
      <c r="SMR43" s="1044"/>
      <c r="SMS43" s="1044"/>
      <c r="SMT43" s="1044"/>
      <c r="SMU43" s="1044"/>
      <c r="SMV43" s="1044"/>
      <c r="SMW43" s="1044"/>
      <c r="SMX43" s="1044"/>
      <c r="SMY43" s="1044"/>
      <c r="SMZ43" s="1044"/>
      <c r="SNA43" s="1044"/>
      <c r="SNB43" s="1044"/>
      <c r="SNC43" s="1044"/>
      <c r="SND43" s="1044"/>
      <c r="SNE43" s="1044"/>
      <c r="SNF43" s="1044"/>
      <c r="SNG43" s="1044"/>
      <c r="SNH43" s="1044"/>
      <c r="SNI43" s="1044"/>
      <c r="SNJ43" s="1044"/>
      <c r="SNK43" s="1044"/>
      <c r="SNL43" s="1044"/>
      <c r="SNM43" s="1044"/>
      <c r="SNN43" s="1044"/>
      <c r="SNO43" s="1044"/>
      <c r="SNP43" s="1044"/>
      <c r="SNQ43" s="1044"/>
      <c r="SNR43" s="1044"/>
      <c r="SNS43" s="1044"/>
      <c r="SNT43" s="1044"/>
      <c r="SNU43" s="1044"/>
      <c r="SNV43" s="1044"/>
      <c r="SNW43" s="1044"/>
      <c r="SNX43" s="1044"/>
      <c r="SNY43" s="1044"/>
      <c r="SNZ43" s="1044"/>
      <c r="SOA43" s="1044"/>
      <c r="SOB43" s="1044"/>
      <c r="SOC43" s="1044"/>
      <c r="SOD43" s="1044"/>
      <c r="SOE43" s="1044"/>
      <c r="SOF43" s="1044"/>
      <c r="SOG43" s="1044"/>
      <c r="SOH43" s="1044"/>
      <c r="SOI43" s="1044"/>
      <c r="SOJ43" s="1044"/>
      <c r="SOK43" s="1044"/>
      <c r="SOL43" s="1044"/>
      <c r="SOM43" s="1044"/>
      <c r="SON43" s="1044"/>
      <c r="SOO43" s="1044"/>
      <c r="SOP43" s="1044"/>
      <c r="SOQ43" s="1044"/>
      <c r="SOR43" s="1044"/>
      <c r="SOS43" s="1044"/>
      <c r="SOT43" s="1044"/>
      <c r="SOU43" s="1044"/>
      <c r="SOV43" s="1044"/>
      <c r="SOW43" s="1044"/>
      <c r="SOX43" s="1044"/>
      <c r="SOY43" s="1044"/>
      <c r="SOZ43" s="1044"/>
      <c r="SPA43" s="1044"/>
      <c r="SPB43" s="1044"/>
      <c r="SPC43" s="1044"/>
      <c r="SPD43" s="1044"/>
      <c r="SPE43" s="1044"/>
      <c r="SPF43" s="1044"/>
      <c r="SPG43" s="1044"/>
      <c r="SPH43" s="1044"/>
      <c r="SPI43" s="1044"/>
      <c r="SPJ43" s="1044"/>
      <c r="SPK43" s="1044"/>
      <c r="SPL43" s="1044"/>
      <c r="SPM43" s="1044"/>
      <c r="SPN43" s="1044"/>
      <c r="SPO43" s="1044"/>
      <c r="SPP43" s="1044"/>
      <c r="SPQ43" s="1044"/>
      <c r="SPR43" s="1044"/>
      <c r="SPS43" s="1044"/>
      <c r="SPT43" s="1044"/>
      <c r="SPU43" s="1044"/>
      <c r="SPV43" s="1044"/>
      <c r="SPW43" s="1044"/>
      <c r="SPX43" s="1044"/>
      <c r="SPY43" s="1044"/>
      <c r="SPZ43" s="1044"/>
      <c r="SQA43" s="1044"/>
      <c r="SQB43" s="1044"/>
      <c r="SQC43" s="1044"/>
      <c r="SQD43" s="1044"/>
      <c r="SQE43" s="1044"/>
      <c r="SQF43" s="1044"/>
      <c r="SQG43" s="1044"/>
      <c r="SQH43" s="1044"/>
      <c r="SQI43" s="1044"/>
      <c r="SQJ43" s="1044"/>
      <c r="SQK43" s="1044"/>
      <c r="SQL43" s="1044"/>
      <c r="SQM43" s="1044"/>
      <c r="SQN43" s="1044"/>
      <c r="SQO43" s="1044"/>
      <c r="SQP43" s="1044"/>
      <c r="SQQ43" s="1044"/>
      <c r="SQR43" s="1044"/>
      <c r="SQS43" s="1044"/>
      <c r="SQT43" s="1044"/>
      <c r="SQU43" s="1044"/>
      <c r="SQV43" s="1044"/>
      <c r="SQW43" s="1044"/>
      <c r="SQX43" s="1044"/>
      <c r="SQY43" s="1044"/>
      <c r="SQZ43" s="1044"/>
      <c r="SRA43" s="1044"/>
      <c r="SRB43" s="1044"/>
      <c r="SRC43" s="1044"/>
      <c r="SRD43" s="1044"/>
      <c r="SRE43" s="1044"/>
      <c r="SRF43" s="1044"/>
      <c r="SRG43" s="1044"/>
      <c r="SRH43" s="1044"/>
      <c r="SRI43" s="1044"/>
      <c r="SRJ43" s="1044"/>
      <c r="SRK43" s="1044"/>
      <c r="SRL43" s="1044"/>
      <c r="SRM43" s="1044"/>
      <c r="SRN43" s="1044"/>
      <c r="SRO43" s="1044"/>
      <c r="SRP43" s="1044"/>
      <c r="SRQ43" s="1044"/>
      <c r="SRR43" s="1044"/>
      <c r="SRS43" s="1044"/>
      <c r="SRT43" s="1044"/>
      <c r="SRU43" s="1044"/>
      <c r="SRV43" s="1044"/>
      <c r="SRW43" s="1044"/>
      <c r="SRX43" s="1044"/>
      <c r="SRY43" s="1044"/>
      <c r="SRZ43" s="1044"/>
      <c r="SSA43" s="1044"/>
      <c r="SSB43" s="1044"/>
      <c r="SSC43" s="1044"/>
      <c r="SSD43" s="1044"/>
      <c r="SSE43" s="1044"/>
      <c r="SSF43" s="1044"/>
      <c r="SSG43" s="1044"/>
      <c r="SSH43" s="1044"/>
      <c r="SSI43" s="1044"/>
      <c r="SSJ43" s="1044"/>
      <c r="SSK43" s="1044"/>
      <c r="SSL43" s="1044"/>
      <c r="SSM43" s="1044"/>
      <c r="SSN43" s="1044"/>
      <c r="SSO43" s="1044"/>
      <c r="SSP43" s="1044"/>
      <c r="SSQ43" s="1044"/>
      <c r="SSR43" s="1044"/>
      <c r="SSS43" s="1044"/>
      <c r="SST43" s="1044"/>
      <c r="SSU43" s="1044"/>
      <c r="SSV43" s="1044"/>
      <c r="SSW43" s="1044"/>
      <c r="SSX43" s="1044"/>
      <c r="SSY43" s="1044"/>
      <c r="SSZ43" s="1044"/>
      <c r="STA43" s="1044"/>
      <c r="STB43" s="1044"/>
      <c r="STC43" s="1044"/>
      <c r="STD43" s="1044"/>
      <c r="STE43" s="1044"/>
      <c r="STF43" s="1044"/>
      <c r="STG43" s="1044"/>
      <c r="STH43" s="1044"/>
      <c r="STI43" s="1044"/>
      <c r="STJ43" s="1044"/>
      <c r="STK43" s="1044"/>
      <c r="STL43" s="1044"/>
      <c r="STM43" s="1044"/>
      <c r="STN43" s="1044"/>
      <c r="STO43" s="1044"/>
      <c r="STP43" s="1044"/>
      <c r="STQ43" s="1044"/>
      <c r="STR43" s="1044"/>
      <c r="STS43" s="1044"/>
      <c r="STT43" s="1044"/>
      <c r="STU43" s="1044"/>
      <c r="STV43" s="1044"/>
      <c r="STW43" s="1044"/>
      <c r="STX43" s="1044"/>
      <c r="STY43" s="1044"/>
      <c r="STZ43" s="1044"/>
      <c r="SUA43" s="1044"/>
      <c r="SUB43" s="1044"/>
      <c r="SUC43" s="1044"/>
      <c r="SUD43" s="1044"/>
      <c r="SUE43" s="1044"/>
      <c r="SUF43" s="1044"/>
      <c r="SUG43" s="1044"/>
      <c r="SUH43" s="1044"/>
      <c r="SUI43" s="1044"/>
      <c r="SUJ43" s="1044"/>
      <c r="SUK43" s="1044"/>
      <c r="SUL43" s="1044"/>
      <c r="SUM43" s="1044"/>
      <c r="SUN43" s="1044"/>
      <c r="SUO43" s="1044"/>
      <c r="SUP43" s="1044"/>
      <c r="SUQ43" s="1044"/>
      <c r="SUR43" s="1044"/>
      <c r="SUS43" s="1044"/>
      <c r="SUT43" s="1044"/>
      <c r="SUU43" s="1044"/>
      <c r="SUV43" s="1044"/>
      <c r="SUW43" s="1044"/>
      <c r="SUX43" s="1044"/>
      <c r="SUY43" s="1044"/>
      <c r="SUZ43" s="1044"/>
      <c r="SVA43" s="1044"/>
      <c r="SVB43" s="1044"/>
      <c r="SVC43" s="1044"/>
      <c r="SVD43" s="1044"/>
      <c r="SVE43" s="1044"/>
      <c r="SVF43" s="1044"/>
      <c r="SVG43" s="1044"/>
      <c r="SVH43" s="1044"/>
      <c r="SVI43" s="1044"/>
      <c r="SVJ43" s="1044"/>
      <c r="SVK43" s="1044"/>
      <c r="SVL43" s="1044"/>
      <c r="SVM43" s="1044"/>
      <c r="SVN43" s="1044"/>
      <c r="SVO43" s="1044"/>
      <c r="SVP43" s="1044"/>
      <c r="SVQ43" s="1044"/>
      <c r="SVR43" s="1044"/>
      <c r="SVS43" s="1044"/>
      <c r="SVT43" s="1044"/>
      <c r="SVU43" s="1044"/>
      <c r="SVV43" s="1044"/>
      <c r="SVW43" s="1044"/>
      <c r="SVX43" s="1044"/>
      <c r="SVY43" s="1044"/>
      <c r="SVZ43" s="1044"/>
      <c r="SWA43" s="1044"/>
      <c r="SWB43" s="1044"/>
      <c r="SWC43" s="1044"/>
      <c r="SWD43" s="1044"/>
      <c r="SWE43" s="1044"/>
      <c r="SWF43" s="1044"/>
      <c r="SWG43" s="1044"/>
      <c r="SWH43" s="1044"/>
      <c r="SWI43" s="1044"/>
      <c r="SWJ43" s="1044"/>
      <c r="SWK43" s="1044"/>
      <c r="SWL43" s="1044"/>
      <c r="SWM43" s="1044"/>
      <c r="SWN43" s="1044"/>
      <c r="SWO43" s="1044"/>
      <c r="SWP43" s="1044"/>
      <c r="SWQ43" s="1044"/>
      <c r="SWR43" s="1044"/>
      <c r="SWS43" s="1044"/>
      <c r="SWT43" s="1044"/>
      <c r="SWU43" s="1044"/>
      <c r="SWV43" s="1044"/>
      <c r="SWW43" s="1044"/>
      <c r="SWX43" s="1044"/>
      <c r="SWY43" s="1044"/>
      <c r="SWZ43" s="1044"/>
      <c r="SXA43" s="1044"/>
      <c r="SXB43" s="1044"/>
      <c r="SXC43" s="1044"/>
      <c r="SXD43" s="1044"/>
      <c r="SXE43" s="1044"/>
      <c r="SXF43" s="1044"/>
      <c r="SXG43" s="1044"/>
      <c r="SXH43" s="1044"/>
      <c r="SXI43" s="1044"/>
      <c r="SXJ43" s="1044"/>
      <c r="SXK43" s="1044"/>
      <c r="SXL43" s="1044"/>
      <c r="SXM43" s="1044"/>
      <c r="SXN43" s="1044"/>
      <c r="SXO43" s="1044"/>
      <c r="SXP43" s="1044"/>
      <c r="SXQ43" s="1044"/>
      <c r="SXR43" s="1044"/>
      <c r="SXS43" s="1044"/>
      <c r="SXT43" s="1044"/>
      <c r="SXU43" s="1044"/>
      <c r="SXV43" s="1044"/>
      <c r="SXW43" s="1044"/>
      <c r="SXX43" s="1044"/>
      <c r="SXY43" s="1044"/>
      <c r="SXZ43" s="1044"/>
      <c r="SYA43" s="1044"/>
      <c r="SYB43" s="1044"/>
      <c r="SYC43" s="1044"/>
      <c r="SYD43" s="1044"/>
      <c r="SYE43" s="1044"/>
      <c r="SYF43" s="1044"/>
      <c r="SYG43" s="1044"/>
      <c r="SYH43" s="1044"/>
      <c r="SYI43" s="1044"/>
      <c r="SYJ43" s="1044"/>
      <c r="SYK43" s="1044"/>
      <c r="SYL43" s="1044"/>
      <c r="SYM43" s="1044"/>
      <c r="SYN43" s="1044"/>
      <c r="SYO43" s="1044"/>
      <c r="SYP43" s="1044"/>
      <c r="SYQ43" s="1044"/>
      <c r="SYR43" s="1044"/>
      <c r="SYS43" s="1044"/>
      <c r="SYT43" s="1044"/>
      <c r="SYU43" s="1044"/>
      <c r="SYV43" s="1044"/>
      <c r="SYW43" s="1044"/>
      <c r="SYX43" s="1044"/>
      <c r="SYY43" s="1044"/>
      <c r="SYZ43" s="1044"/>
      <c r="SZA43" s="1044"/>
      <c r="SZB43" s="1044"/>
      <c r="SZC43" s="1044"/>
      <c r="SZD43" s="1044"/>
      <c r="SZE43" s="1044"/>
      <c r="SZF43" s="1044"/>
      <c r="SZG43" s="1044"/>
      <c r="SZH43" s="1044"/>
      <c r="SZI43" s="1044"/>
      <c r="SZJ43" s="1044"/>
      <c r="SZK43" s="1044"/>
      <c r="SZL43" s="1044"/>
      <c r="SZM43" s="1044"/>
      <c r="SZN43" s="1044"/>
      <c r="SZO43" s="1044"/>
      <c r="SZP43" s="1044"/>
      <c r="SZQ43" s="1044"/>
      <c r="SZR43" s="1044"/>
      <c r="SZS43" s="1044"/>
      <c r="SZT43" s="1044"/>
      <c r="SZU43" s="1044"/>
      <c r="SZV43" s="1044"/>
      <c r="SZW43" s="1044"/>
      <c r="SZX43" s="1044"/>
      <c r="SZY43" s="1044"/>
      <c r="SZZ43" s="1044"/>
      <c r="TAA43" s="1044"/>
      <c r="TAB43" s="1044"/>
      <c r="TAC43" s="1044"/>
      <c r="TAD43" s="1044"/>
      <c r="TAE43" s="1044"/>
      <c r="TAF43" s="1044"/>
      <c r="TAG43" s="1044"/>
      <c r="TAH43" s="1044"/>
      <c r="TAI43" s="1044"/>
      <c r="TAJ43" s="1044"/>
      <c r="TAK43" s="1044"/>
      <c r="TAL43" s="1044"/>
      <c r="TAM43" s="1044"/>
      <c r="TAN43" s="1044"/>
      <c r="TAO43" s="1044"/>
      <c r="TAP43" s="1044"/>
      <c r="TAQ43" s="1044"/>
      <c r="TAR43" s="1044"/>
      <c r="TAS43" s="1044"/>
      <c r="TAT43" s="1044"/>
      <c r="TAU43" s="1044"/>
      <c r="TAV43" s="1044"/>
      <c r="TAW43" s="1044"/>
      <c r="TAX43" s="1044"/>
      <c r="TAY43" s="1044"/>
      <c r="TAZ43" s="1044"/>
      <c r="TBA43" s="1044"/>
      <c r="TBB43" s="1044"/>
      <c r="TBC43" s="1044"/>
      <c r="TBD43" s="1044"/>
      <c r="TBE43" s="1044"/>
      <c r="TBF43" s="1044"/>
      <c r="TBG43" s="1044"/>
      <c r="TBH43" s="1044"/>
      <c r="TBI43" s="1044"/>
      <c r="TBJ43" s="1044"/>
      <c r="TBK43" s="1044"/>
      <c r="TBL43" s="1044"/>
      <c r="TBM43" s="1044"/>
      <c r="TBN43" s="1044"/>
      <c r="TBO43" s="1044"/>
      <c r="TBP43" s="1044"/>
      <c r="TBQ43" s="1044"/>
      <c r="TBR43" s="1044"/>
      <c r="TBS43" s="1044"/>
      <c r="TBT43" s="1044"/>
      <c r="TBU43" s="1044"/>
      <c r="TBV43" s="1044"/>
      <c r="TBW43" s="1044"/>
      <c r="TBX43" s="1044"/>
      <c r="TBY43" s="1044"/>
      <c r="TBZ43" s="1044"/>
      <c r="TCA43" s="1044"/>
      <c r="TCB43" s="1044"/>
      <c r="TCC43" s="1044"/>
      <c r="TCD43" s="1044"/>
      <c r="TCE43" s="1044"/>
      <c r="TCF43" s="1044"/>
      <c r="TCG43" s="1044"/>
      <c r="TCH43" s="1044"/>
      <c r="TCI43" s="1044"/>
      <c r="TCJ43" s="1044"/>
      <c r="TCK43" s="1044"/>
      <c r="TCL43" s="1044"/>
      <c r="TCM43" s="1044"/>
      <c r="TCN43" s="1044"/>
      <c r="TCO43" s="1044"/>
      <c r="TCP43" s="1044"/>
      <c r="TCQ43" s="1044"/>
      <c r="TCR43" s="1044"/>
      <c r="TCS43" s="1044"/>
      <c r="TCT43" s="1044"/>
      <c r="TCU43" s="1044"/>
      <c r="TCV43" s="1044"/>
      <c r="TCW43" s="1044"/>
      <c r="TCX43" s="1044"/>
      <c r="TCY43" s="1044"/>
      <c r="TCZ43" s="1044"/>
      <c r="TDA43" s="1044"/>
      <c r="TDB43" s="1044"/>
      <c r="TDC43" s="1044"/>
      <c r="TDD43" s="1044"/>
      <c r="TDE43" s="1044"/>
      <c r="TDF43" s="1044"/>
      <c r="TDG43" s="1044"/>
      <c r="TDH43" s="1044"/>
      <c r="TDI43" s="1044"/>
      <c r="TDJ43" s="1044"/>
      <c r="TDK43" s="1044"/>
      <c r="TDL43" s="1044"/>
      <c r="TDM43" s="1044"/>
      <c r="TDN43" s="1044"/>
      <c r="TDO43" s="1044"/>
      <c r="TDP43" s="1044"/>
      <c r="TDQ43" s="1044"/>
      <c r="TDR43" s="1044"/>
      <c r="TDS43" s="1044"/>
      <c r="TDT43" s="1044"/>
      <c r="TDU43" s="1044"/>
      <c r="TDV43" s="1044"/>
      <c r="TDW43" s="1044"/>
      <c r="TDX43" s="1044"/>
      <c r="TDY43" s="1044"/>
      <c r="TDZ43" s="1044"/>
      <c r="TEA43" s="1044"/>
      <c r="TEB43" s="1044"/>
      <c r="TEC43" s="1044"/>
      <c r="TED43" s="1044"/>
      <c r="TEE43" s="1044"/>
      <c r="TEF43" s="1044"/>
      <c r="TEG43" s="1044"/>
      <c r="TEH43" s="1044"/>
      <c r="TEI43" s="1044"/>
      <c r="TEJ43" s="1044"/>
      <c r="TEK43" s="1044"/>
      <c r="TEL43" s="1044"/>
      <c r="TEM43" s="1044"/>
      <c r="TEN43" s="1044"/>
      <c r="TEO43" s="1044"/>
      <c r="TEP43" s="1044"/>
      <c r="TEQ43" s="1044"/>
      <c r="TER43" s="1044"/>
      <c r="TES43" s="1044"/>
      <c r="TET43" s="1044"/>
      <c r="TEU43" s="1044"/>
      <c r="TEV43" s="1044"/>
      <c r="TEW43" s="1044"/>
      <c r="TEX43" s="1044"/>
      <c r="TEY43" s="1044"/>
      <c r="TEZ43" s="1044"/>
      <c r="TFA43" s="1044"/>
      <c r="TFB43" s="1044"/>
      <c r="TFC43" s="1044"/>
      <c r="TFD43" s="1044"/>
      <c r="TFE43" s="1044"/>
      <c r="TFF43" s="1044"/>
      <c r="TFG43" s="1044"/>
      <c r="TFH43" s="1044"/>
      <c r="TFI43" s="1044"/>
      <c r="TFJ43" s="1044"/>
      <c r="TFK43" s="1044"/>
      <c r="TFL43" s="1044"/>
      <c r="TFM43" s="1044"/>
      <c r="TFN43" s="1044"/>
      <c r="TFO43" s="1044"/>
      <c r="TFP43" s="1044"/>
      <c r="TFQ43" s="1044"/>
      <c r="TFR43" s="1044"/>
      <c r="TFS43" s="1044"/>
      <c r="TFT43" s="1044"/>
      <c r="TFU43" s="1044"/>
      <c r="TFV43" s="1044"/>
      <c r="TFW43" s="1044"/>
      <c r="TFX43" s="1044"/>
      <c r="TFY43" s="1044"/>
      <c r="TFZ43" s="1044"/>
      <c r="TGA43" s="1044"/>
      <c r="TGB43" s="1044"/>
      <c r="TGC43" s="1044"/>
      <c r="TGD43" s="1044"/>
      <c r="TGE43" s="1044"/>
      <c r="TGF43" s="1044"/>
      <c r="TGG43" s="1044"/>
      <c r="TGH43" s="1044"/>
      <c r="TGI43" s="1044"/>
      <c r="TGJ43" s="1044"/>
      <c r="TGK43" s="1044"/>
      <c r="TGL43" s="1044"/>
      <c r="TGM43" s="1044"/>
      <c r="TGN43" s="1044"/>
      <c r="TGO43" s="1044"/>
      <c r="TGP43" s="1044"/>
      <c r="TGQ43" s="1044"/>
      <c r="TGR43" s="1044"/>
      <c r="TGS43" s="1044"/>
      <c r="TGT43" s="1044"/>
      <c r="TGU43" s="1044"/>
      <c r="TGV43" s="1044"/>
      <c r="TGW43" s="1044"/>
      <c r="TGX43" s="1044"/>
      <c r="TGY43" s="1044"/>
      <c r="TGZ43" s="1044"/>
      <c r="THA43" s="1044"/>
      <c r="THB43" s="1044"/>
      <c r="THC43" s="1044"/>
      <c r="THD43" s="1044"/>
      <c r="THE43" s="1044"/>
      <c r="THF43" s="1044"/>
      <c r="THG43" s="1044"/>
      <c r="THH43" s="1044"/>
      <c r="THI43" s="1044"/>
      <c r="THJ43" s="1044"/>
      <c r="THK43" s="1044"/>
      <c r="THL43" s="1044"/>
      <c r="THM43" s="1044"/>
      <c r="THN43" s="1044"/>
      <c r="THO43" s="1044"/>
      <c r="THP43" s="1044"/>
      <c r="THQ43" s="1044"/>
      <c r="THR43" s="1044"/>
      <c r="THS43" s="1044"/>
      <c r="THT43" s="1044"/>
      <c r="THU43" s="1044"/>
      <c r="THV43" s="1044"/>
      <c r="THW43" s="1044"/>
      <c r="THX43" s="1044"/>
      <c r="THY43" s="1044"/>
      <c r="THZ43" s="1044"/>
      <c r="TIA43" s="1044"/>
      <c r="TIB43" s="1044"/>
      <c r="TIC43" s="1044"/>
      <c r="TID43" s="1044"/>
      <c r="TIE43" s="1044"/>
      <c r="TIF43" s="1044"/>
      <c r="TIG43" s="1044"/>
      <c r="TIH43" s="1044"/>
      <c r="TII43" s="1044"/>
      <c r="TIJ43" s="1044"/>
      <c r="TIK43" s="1044"/>
      <c r="TIL43" s="1044"/>
      <c r="TIM43" s="1044"/>
      <c r="TIN43" s="1044"/>
      <c r="TIO43" s="1044"/>
      <c r="TIP43" s="1044"/>
      <c r="TIQ43" s="1044"/>
      <c r="TIR43" s="1044"/>
      <c r="TIS43" s="1044"/>
      <c r="TIT43" s="1044"/>
      <c r="TIU43" s="1044"/>
      <c r="TIV43" s="1044"/>
      <c r="TIW43" s="1044"/>
      <c r="TIX43" s="1044"/>
      <c r="TIY43" s="1044"/>
      <c r="TIZ43" s="1044"/>
      <c r="TJA43" s="1044"/>
      <c r="TJB43" s="1044"/>
      <c r="TJC43" s="1044"/>
      <c r="TJD43" s="1044"/>
      <c r="TJE43" s="1044"/>
      <c r="TJF43" s="1044"/>
      <c r="TJG43" s="1044"/>
      <c r="TJH43" s="1044"/>
      <c r="TJI43" s="1044"/>
      <c r="TJJ43" s="1044"/>
      <c r="TJK43" s="1044"/>
      <c r="TJL43" s="1044"/>
      <c r="TJM43" s="1044"/>
      <c r="TJN43" s="1044"/>
      <c r="TJO43" s="1044"/>
      <c r="TJP43" s="1044"/>
      <c r="TJQ43" s="1044"/>
      <c r="TJR43" s="1044"/>
      <c r="TJS43" s="1044"/>
      <c r="TJT43" s="1044"/>
      <c r="TJU43" s="1044"/>
      <c r="TJV43" s="1044"/>
      <c r="TJW43" s="1044"/>
      <c r="TJX43" s="1044"/>
      <c r="TJY43" s="1044"/>
      <c r="TJZ43" s="1044"/>
      <c r="TKA43" s="1044"/>
      <c r="TKB43" s="1044"/>
      <c r="TKC43" s="1044"/>
      <c r="TKD43" s="1044"/>
      <c r="TKE43" s="1044"/>
      <c r="TKF43" s="1044"/>
      <c r="TKG43" s="1044"/>
      <c r="TKH43" s="1044"/>
      <c r="TKI43" s="1044"/>
      <c r="TKJ43" s="1044"/>
      <c r="TKK43" s="1044"/>
      <c r="TKL43" s="1044"/>
      <c r="TKM43" s="1044"/>
      <c r="TKN43" s="1044"/>
      <c r="TKO43" s="1044"/>
      <c r="TKP43" s="1044"/>
      <c r="TKQ43" s="1044"/>
      <c r="TKR43" s="1044"/>
      <c r="TKS43" s="1044"/>
      <c r="TKT43" s="1044"/>
      <c r="TKU43" s="1044"/>
      <c r="TKV43" s="1044"/>
      <c r="TKW43" s="1044"/>
      <c r="TKX43" s="1044"/>
      <c r="TKY43" s="1044"/>
      <c r="TKZ43" s="1044"/>
      <c r="TLA43" s="1044"/>
      <c r="TLB43" s="1044"/>
      <c r="TLC43" s="1044"/>
      <c r="TLD43" s="1044"/>
      <c r="TLE43" s="1044"/>
      <c r="TLF43" s="1044"/>
      <c r="TLG43" s="1044"/>
      <c r="TLH43" s="1044"/>
      <c r="TLI43" s="1044"/>
      <c r="TLJ43" s="1044"/>
      <c r="TLK43" s="1044"/>
      <c r="TLL43" s="1044"/>
      <c r="TLM43" s="1044"/>
      <c r="TLN43" s="1044"/>
      <c r="TLO43" s="1044"/>
      <c r="TLP43" s="1044"/>
      <c r="TLQ43" s="1044"/>
      <c r="TLR43" s="1044"/>
      <c r="TLS43" s="1044"/>
      <c r="TLT43" s="1044"/>
      <c r="TLU43" s="1044"/>
      <c r="TLV43" s="1044"/>
      <c r="TLW43" s="1044"/>
      <c r="TLX43" s="1044"/>
      <c r="TLY43" s="1044"/>
      <c r="TLZ43" s="1044"/>
      <c r="TMA43" s="1044"/>
      <c r="TMB43" s="1044"/>
      <c r="TMC43" s="1044"/>
      <c r="TMD43" s="1044"/>
      <c r="TME43" s="1044"/>
      <c r="TMF43" s="1044"/>
      <c r="TMG43" s="1044"/>
      <c r="TMH43" s="1044"/>
      <c r="TMI43" s="1044"/>
      <c r="TMJ43" s="1044"/>
      <c r="TMK43" s="1044"/>
      <c r="TML43" s="1044"/>
      <c r="TMM43" s="1044"/>
      <c r="TMN43" s="1044"/>
      <c r="TMO43" s="1044"/>
      <c r="TMP43" s="1044"/>
      <c r="TMQ43" s="1044"/>
      <c r="TMR43" s="1044"/>
      <c r="TMS43" s="1044"/>
      <c r="TMT43" s="1044"/>
      <c r="TMU43" s="1044"/>
      <c r="TMV43" s="1044"/>
      <c r="TMW43" s="1044"/>
      <c r="TMX43" s="1044"/>
      <c r="TMY43" s="1044"/>
      <c r="TMZ43" s="1044"/>
      <c r="TNA43" s="1044"/>
      <c r="TNB43" s="1044"/>
      <c r="TNC43" s="1044"/>
      <c r="TND43" s="1044"/>
      <c r="TNE43" s="1044"/>
      <c r="TNF43" s="1044"/>
      <c r="TNG43" s="1044"/>
      <c r="TNH43" s="1044"/>
      <c r="TNI43" s="1044"/>
      <c r="TNJ43" s="1044"/>
      <c r="TNK43" s="1044"/>
      <c r="TNL43" s="1044"/>
      <c r="TNM43" s="1044"/>
      <c r="TNN43" s="1044"/>
      <c r="TNO43" s="1044"/>
      <c r="TNP43" s="1044"/>
      <c r="TNQ43" s="1044"/>
      <c r="TNR43" s="1044"/>
      <c r="TNS43" s="1044"/>
      <c r="TNT43" s="1044"/>
      <c r="TNU43" s="1044"/>
      <c r="TNV43" s="1044"/>
      <c r="TNW43" s="1044"/>
      <c r="TNX43" s="1044"/>
      <c r="TNY43" s="1044"/>
      <c r="TNZ43" s="1044"/>
      <c r="TOA43" s="1044"/>
      <c r="TOB43" s="1044"/>
      <c r="TOC43" s="1044"/>
      <c r="TOD43" s="1044"/>
      <c r="TOE43" s="1044"/>
      <c r="TOF43" s="1044"/>
      <c r="TOG43" s="1044"/>
      <c r="TOH43" s="1044"/>
      <c r="TOI43" s="1044"/>
      <c r="TOJ43" s="1044"/>
      <c r="TOK43" s="1044"/>
      <c r="TOL43" s="1044"/>
      <c r="TOM43" s="1044"/>
      <c r="TON43" s="1044"/>
      <c r="TOO43" s="1044"/>
      <c r="TOP43" s="1044"/>
      <c r="TOQ43" s="1044"/>
      <c r="TOR43" s="1044"/>
      <c r="TOS43" s="1044"/>
      <c r="TOT43" s="1044"/>
      <c r="TOU43" s="1044"/>
      <c r="TOV43" s="1044"/>
      <c r="TOW43" s="1044"/>
      <c r="TOX43" s="1044"/>
      <c r="TOY43" s="1044"/>
      <c r="TOZ43" s="1044"/>
      <c r="TPA43" s="1044"/>
      <c r="TPB43" s="1044"/>
      <c r="TPC43" s="1044"/>
      <c r="TPD43" s="1044"/>
      <c r="TPE43" s="1044"/>
      <c r="TPF43" s="1044"/>
      <c r="TPG43" s="1044"/>
      <c r="TPH43" s="1044"/>
      <c r="TPI43" s="1044"/>
      <c r="TPJ43" s="1044"/>
      <c r="TPK43" s="1044"/>
      <c r="TPL43" s="1044"/>
      <c r="TPM43" s="1044"/>
      <c r="TPN43" s="1044"/>
      <c r="TPO43" s="1044"/>
      <c r="TPP43" s="1044"/>
      <c r="TPQ43" s="1044"/>
      <c r="TPR43" s="1044"/>
      <c r="TPS43" s="1044"/>
      <c r="TPT43" s="1044"/>
      <c r="TPU43" s="1044"/>
      <c r="TPV43" s="1044"/>
      <c r="TPW43" s="1044"/>
      <c r="TPX43" s="1044"/>
      <c r="TPY43" s="1044"/>
      <c r="TPZ43" s="1044"/>
      <c r="TQA43" s="1044"/>
      <c r="TQB43" s="1044"/>
      <c r="TQC43" s="1044"/>
      <c r="TQD43" s="1044"/>
      <c r="TQE43" s="1044"/>
      <c r="TQF43" s="1044"/>
      <c r="TQG43" s="1044"/>
      <c r="TQH43" s="1044"/>
      <c r="TQI43" s="1044"/>
      <c r="TQJ43" s="1044"/>
      <c r="TQK43" s="1044"/>
      <c r="TQL43" s="1044"/>
      <c r="TQM43" s="1044"/>
      <c r="TQN43" s="1044"/>
      <c r="TQO43" s="1044"/>
      <c r="TQP43" s="1044"/>
      <c r="TQQ43" s="1044"/>
      <c r="TQR43" s="1044"/>
      <c r="TQS43" s="1044"/>
      <c r="TQT43" s="1044"/>
      <c r="TQU43" s="1044"/>
      <c r="TQV43" s="1044"/>
      <c r="TQW43" s="1044"/>
      <c r="TQX43" s="1044"/>
      <c r="TQY43" s="1044"/>
      <c r="TQZ43" s="1044"/>
      <c r="TRA43" s="1044"/>
      <c r="TRB43" s="1044"/>
      <c r="TRC43" s="1044"/>
      <c r="TRD43" s="1044"/>
      <c r="TRE43" s="1044"/>
      <c r="TRF43" s="1044"/>
      <c r="TRG43" s="1044"/>
      <c r="TRH43" s="1044"/>
      <c r="TRI43" s="1044"/>
      <c r="TRJ43" s="1044"/>
      <c r="TRK43" s="1044"/>
      <c r="TRL43" s="1044"/>
      <c r="TRM43" s="1044"/>
      <c r="TRN43" s="1044"/>
      <c r="TRO43" s="1044"/>
      <c r="TRP43" s="1044"/>
      <c r="TRQ43" s="1044"/>
      <c r="TRR43" s="1044"/>
      <c r="TRS43" s="1044"/>
      <c r="TRT43" s="1044"/>
      <c r="TRU43" s="1044"/>
      <c r="TRV43" s="1044"/>
      <c r="TRW43" s="1044"/>
      <c r="TRX43" s="1044"/>
      <c r="TRY43" s="1044"/>
      <c r="TRZ43" s="1044"/>
      <c r="TSA43" s="1044"/>
      <c r="TSB43" s="1044"/>
      <c r="TSC43" s="1044"/>
      <c r="TSD43" s="1044"/>
      <c r="TSE43" s="1044"/>
      <c r="TSF43" s="1044"/>
      <c r="TSG43" s="1044"/>
      <c r="TSH43" s="1044"/>
      <c r="TSI43" s="1044"/>
      <c r="TSJ43" s="1044"/>
      <c r="TSK43" s="1044"/>
      <c r="TSL43" s="1044"/>
      <c r="TSM43" s="1044"/>
      <c r="TSN43" s="1044"/>
      <c r="TSO43" s="1044"/>
      <c r="TSP43" s="1044"/>
      <c r="TSQ43" s="1044"/>
      <c r="TSR43" s="1044"/>
      <c r="TSS43" s="1044"/>
      <c r="TST43" s="1044"/>
      <c r="TSU43" s="1044"/>
      <c r="TSV43" s="1044"/>
      <c r="TSW43" s="1044"/>
      <c r="TSX43" s="1044"/>
      <c r="TSY43" s="1044"/>
      <c r="TSZ43" s="1044"/>
      <c r="TTA43" s="1044"/>
      <c r="TTB43" s="1044"/>
      <c r="TTC43" s="1044"/>
      <c r="TTD43" s="1044"/>
      <c r="TTE43" s="1044"/>
      <c r="TTF43" s="1044"/>
      <c r="TTG43" s="1044"/>
      <c r="TTH43" s="1044"/>
      <c r="TTI43" s="1044"/>
      <c r="TTJ43" s="1044"/>
      <c r="TTK43" s="1044"/>
      <c r="TTL43" s="1044"/>
      <c r="TTM43" s="1044"/>
      <c r="TTN43" s="1044"/>
      <c r="TTO43" s="1044"/>
      <c r="TTP43" s="1044"/>
      <c r="TTQ43" s="1044"/>
      <c r="TTR43" s="1044"/>
      <c r="TTS43" s="1044"/>
      <c r="TTT43" s="1044"/>
      <c r="TTU43" s="1044"/>
      <c r="TTV43" s="1044"/>
      <c r="TTW43" s="1044"/>
      <c r="TTX43" s="1044"/>
      <c r="TTY43" s="1044"/>
      <c r="TTZ43" s="1044"/>
      <c r="TUA43" s="1044"/>
      <c r="TUB43" s="1044"/>
      <c r="TUC43" s="1044"/>
      <c r="TUD43" s="1044"/>
      <c r="TUE43" s="1044"/>
      <c r="TUF43" s="1044"/>
      <c r="TUG43" s="1044"/>
      <c r="TUH43" s="1044"/>
      <c r="TUI43" s="1044"/>
      <c r="TUJ43" s="1044"/>
      <c r="TUK43" s="1044"/>
      <c r="TUL43" s="1044"/>
      <c r="TUM43" s="1044"/>
      <c r="TUN43" s="1044"/>
      <c r="TUO43" s="1044"/>
      <c r="TUP43" s="1044"/>
      <c r="TUQ43" s="1044"/>
      <c r="TUR43" s="1044"/>
      <c r="TUS43" s="1044"/>
      <c r="TUT43" s="1044"/>
      <c r="TUU43" s="1044"/>
      <c r="TUV43" s="1044"/>
      <c r="TUW43" s="1044"/>
      <c r="TUX43" s="1044"/>
      <c r="TUY43" s="1044"/>
      <c r="TUZ43" s="1044"/>
      <c r="TVA43" s="1044"/>
      <c r="TVB43" s="1044"/>
      <c r="TVC43" s="1044"/>
      <c r="TVD43" s="1044"/>
      <c r="TVE43" s="1044"/>
      <c r="TVF43" s="1044"/>
      <c r="TVG43" s="1044"/>
      <c r="TVH43" s="1044"/>
      <c r="TVI43" s="1044"/>
      <c r="TVJ43" s="1044"/>
      <c r="TVK43" s="1044"/>
      <c r="TVL43" s="1044"/>
      <c r="TVM43" s="1044"/>
      <c r="TVN43" s="1044"/>
      <c r="TVO43" s="1044"/>
      <c r="TVP43" s="1044"/>
      <c r="TVQ43" s="1044"/>
      <c r="TVR43" s="1044"/>
      <c r="TVS43" s="1044"/>
      <c r="TVT43" s="1044"/>
      <c r="TVU43" s="1044"/>
      <c r="TVV43" s="1044"/>
      <c r="TVW43" s="1044"/>
      <c r="TVX43" s="1044"/>
      <c r="TVY43" s="1044"/>
      <c r="TVZ43" s="1044"/>
      <c r="TWA43" s="1044"/>
      <c r="TWB43" s="1044"/>
      <c r="TWC43" s="1044"/>
      <c r="TWD43" s="1044"/>
      <c r="TWE43" s="1044"/>
      <c r="TWF43" s="1044"/>
      <c r="TWG43" s="1044"/>
      <c r="TWH43" s="1044"/>
      <c r="TWI43" s="1044"/>
      <c r="TWJ43" s="1044"/>
      <c r="TWK43" s="1044"/>
      <c r="TWL43" s="1044"/>
      <c r="TWM43" s="1044"/>
      <c r="TWN43" s="1044"/>
      <c r="TWO43" s="1044"/>
      <c r="TWP43" s="1044"/>
      <c r="TWQ43" s="1044"/>
      <c r="TWR43" s="1044"/>
      <c r="TWS43" s="1044"/>
      <c r="TWT43" s="1044"/>
      <c r="TWU43" s="1044"/>
      <c r="TWV43" s="1044"/>
      <c r="TWW43" s="1044"/>
      <c r="TWX43" s="1044"/>
      <c r="TWY43" s="1044"/>
      <c r="TWZ43" s="1044"/>
      <c r="TXA43" s="1044"/>
      <c r="TXB43" s="1044"/>
      <c r="TXC43" s="1044"/>
      <c r="TXD43" s="1044"/>
      <c r="TXE43" s="1044"/>
      <c r="TXF43" s="1044"/>
      <c r="TXG43" s="1044"/>
      <c r="TXH43" s="1044"/>
      <c r="TXI43" s="1044"/>
      <c r="TXJ43" s="1044"/>
      <c r="TXK43" s="1044"/>
      <c r="TXL43" s="1044"/>
      <c r="TXM43" s="1044"/>
      <c r="TXN43" s="1044"/>
      <c r="TXO43" s="1044"/>
      <c r="TXP43" s="1044"/>
      <c r="TXQ43" s="1044"/>
      <c r="TXR43" s="1044"/>
      <c r="TXS43" s="1044"/>
      <c r="TXT43" s="1044"/>
      <c r="TXU43" s="1044"/>
      <c r="TXV43" s="1044"/>
      <c r="TXW43" s="1044"/>
      <c r="TXX43" s="1044"/>
      <c r="TXY43" s="1044"/>
      <c r="TXZ43" s="1044"/>
      <c r="TYA43" s="1044"/>
      <c r="TYB43" s="1044"/>
      <c r="TYC43" s="1044"/>
      <c r="TYD43" s="1044"/>
      <c r="TYE43" s="1044"/>
      <c r="TYF43" s="1044"/>
      <c r="TYG43" s="1044"/>
      <c r="TYH43" s="1044"/>
      <c r="TYI43" s="1044"/>
      <c r="TYJ43" s="1044"/>
      <c r="TYK43" s="1044"/>
      <c r="TYL43" s="1044"/>
      <c r="TYM43" s="1044"/>
      <c r="TYN43" s="1044"/>
      <c r="TYO43" s="1044"/>
      <c r="TYP43" s="1044"/>
      <c r="TYQ43" s="1044"/>
      <c r="TYR43" s="1044"/>
      <c r="TYS43" s="1044"/>
      <c r="TYT43" s="1044"/>
      <c r="TYU43" s="1044"/>
      <c r="TYV43" s="1044"/>
      <c r="TYW43" s="1044"/>
      <c r="TYX43" s="1044"/>
      <c r="TYY43" s="1044"/>
      <c r="TYZ43" s="1044"/>
      <c r="TZA43" s="1044"/>
      <c r="TZB43" s="1044"/>
      <c r="TZC43" s="1044"/>
      <c r="TZD43" s="1044"/>
      <c r="TZE43" s="1044"/>
      <c r="TZF43" s="1044"/>
      <c r="TZG43" s="1044"/>
      <c r="TZH43" s="1044"/>
      <c r="TZI43" s="1044"/>
      <c r="TZJ43" s="1044"/>
      <c r="TZK43" s="1044"/>
      <c r="TZL43" s="1044"/>
      <c r="TZM43" s="1044"/>
      <c r="TZN43" s="1044"/>
      <c r="TZO43" s="1044"/>
      <c r="TZP43" s="1044"/>
      <c r="TZQ43" s="1044"/>
      <c r="TZR43" s="1044"/>
      <c r="TZS43" s="1044"/>
      <c r="TZT43" s="1044"/>
      <c r="TZU43" s="1044"/>
      <c r="TZV43" s="1044"/>
      <c r="TZW43" s="1044"/>
      <c r="TZX43" s="1044"/>
      <c r="TZY43" s="1044"/>
      <c r="TZZ43" s="1044"/>
      <c r="UAA43" s="1044"/>
      <c r="UAB43" s="1044"/>
      <c r="UAC43" s="1044"/>
      <c r="UAD43" s="1044"/>
      <c r="UAE43" s="1044"/>
      <c r="UAF43" s="1044"/>
      <c r="UAG43" s="1044"/>
      <c r="UAH43" s="1044"/>
      <c r="UAI43" s="1044"/>
      <c r="UAJ43" s="1044"/>
      <c r="UAK43" s="1044"/>
      <c r="UAL43" s="1044"/>
      <c r="UAM43" s="1044"/>
      <c r="UAN43" s="1044"/>
      <c r="UAO43" s="1044"/>
      <c r="UAP43" s="1044"/>
      <c r="UAQ43" s="1044"/>
      <c r="UAR43" s="1044"/>
      <c r="UAS43" s="1044"/>
      <c r="UAT43" s="1044"/>
      <c r="UAU43" s="1044"/>
      <c r="UAV43" s="1044"/>
      <c r="UAW43" s="1044"/>
      <c r="UAX43" s="1044"/>
      <c r="UAY43" s="1044"/>
      <c r="UAZ43" s="1044"/>
      <c r="UBA43" s="1044"/>
      <c r="UBB43" s="1044"/>
      <c r="UBC43" s="1044"/>
      <c r="UBD43" s="1044"/>
      <c r="UBE43" s="1044"/>
      <c r="UBF43" s="1044"/>
      <c r="UBG43" s="1044"/>
      <c r="UBH43" s="1044"/>
      <c r="UBI43" s="1044"/>
      <c r="UBJ43" s="1044"/>
      <c r="UBK43" s="1044"/>
      <c r="UBL43" s="1044"/>
      <c r="UBM43" s="1044"/>
      <c r="UBN43" s="1044"/>
      <c r="UBO43" s="1044"/>
      <c r="UBP43" s="1044"/>
      <c r="UBQ43" s="1044"/>
      <c r="UBR43" s="1044"/>
      <c r="UBS43" s="1044"/>
      <c r="UBT43" s="1044"/>
      <c r="UBU43" s="1044"/>
      <c r="UBV43" s="1044"/>
      <c r="UBW43" s="1044"/>
      <c r="UBX43" s="1044"/>
      <c r="UBY43" s="1044"/>
      <c r="UBZ43" s="1044"/>
      <c r="UCA43" s="1044"/>
      <c r="UCB43" s="1044"/>
      <c r="UCC43" s="1044"/>
      <c r="UCD43" s="1044"/>
      <c r="UCE43" s="1044"/>
      <c r="UCF43" s="1044"/>
      <c r="UCG43" s="1044"/>
      <c r="UCH43" s="1044"/>
      <c r="UCI43" s="1044"/>
      <c r="UCJ43" s="1044"/>
      <c r="UCK43" s="1044"/>
      <c r="UCL43" s="1044"/>
      <c r="UCM43" s="1044"/>
      <c r="UCN43" s="1044"/>
      <c r="UCO43" s="1044"/>
      <c r="UCP43" s="1044"/>
      <c r="UCQ43" s="1044"/>
      <c r="UCR43" s="1044"/>
      <c r="UCS43" s="1044"/>
      <c r="UCT43" s="1044"/>
      <c r="UCU43" s="1044"/>
      <c r="UCV43" s="1044"/>
      <c r="UCW43" s="1044"/>
      <c r="UCX43" s="1044"/>
      <c r="UCY43" s="1044"/>
      <c r="UCZ43" s="1044"/>
      <c r="UDA43" s="1044"/>
      <c r="UDB43" s="1044"/>
      <c r="UDC43" s="1044"/>
      <c r="UDD43" s="1044"/>
      <c r="UDE43" s="1044"/>
      <c r="UDF43" s="1044"/>
      <c r="UDG43" s="1044"/>
      <c r="UDH43" s="1044"/>
      <c r="UDI43" s="1044"/>
      <c r="UDJ43" s="1044"/>
      <c r="UDK43" s="1044"/>
      <c r="UDL43" s="1044"/>
      <c r="UDM43" s="1044"/>
      <c r="UDN43" s="1044"/>
      <c r="UDO43" s="1044"/>
      <c r="UDP43" s="1044"/>
      <c r="UDQ43" s="1044"/>
      <c r="UDR43" s="1044"/>
      <c r="UDS43" s="1044"/>
      <c r="UDT43" s="1044"/>
      <c r="UDU43" s="1044"/>
      <c r="UDV43" s="1044"/>
      <c r="UDW43" s="1044"/>
      <c r="UDX43" s="1044"/>
      <c r="UDY43" s="1044"/>
      <c r="UDZ43" s="1044"/>
      <c r="UEA43" s="1044"/>
      <c r="UEB43" s="1044"/>
      <c r="UEC43" s="1044"/>
      <c r="UED43" s="1044"/>
      <c r="UEE43" s="1044"/>
      <c r="UEF43" s="1044"/>
      <c r="UEG43" s="1044"/>
      <c r="UEH43" s="1044"/>
      <c r="UEI43" s="1044"/>
      <c r="UEJ43" s="1044"/>
      <c r="UEK43" s="1044"/>
      <c r="UEL43" s="1044"/>
      <c r="UEM43" s="1044"/>
      <c r="UEN43" s="1044"/>
      <c r="UEO43" s="1044"/>
      <c r="UEP43" s="1044"/>
      <c r="UEQ43" s="1044"/>
      <c r="UER43" s="1044"/>
      <c r="UES43" s="1044"/>
      <c r="UET43" s="1044"/>
      <c r="UEU43" s="1044"/>
      <c r="UEV43" s="1044"/>
      <c r="UEW43" s="1044"/>
      <c r="UEX43" s="1044"/>
      <c r="UEY43" s="1044"/>
      <c r="UEZ43" s="1044"/>
      <c r="UFA43" s="1044"/>
      <c r="UFB43" s="1044"/>
      <c r="UFC43" s="1044"/>
      <c r="UFD43" s="1044"/>
      <c r="UFE43" s="1044"/>
      <c r="UFF43" s="1044"/>
      <c r="UFG43" s="1044"/>
      <c r="UFH43" s="1044"/>
      <c r="UFI43" s="1044"/>
      <c r="UFJ43" s="1044"/>
      <c r="UFK43" s="1044"/>
      <c r="UFL43" s="1044"/>
      <c r="UFM43" s="1044"/>
      <c r="UFN43" s="1044"/>
      <c r="UFO43" s="1044"/>
      <c r="UFP43" s="1044"/>
      <c r="UFQ43" s="1044"/>
      <c r="UFR43" s="1044"/>
      <c r="UFS43" s="1044"/>
      <c r="UFT43" s="1044"/>
      <c r="UFU43" s="1044"/>
      <c r="UFV43" s="1044"/>
      <c r="UFW43" s="1044"/>
      <c r="UFX43" s="1044"/>
      <c r="UFY43" s="1044"/>
      <c r="UFZ43" s="1044"/>
      <c r="UGA43" s="1044"/>
      <c r="UGB43" s="1044"/>
      <c r="UGC43" s="1044"/>
      <c r="UGD43" s="1044"/>
      <c r="UGE43" s="1044"/>
      <c r="UGF43" s="1044"/>
      <c r="UGG43" s="1044"/>
      <c r="UGH43" s="1044"/>
      <c r="UGI43" s="1044"/>
      <c r="UGJ43" s="1044"/>
      <c r="UGK43" s="1044"/>
      <c r="UGL43" s="1044"/>
      <c r="UGM43" s="1044"/>
      <c r="UGN43" s="1044"/>
      <c r="UGO43" s="1044"/>
      <c r="UGP43" s="1044"/>
      <c r="UGQ43" s="1044"/>
      <c r="UGR43" s="1044"/>
      <c r="UGS43" s="1044"/>
      <c r="UGT43" s="1044"/>
      <c r="UGU43" s="1044"/>
      <c r="UGV43" s="1044"/>
      <c r="UGW43" s="1044"/>
      <c r="UGX43" s="1044"/>
      <c r="UGY43" s="1044"/>
      <c r="UGZ43" s="1044"/>
      <c r="UHA43" s="1044"/>
      <c r="UHB43" s="1044"/>
      <c r="UHC43" s="1044"/>
      <c r="UHD43" s="1044"/>
      <c r="UHE43" s="1044"/>
      <c r="UHF43" s="1044"/>
      <c r="UHG43" s="1044"/>
      <c r="UHH43" s="1044"/>
      <c r="UHI43" s="1044"/>
      <c r="UHJ43" s="1044"/>
      <c r="UHK43" s="1044"/>
      <c r="UHL43" s="1044"/>
      <c r="UHM43" s="1044"/>
      <c r="UHN43" s="1044"/>
      <c r="UHO43" s="1044"/>
      <c r="UHP43" s="1044"/>
      <c r="UHQ43" s="1044"/>
      <c r="UHR43" s="1044"/>
      <c r="UHS43" s="1044"/>
      <c r="UHT43" s="1044"/>
      <c r="UHU43" s="1044"/>
      <c r="UHV43" s="1044"/>
      <c r="UHW43" s="1044"/>
      <c r="UHX43" s="1044"/>
      <c r="UHY43" s="1044"/>
      <c r="UHZ43" s="1044"/>
      <c r="UIA43" s="1044"/>
      <c r="UIB43" s="1044"/>
      <c r="UIC43" s="1044"/>
      <c r="UID43" s="1044"/>
      <c r="UIE43" s="1044"/>
      <c r="UIF43" s="1044"/>
      <c r="UIG43" s="1044"/>
      <c r="UIH43" s="1044"/>
      <c r="UII43" s="1044"/>
      <c r="UIJ43" s="1044"/>
      <c r="UIK43" s="1044"/>
      <c r="UIL43" s="1044"/>
      <c r="UIM43" s="1044"/>
      <c r="UIN43" s="1044"/>
      <c r="UIO43" s="1044"/>
      <c r="UIP43" s="1044"/>
      <c r="UIQ43" s="1044"/>
      <c r="UIR43" s="1044"/>
      <c r="UIS43" s="1044"/>
      <c r="UIT43" s="1044"/>
      <c r="UIU43" s="1044"/>
      <c r="UIV43" s="1044"/>
      <c r="UIW43" s="1044"/>
      <c r="UIX43" s="1044"/>
      <c r="UIY43" s="1044"/>
      <c r="UIZ43" s="1044"/>
      <c r="UJA43" s="1044"/>
      <c r="UJB43" s="1044"/>
      <c r="UJC43" s="1044"/>
      <c r="UJD43" s="1044"/>
      <c r="UJE43" s="1044"/>
      <c r="UJF43" s="1044"/>
      <c r="UJG43" s="1044"/>
      <c r="UJH43" s="1044"/>
      <c r="UJI43" s="1044"/>
      <c r="UJJ43" s="1044"/>
      <c r="UJK43" s="1044"/>
      <c r="UJL43" s="1044"/>
      <c r="UJM43" s="1044"/>
      <c r="UJN43" s="1044"/>
      <c r="UJO43" s="1044"/>
      <c r="UJP43" s="1044"/>
      <c r="UJQ43" s="1044"/>
      <c r="UJR43" s="1044"/>
      <c r="UJS43" s="1044"/>
      <c r="UJT43" s="1044"/>
      <c r="UJU43" s="1044"/>
      <c r="UJV43" s="1044"/>
      <c r="UJW43" s="1044"/>
      <c r="UJX43" s="1044"/>
      <c r="UJY43" s="1044"/>
      <c r="UJZ43" s="1044"/>
      <c r="UKA43" s="1044"/>
      <c r="UKB43" s="1044"/>
      <c r="UKC43" s="1044"/>
      <c r="UKD43" s="1044"/>
      <c r="UKE43" s="1044"/>
      <c r="UKF43" s="1044"/>
      <c r="UKG43" s="1044"/>
      <c r="UKH43" s="1044"/>
      <c r="UKI43" s="1044"/>
      <c r="UKJ43" s="1044"/>
      <c r="UKK43" s="1044"/>
      <c r="UKL43" s="1044"/>
      <c r="UKM43" s="1044"/>
      <c r="UKN43" s="1044"/>
      <c r="UKO43" s="1044"/>
      <c r="UKP43" s="1044"/>
      <c r="UKQ43" s="1044"/>
      <c r="UKR43" s="1044"/>
      <c r="UKS43" s="1044"/>
      <c r="UKT43" s="1044"/>
      <c r="UKU43" s="1044"/>
      <c r="UKV43" s="1044"/>
      <c r="UKW43" s="1044"/>
      <c r="UKX43" s="1044"/>
      <c r="UKY43" s="1044"/>
      <c r="UKZ43" s="1044"/>
      <c r="ULA43" s="1044"/>
      <c r="ULB43" s="1044"/>
      <c r="ULC43" s="1044"/>
      <c r="ULD43" s="1044"/>
      <c r="ULE43" s="1044"/>
      <c r="ULF43" s="1044"/>
      <c r="ULG43" s="1044"/>
      <c r="ULH43" s="1044"/>
      <c r="ULI43" s="1044"/>
      <c r="ULJ43" s="1044"/>
      <c r="ULK43" s="1044"/>
      <c r="ULL43" s="1044"/>
      <c r="ULM43" s="1044"/>
      <c r="ULN43" s="1044"/>
      <c r="ULO43" s="1044"/>
      <c r="ULP43" s="1044"/>
      <c r="ULQ43" s="1044"/>
      <c r="ULR43" s="1044"/>
      <c r="ULS43" s="1044"/>
      <c r="ULT43" s="1044"/>
      <c r="ULU43" s="1044"/>
      <c r="ULV43" s="1044"/>
      <c r="ULW43" s="1044"/>
      <c r="ULX43" s="1044"/>
      <c r="ULY43" s="1044"/>
      <c r="ULZ43" s="1044"/>
      <c r="UMA43" s="1044"/>
      <c r="UMB43" s="1044"/>
      <c r="UMC43" s="1044"/>
      <c r="UMD43" s="1044"/>
      <c r="UME43" s="1044"/>
      <c r="UMF43" s="1044"/>
      <c r="UMG43" s="1044"/>
      <c r="UMH43" s="1044"/>
      <c r="UMI43" s="1044"/>
      <c r="UMJ43" s="1044"/>
      <c r="UMK43" s="1044"/>
      <c r="UML43" s="1044"/>
      <c r="UMM43" s="1044"/>
      <c r="UMN43" s="1044"/>
      <c r="UMO43" s="1044"/>
      <c r="UMP43" s="1044"/>
      <c r="UMQ43" s="1044"/>
      <c r="UMR43" s="1044"/>
      <c r="UMS43" s="1044"/>
      <c r="UMT43" s="1044"/>
      <c r="UMU43" s="1044"/>
      <c r="UMV43" s="1044"/>
      <c r="UMW43" s="1044"/>
      <c r="UMX43" s="1044"/>
      <c r="UMY43" s="1044"/>
      <c r="UMZ43" s="1044"/>
      <c r="UNA43" s="1044"/>
      <c r="UNB43" s="1044"/>
      <c r="UNC43" s="1044"/>
      <c r="UND43" s="1044"/>
      <c r="UNE43" s="1044"/>
      <c r="UNF43" s="1044"/>
      <c r="UNG43" s="1044"/>
      <c r="UNH43" s="1044"/>
      <c r="UNI43" s="1044"/>
      <c r="UNJ43" s="1044"/>
      <c r="UNK43" s="1044"/>
      <c r="UNL43" s="1044"/>
      <c r="UNM43" s="1044"/>
      <c r="UNN43" s="1044"/>
      <c r="UNO43" s="1044"/>
      <c r="UNP43" s="1044"/>
      <c r="UNQ43" s="1044"/>
      <c r="UNR43" s="1044"/>
      <c r="UNS43" s="1044"/>
      <c r="UNT43" s="1044"/>
      <c r="UNU43" s="1044"/>
      <c r="UNV43" s="1044"/>
      <c r="UNW43" s="1044"/>
      <c r="UNX43" s="1044"/>
      <c r="UNY43" s="1044"/>
      <c r="UNZ43" s="1044"/>
      <c r="UOA43" s="1044"/>
      <c r="UOB43" s="1044"/>
      <c r="UOC43" s="1044"/>
      <c r="UOD43" s="1044"/>
      <c r="UOE43" s="1044"/>
      <c r="UOF43" s="1044"/>
      <c r="UOG43" s="1044"/>
      <c r="UOH43" s="1044"/>
      <c r="UOI43" s="1044"/>
      <c r="UOJ43" s="1044"/>
      <c r="UOK43" s="1044"/>
      <c r="UOL43" s="1044"/>
      <c r="UOM43" s="1044"/>
      <c r="UON43" s="1044"/>
      <c r="UOO43" s="1044"/>
      <c r="UOP43" s="1044"/>
      <c r="UOQ43" s="1044"/>
      <c r="UOR43" s="1044"/>
      <c r="UOS43" s="1044"/>
      <c r="UOT43" s="1044"/>
      <c r="UOU43" s="1044"/>
      <c r="UOV43" s="1044"/>
      <c r="UOW43" s="1044"/>
      <c r="UOX43" s="1044"/>
      <c r="UOY43" s="1044"/>
      <c r="UOZ43" s="1044"/>
      <c r="UPA43" s="1044"/>
      <c r="UPB43" s="1044"/>
      <c r="UPC43" s="1044"/>
      <c r="UPD43" s="1044"/>
      <c r="UPE43" s="1044"/>
      <c r="UPF43" s="1044"/>
      <c r="UPG43" s="1044"/>
      <c r="UPH43" s="1044"/>
      <c r="UPI43" s="1044"/>
      <c r="UPJ43" s="1044"/>
      <c r="UPK43" s="1044"/>
      <c r="UPL43" s="1044"/>
      <c r="UPM43" s="1044"/>
      <c r="UPN43" s="1044"/>
      <c r="UPO43" s="1044"/>
      <c r="UPP43" s="1044"/>
      <c r="UPQ43" s="1044"/>
      <c r="UPR43" s="1044"/>
      <c r="UPS43" s="1044"/>
      <c r="UPT43" s="1044"/>
      <c r="UPU43" s="1044"/>
      <c r="UPV43" s="1044"/>
      <c r="UPW43" s="1044"/>
      <c r="UPX43" s="1044"/>
      <c r="UPY43" s="1044"/>
      <c r="UPZ43" s="1044"/>
      <c r="UQA43" s="1044"/>
      <c r="UQB43" s="1044"/>
      <c r="UQC43" s="1044"/>
      <c r="UQD43" s="1044"/>
      <c r="UQE43" s="1044"/>
      <c r="UQF43" s="1044"/>
      <c r="UQG43" s="1044"/>
      <c r="UQH43" s="1044"/>
      <c r="UQI43" s="1044"/>
      <c r="UQJ43" s="1044"/>
      <c r="UQK43" s="1044"/>
      <c r="UQL43" s="1044"/>
      <c r="UQM43" s="1044"/>
      <c r="UQN43" s="1044"/>
      <c r="UQO43" s="1044"/>
      <c r="UQP43" s="1044"/>
      <c r="UQQ43" s="1044"/>
      <c r="UQR43" s="1044"/>
      <c r="UQS43" s="1044"/>
      <c r="UQT43" s="1044"/>
      <c r="UQU43" s="1044"/>
      <c r="UQV43" s="1044"/>
      <c r="UQW43" s="1044"/>
      <c r="UQX43" s="1044"/>
      <c r="UQY43" s="1044"/>
      <c r="UQZ43" s="1044"/>
      <c r="URA43" s="1044"/>
      <c r="URB43" s="1044"/>
      <c r="URC43" s="1044"/>
      <c r="URD43" s="1044"/>
      <c r="URE43" s="1044"/>
      <c r="URF43" s="1044"/>
      <c r="URG43" s="1044"/>
      <c r="URH43" s="1044"/>
      <c r="URI43" s="1044"/>
      <c r="URJ43" s="1044"/>
      <c r="URK43" s="1044"/>
      <c r="URL43" s="1044"/>
      <c r="URM43" s="1044"/>
      <c r="URN43" s="1044"/>
      <c r="URO43" s="1044"/>
      <c r="URP43" s="1044"/>
      <c r="URQ43" s="1044"/>
      <c r="URR43" s="1044"/>
      <c r="URS43" s="1044"/>
      <c r="URT43" s="1044"/>
      <c r="URU43" s="1044"/>
      <c r="URV43" s="1044"/>
      <c r="URW43" s="1044"/>
      <c r="URX43" s="1044"/>
      <c r="URY43" s="1044"/>
      <c r="URZ43" s="1044"/>
      <c r="USA43" s="1044"/>
      <c r="USB43" s="1044"/>
      <c r="USC43" s="1044"/>
      <c r="USD43" s="1044"/>
      <c r="USE43" s="1044"/>
      <c r="USF43" s="1044"/>
      <c r="USG43" s="1044"/>
      <c r="USH43" s="1044"/>
      <c r="USI43" s="1044"/>
      <c r="USJ43" s="1044"/>
      <c r="USK43" s="1044"/>
      <c r="USL43" s="1044"/>
      <c r="USM43" s="1044"/>
      <c r="USN43" s="1044"/>
      <c r="USO43" s="1044"/>
      <c r="USP43" s="1044"/>
      <c r="USQ43" s="1044"/>
      <c r="USR43" s="1044"/>
      <c r="USS43" s="1044"/>
      <c r="UST43" s="1044"/>
      <c r="USU43" s="1044"/>
      <c r="USV43" s="1044"/>
      <c r="USW43" s="1044"/>
      <c r="USX43" s="1044"/>
      <c r="USY43" s="1044"/>
      <c r="USZ43" s="1044"/>
      <c r="UTA43" s="1044"/>
      <c r="UTB43" s="1044"/>
      <c r="UTC43" s="1044"/>
      <c r="UTD43" s="1044"/>
      <c r="UTE43" s="1044"/>
      <c r="UTF43" s="1044"/>
      <c r="UTG43" s="1044"/>
      <c r="UTH43" s="1044"/>
      <c r="UTI43" s="1044"/>
      <c r="UTJ43" s="1044"/>
      <c r="UTK43" s="1044"/>
      <c r="UTL43" s="1044"/>
      <c r="UTM43" s="1044"/>
      <c r="UTN43" s="1044"/>
      <c r="UTO43" s="1044"/>
      <c r="UTP43" s="1044"/>
      <c r="UTQ43" s="1044"/>
      <c r="UTR43" s="1044"/>
      <c r="UTS43" s="1044"/>
      <c r="UTT43" s="1044"/>
      <c r="UTU43" s="1044"/>
      <c r="UTV43" s="1044"/>
      <c r="UTW43" s="1044"/>
      <c r="UTX43" s="1044"/>
      <c r="UTY43" s="1044"/>
      <c r="UTZ43" s="1044"/>
      <c r="UUA43" s="1044"/>
      <c r="UUB43" s="1044"/>
      <c r="UUC43" s="1044"/>
      <c r="UUD43" s="1044"/>
      <c r="UUE43" s="1044"/>
      <c r="UUF43" s="1044"/>
      <c r="UUG43" s="1044"/>
      <c r="UUH43" s="1044"/>
      <c r="UUI43" s="1044"/>
      <c r="UUJ43" s="1044"/>
      <c r="UUK43" s="1044"/>
      <c r="UUL43" s="1044"/>
      <c r="UUM43" s="1044"/>
      <c r="UUN43" s="1044"/>
      <c r="UUO43" s="1044"/>
      <c r="UUP43" s="1044"/>
      <c r="UUQ43" s="1044"/>
      <c r="UUR43" s="1044"/>
      <c r="UUS43" s="1044"/>
      <c r="UUT43" s="1044"/>
      <c r="UUU43" s="1044"/>
      <c r="UUV43" s="1044"/>
      <c r="UUW43" s="1044"/>
      <c r="UUX43" s="1044"/>
      <c r="UUY43" s="1044"/>
      <c r="UUZ43" s="1044"/>
      <c r="UVA43" s="1044"/>
      <c r="UVB43" s="1044"/>
      <c r="UVC43" s="1044"/>
      <c r="UVD43" s="1044"/>
      <c r="UVE43" s="1044"/>
      <c r="UVF43" s="1044"/>
      <c r="UVG43" s="1044"/>
      <c r="UVH43" s="1044"/>
      <c r="UVI43" s="1044"/>
      <c r="UVJ43" s="1044"/>
      <c r="UVK43" s="1044"/>
      <c r="UVL43" s="1044"/>
      <c r="UVM43" s="1044"/>
      <c r="UVN43" s="1044"/>
      <c r="UVO43" s="1044"/>
      <c r="UVP43" s="1044"/>
      <c r="UVQ43" s="1044"/>
      <c r="UVR43" s="1044"/>
      <c r="UVS43" s="1044"/>
      <c r="UVT43" s="1044"/>
      <c r="UVU43" s="1044"/>
      <c r="UVV43" s="1044"/>
      <c r="UVW43" s="1044"/>
      <c r="UVX43" s="1044"/>
      <c r="UVY43" s="1044"/>
      <c r="UVZ43" s="1044"/>
      <c r="UWA43" s="1044"/>
      <c r="UWB43" s="1044"/>
      <c r="UWC43" s="1044"/>
      <c r="UWD43" s="1044"/>
      <c r="UWE43" s="1044"/>
      <c r="UWF43" s="1044"/>
      <c r="UWG43" s="1044"/>
      <c r="UWH43" s="1044"/>
      <c r="UWI43" s="1044"/>
      <c r="UWJ43" s="1044"/>
      <c r="UWK43" s="1044"/>
      <c r="UWL43" s="1044"/>
      <c r="UWM43" s="1044"/>
      <c r="UWN43" s="1044"/>
      <c r="UWO43" s="1044"/>
      <c r="UWP43" s="1044"/>
      <c r="UWQ43" s="1044"/>
      <c r="UWR43" s="1044"/>
      <c r="UWS43" s="1044"/>
      <c r="UWT43" s="1044"/>
      <c r="UWU43" s="1044"/>
      <c r="UWV43" s="1044"/>
      <c r="UWW43" s="1044"/>
      <c r="UWX43" s="1044"/>
      <c r="UWY43" s="1044"/>
      <c r="UWZ43" s="1044"/>
      <c r="UXA43" s="1044"/>
      <c r="UXB43" s="1044"/>
      <c r="UXC43" s="1044"/>
      <c r="UXD43" s="1044"/>
      <c r="UXE43" s="1044"/>
      <c r="UXF43" s="1044"/>
      <c r="UXG43" s="1044"/>
      <c r="UXH43" s="1044"/>
      <c r="UXI43" s="1044"/>
      <c r="UXJ43" s="1044"/>
      <c r="UXK43" s="1044"/>
      <c r="UXL43" s="1044"/>
      <c r="UXM43" s="1044"/>
      <c r="UXN43" s="1044"/>
      <c r="UXO43" s="1044"/>
      <c r="UXP43" s="1044"/>
      <c r="UXQ43" s="1044"/>
      <c r="UXR43" s="1044"/>
      <c r="UXS43" s="1044"/>
      <c r="UXT43" s="1044"/>
      <c r="UXU43" s="1044"/>
      <c r="UXV43" s="1044"/>
      <c r="UXW43" s="1044"/>
      <c r="UXX43" s="1044"/>
      <c r="UXY43" s="1044"/>
      <c r="UXZ43" s="1044"/>
      <c r="UYA43" s="1044"/>
      <c r="UYB43" s="1044"/>
      <c r="UYC43" s="1044"/>
      <c r="UYD43" s="1044"/>
      <c r="UYE43" s="1044"/>
      <c r="UYF43" s="1044"/>
      <c r="UYG43" s="1044"/>
      <c r="UYH43" s="1044"/>
      <c r="UYI43" s="1044"/>
      <c r="UYJ43" s="1044"/>
      <c r="UYK43" s="1044"/>
      <c r="UYL43" s="1044"/>
      <c r="UYM43" s="1044"/>
      <c r="UYN43" s="1044"/>
      <c r="UYO43" s="1044"/>
      <c r="UYP43" s="1044"/>
      <c r="UYQ43" s="1044"/>
      <c r="UYR43" s="1044"/>
      <c r="UYS43" s="1044"/>
      <c r="UYT43" s="1044"/>
      <c r="UYU43" s="1044"/>
      <c r="UYV43" s="1044"/>
      <c r="UYW43" s="1044"/>
      <c r="UYX43" s="1044"/>
      <c r="UYY43" s="1044"/>
      <c r="UYZ43" s="1044"/>
      <c r="UZA43" s="1044"/>
      <c r="UZB43" s="1044"/>
      <c r="UZC43" s="1044"/>
      <c r="UZD43" s="1044"/>
      <c r="UZE43" s="1044"/>
      <c r="UZF43" s="1044"/>
      <c r="UZG43" s="1044"/>
      <c r="UZH43" s="1044"/>
      <c r="UZI43" s="1044"/>
      <c r="UZJ43" s="1044"/>
      <c r="UZK43" s="1044"/>
      <c r="UZL43" s="1044"/>
      <c r="UZM43" s="1044"/>
      <c r="UZN43" s="1044"/>
      <c r="UZO43" s="1044"/>
      <c r="UZP43" s="1044"/>
      <c r="UZQ43" s="1044"/>
      <c r="UZR43" s="1044"/>
      <c r="UZS43" s="1044"/>
      <c r="UZT43" s="1044"/>
      <c r="UZU43" s="1044"/>
      <c r="UZV43" s="1044"/>
      <c r="UZW43" s="1044"/>
      <c r="UZX43" s="1044"/>
      <c r="UZY43" s="1044"/>
      <c r="UZZ43" s="1044"/>
      <c r="VAA43" s="1044"/>
      <c r="VAB43" s="1044"/>
      <c r="VAC43" s="1044"/>
      <c r="VAD43" s="1044"/>
      <c r="VAE43" s="1044"/>
      <c r="VAF43" s="1044"/>
      <c r="VAG43" s="1044"/>
      <c r="VAH43" s="1044"/>
      <c r="VAI43" s="1044"/>
      <c r="VAJ43" s="1044"/>
      <c r="VAK43" s="1044"/>
      <c r="VAL43" s="1044"/>
      <c r="VAM43" s="1044"/>
      <c r="VAN43" s="1044"/>
      <c r="VAO43" s="1044"/>
      <c r="VAP43" s="1044"/>
      <c r="VAQ43" s="1044"/>
      <c r="VAR43" s="1044"/>
      <c r="VAS43" s="1044"/>
      <c r="VAT43" s="1044"/>
      <c r="VAU43" s="1044"/>
      <c r="VAV43" s="1044"/>
      <c r="VAW43" s="1044"/>
      <c r="VAX43" s="1044"/>
      <c r="VAY43" s="1044"/>
      <c r="VAZ43" s="1044"/>
      <c r="VBA43" s="1044"/>
      <c r="VBB43" s="1044"/>
      <c r="VBC43" s="1044"/>
      <c r="VBD43" s="1044"/>
      <c r="VBE43" s="1044"/>
      <c r="VBF43" s="1044"/>
      <c r="VBG43" s="1044"/>
      <c r="VBH43" s="1044"/>
      <c r="VBI43" s="1044"/>
      <c r="VBJ43" s="1044"/>
      <c r="VBK43" s="1044"/>
      <c r="VBL43" s="1044"/>
      <c r="VBM43" s="1044"/>
      <c r="VBN43" s="1044"/>
      <c r="VBO43" s="1044"/>
      <c r="VBP43" s="1044"/>
      <c r="VBQ43" s="1044"/>
      <c r="VBR43" s="1044"/>
      <c r="VBS43" s="1044"/>
      <c r="VBT43" s="1044"/>
      <c r="VBU43" s="1044"/>
      <c r="VBV43" s="1044"/>
      <c r="VBW43" s="1044"/>
      <c r="VBX43" s="1044"/>
      <c r="VBY43" s="1044"/>
      <c r="VBZ43" s="1044"/>
      <c r="VCA43" s="1044"/>
      <c r="VCB43" s="1044"/>
      <c r="VCC43" s="1044"/>
      <c r="VCD43" s="1044"/>
      <c r="VCE43" s="1044"/>
      <c r="VCF43" s="1044"/>
      <c r="VCG43" s="1044"/>
      <c r="VCH43" s="1044"/>
      <c r="VCI43" s="1044"/>
      <c r="VCJ43" s="1044"/>
      <c r="VCK43" s="1044"/>
      <c r="VCL43" s="1044"/>
      <c r="VCM43" s="1044"/>
      <c r="VCN43" s="1044"/>
      <c r="VCO43" s="1044"/>
      <c r="VCP43" s="1044"/>
      <c r="VCQ43" s="1044"/>
      <c r="VCR43" s="1044"/>
      <c r="VCS43" s="1044"/>
      <c r="VCT43" s="1044"/>
      <c r="VCU43" s="1044"/>
      <c r="VCV43" s="1044"/>
      <c r="VCW43" s="1044"/>
      <c r="VCX43" s="1044"/>
      <c r="VCY43" s="1044"/>
      <c r="VCZ43" s="1044"/>
      <c r="VDA43" s="1044"/>
      <c r="VDB43" s="1044"/>
      <c r="VDC43" s="1044"/>
      <c r="VDD43" s="1044"/>
      <c r="VDE43" s="1044"/>
      <c r="VDF43" s="1044"/>
      <c r="VDG43" s="1044"/>
      <c r="VDH43" s="1044"/>
      <c r="VDI43" s="1044"/>
      <c r="VDJ43" s="1044"/>
      <c r="VDK43" s="1044"/>
      <c r="VDL43" s="1044"/>
      <c r="VDM43" s="1044"/>
      <c r="VDN43" s="1044"/>
      <c r="VDO43" s="1044"/>
      <c r="VDP43" s="1044"/>
      <c r="VDQ43" s="1044"/>
      <c r="VDR43" s="1044"/>
      <c r="VDS43" s="1044"/>
      <c r="VDT43" s="1044"/>
      <c r="VDU43" s="1044"/>
      <c r="VDV43" s="1044"/>
      <c r="VDW43" s="1044"/>
      <c r="VDX43" s="1044"/>
      <c r="VDY43" s="1044"/>
      <c r="VDZ43" s="1044"/>
      <c r="VEA43" s="1044"/>
      <c r="VEB43" s="1044"/>
      <c r="VEC43" s="1044"/>
      <c r="VED43" s="1044"/>
      <c r="VEE43" s="1044"/>
      <c r="VEF43" s="1044"/>
      <c r="VEG43" s="1044"/>
      <c r="VEH43" s="1044"/>
      <c r="VEI43" s="1044"/>
      <c r="VEJ43" s="1044"/>
      <c r="VEK43" s="1044"/>
      <c r="VEL43" s="1044"/>
      <c r="VEM43" s="1044"/>
      <c r="VEN43" s="1044"/>
      <c r="VEO43" s="1044"/>
      <c r="VEP43" s="1044"/>
      <c r="VEQ43" s="1044"/>
      <c r="VER43" s="1044"/>
      <c r="VES43" s="1044"/>
      <c r="VET43" s="1044"/>
      <c r="VEU43" s="1044"/>
      <c r="VEV43" s="1044"/>
      <c r="VEW43" s="1044"/>
      <c r="VEX43" s="1044"/>
      <c r="VEY43" s="1044"/>
      <c r="VEZ43" s="1044"/>
      <c r="VFA43" s="1044"/>
      <c r="VFB43" s="1044"/>
      <c r="VFC43" s="1044"/>
      <c r="VFD43" s="1044"/>
      <c r="VFE43" s="1044"/>
      <c r="VFF43" s="1044"/>
      <c r="VFG43" s="1044"/>
      <c r="VFH43" s="1044"/>
      <c r="VFI43" s="1044"/>
      <c r="VFJ43" s="1044"/>
      <c r="VFK43" s="1044"/>
      <c r="VFL43" s="1044"/>
      <c r="VFM43" s="1044"/>
      <c r="VFN43" s="1044"/>
      <c r="VFO43" s="1044"/>
      <c r="VFP43" s="1044"/>
      <c r="VFQ43" s="1044"/>
      <c r="VFR43" s="1044"/>
      <c r="VFS43" s="1044"/>
      <c r="VFT43" s="1044"/>
      <c r="VFU43" s="1044"/>
      <c r="VFV43" s="1044"/>
      <c r="VFW43" s="1044"/>
      <c r="VFX43" s="1044"/>
      <c r="VFY43" s="1044"/>
      <c r="VFZ43" s="1044"/>
      <c r="VGA43" s="1044"/>
      <c r="VGB43" s="1044"/>
      <c r="VGC43" s="1044"/>
      <c r="VGD43" s="1044"/>
      <c r="VGE43" s="1044"/>
      <c r="VGF43" s="1044"/>
      <c r="VGG43" s="1044"/>
      <c r="VGH43" s="1044"/>
      <c r="VGI43" s="1044"/>
      <c r="VGJ43" s="1044"/>
      <c r="VGK43" s="1044"/>
      <c r="VGL43" s="1044"/>
      <c r="VGM43" s="1044"/>
      <c r="VGN43" s="1044"/>
      <c r="VGO43" s="1044"/>
      <c r="VGP43" s="1044"/>
      <c r="VGQ43" s="1044"/>
      <c r="VGR43" s="1044"/>
      <c r="VGS43" s="1044"/>
      <c r="VGT43" s="1044"/>
      <c r="VGU43" s="1044"/>
      <c r="VGV43" s="1044"/>
      <c r="VGW43" s="1044"/>
      <c r="VGX43" s="1044"/>
      <c r="VGY43" s="1044"/>
      <c r="VGZ43" s="1044"/>
      <c r="VHA43" s="1044"/>
      <c r="VHB43" s="1044"/>
      <c r="VHC43" s="1044"/>
      <c r="VHD43" s="1044"/>
      <c r="VHE43" s="1044"/>
      <c r="VHF43" s="1044"/>
      <c r="VHG43" s="1044"/>
      <c r="VHH43" s="1044"/>
      <c r="VHI43" s="1044"/>
      <c r="VHJ43" s="1044"/>
      <c r="VHK43" s="1044"/>
      <c r="VHL43" s="1044"/>
      <c r="VHM43" s="1044"/>
      <c r="VHN43" s="1044"/>
      <c r="VHO43" s="1044"/>
      <c r="VHP43" s="1044"/>
      <c r="VHQ43" s="1044"/>
      <c r="VHR43" s="1044"/>
      <c r="VHS43" s="1044"/>
      <c r="VHT43" s="1044"/>
      <c r="VHU43" s="1044"/>
      <c r="VHV43" s="1044"/>
      <c r="VHW43" s="1044"/>
      <c r="VHX43" s="1044"/>
      <c r="VHY43" s="1044"/>
      <c r="VHZ43" s="1044"/>
      <c r="VIA43" s="1044"/>
      <c r="VIB43" s="1044"/>
      <c r="VIC43" s="1044"/>
      <c r="VID43" s="1044"/>
      <c r="VIE43" s="1044"/>
      <c r="VIF43" s="1044"/>
      <c r="VIG43" s="1044"/>
      <c r="VIH43" s="1044"/>
      <c r="VII43" s="1044"/>
      <c r="VIJ43" s="1044"/>
      <c r="VIK43" s="1044"/>
      <c r="VIL43" s="1044"/>
      <c r="VIM43" s="1044"/>
      <c r="VIN43" s="1044"/>
      <c r="VIO43" s="1044"/>
      <c r="VIP43" s="1044"/>
      <c r="VIQ43" s="1044"/>
      <c r="VIR43" s="1044"/>
      <c r="VIS43" s="1044"/>
      <c r="VIT43" s="1044"/>
      <c r="VIU43" s="1044"/>
      <c r="VIV43" s="1044"/>
      <c r="VIW43" s="1044"/>
      <c r="VIX43" s="1044"/>
      <c r="VIY43" s="1044"/>
      <c r="VIZ43" s="1044"/>
      <c r="VJA43" s="1044"/>
      <c r="VJB43" s="1044"/>
      <c r="VJC43" s="1044"/>
      <c r="VJD43" s="1044"/>
      <c r="VJE43" s="1044"/>
      <c r="VJF43" s="1044"/>
      <c r="VJG43" s="1044"/>
      <c r="VJH43" s="1044"/>
      <c r="VJI43" s="1044"/>
      <c r="VJJ43" s="1044"/>
      <c r="VJK43" s="1044"/>
      <c r="VJL43" s="1044"/>
      <c r="VJM43" s="1044"/>
      <c r="VJN43" s="1044"/>
      <c r="VJO43" s="1044"/>
      <c r="VJP43" s="1044"/>
      <c r="VJQ43" s="1044"/>
      <c r="VJR43" s="1044"/>
      <c r="VJS43" s="1044"/>
      <c r="VJT43" s="1044"/>
      <c r="VJU43" s="1044"/>
      <c r="VJV43" s="1044"/>
      <c r="VJW43" s="1044"/>
      <c r="VJX43" s="1044"/>
      <c r="VJY43" s="1044"/>
      <c r="VJZ43" s="1044"/>
      <c r="VKA43" s="1044"/>
      <c r="VKB43" s="1044"/>
      <c r="VKC43" s="1044"/>
      <c r="VKD43" s="1044"/>
      <c r="VKE43" s="1044"/>
      <c r="VKF43" s="1044"/>
      <c r="VKG43" s="1044"/>
      <c r="VKH43" s="1044"/>
      <c r="VKI43" s="1044"/>
      <c r="VKJ43" s="1044"/>
      <c r="VKK43" s="1044"/>
      <c r="VKL43" s="1044"/>
      <c r="VKM43" s="1044"/>
      <c r="VKN43" s="1044"/>
      <c r="VKO43" s="1044"/>
      <c r="VKP43" s="1044"/>
      <c r="VKQ43" s="1044"/>
      <c r="VKR43" s="1044"/>
      <c r="VKS43" s="1044"/>
      <c r="VKT43" s="1044"/>
      <c r="VKU43" s="1044"/>
      <c r="VKV43" s="1044"/>
      <c r="VKW43" s="1044"/>
      <c r="VKX43" s="1044"/>
      <c r="VKY43" s="1044"/>
      <c r="VKZ43" s="1044"/>
      <c r="VLA43" s="1044"/>
      <c r="VLB43" s="1044"/>
      <c r="VLC43" s="1044"/>
      <c r="VLD43" s="1044"/>
      <c r="VLE43" s="1044"/>
      <c r="VLF43" s="1044"/>
      <c r="VLG43" s="1044"/>
      <c r="VLH43" s="1044"/>
      <c r="VLI43" s="1044"/>
      <c r="VLJ43" s="1044"/>
      <c r="VLK43" s="1044"/>
      <c r="VLL43" s="1044"/>
      <c r="VLM43" s="1044"/>
      <c r="VLN43" s="1044"/>
      <c r="VLO43" s="1044"/>
      <c r="VLP43" s="1044"/>
      <c r="VLQ43" s="1044"/>
      <c r="VLR43" s="1044"/>
      <c r="VLS43" s="1044"/>
      <c r="VLT43" s="1044"/>
      <c r="VLU43" s="1044"/>
      <c r="VLV43" s="1044"/>
      <c r="VLW43" s="1044"/>
      <c r="VLX43" s="1044"/>
      <c r="VLY43" s="1044"/>
      <c r="VLZ43" s="1044"/>
      <c r="VMA43" s="1044"/>
      <c r="VMB43" s="1044"/>
      <c r="VMC43" s="1044"/>
      <c r="VMD43" s="1044"/>
      <c r="VME43" s="1044"/>
      <c r="VMF43" s="1044"/>
      <c r="VMG43" s="1044"/>
      <c r="VMH43" s="1044"/>
      <c r="VMI43" s="1044"/>
      <c r="VMJ43" s="1044"/>
      <c r="VMK43" s="1044"/>
      <c r="VML43" s="1044"/>
      <c r="VMM43" s="1044"/>
      <c r="VMN43" s="1044"/>
      <c r="VMO43" s="1044"/>
      <c r="VMP43" s="1044"/>
      <c r="VMQ43" s="1044"/>
      <c r="VMR43" s="1044"/>
      <c r="VMS43" s="1044"/>
      <c r="VMT43" s="1044"/>
      <c r="VMU43" s="1044"/>
      <c r="VMV43" s="1044"/>
      <c r="VMW43" s="1044"/>
      <c r="VMX43" s="1044"/>
      <c r="VMY43" s="1044"/>
      <c r="VMZ43" s="1044"/>
      <c r="VNA43" s="1044"/>
      <c r="VNB43" s="1044"/>
      <c r="VNC43" s="1044"/>
      <c r="VND43" s="1044"/>
      <c r="VNE43" s="1044"/>
      <c r="VNF43" s="1044"/>
      <c r="VNG43" s="1044"/>
      <c r="VNH43" s="1044"/>
      <c r="VNI43" s="1044"/>
      <c r="VNJ43" s="1044"/>
      <c r="VNK43" s="1044"/>
      <c r="VNL43" s="1044"/>
      <c r="VNM43" s="1044"/>
      <c r="VNN43" s="1044"/>
      <c r="VNO43" s="1044"/>
      <c r="VNP43" s="1044"/>
      <c r="VNQ43" s="1044"/>
      <c r="VNR43" s="1044"/>
      <c r="VNS43" s="1044"/>
      <c r="VNT43" s="1044"/>
      <c r="VNU43" s="1044"/>
      <c r="VNV43" s="1044"/>
      <c r="VNW43" s="1044"/>
      <c r="VNX43" s="1044"/>
      <c r="VNY43" s="1044"/>
      <c r="VNZ43" s="1044"/>
      <c r="VOA43" s="1044"/>
      <c r="VOB43" s="1044"/>
      <c r="VOC43" s="1044"/>
      <c r="VOD43" s="1044"/>
      <c r="VOE43" s="1044"/>
      <c r="VOF43" s="1044"/>
      <c r="VOG43" s="1044"/>
      <c r="VOH43" s="1044"/>
      <c r="VOI43" s="1044"/>
      <c r="VOJ43" s="1044"/>
      <c r="VOK43" s="1044"/>
      <c r="VOL43" s="1044"/>
      <c r="VOM43" s="1044"/>
      <c r="VON43" s="1044"/>
      <c r="VOO43" s="1044"/>
      <c r="VOP43" s="1044"/>
      <c r="VOQ43" s="1044"/>
      <c r="VOR43" s="1044"/>
      <c r="VOS43" s="1044"/>
      <c r="VOT43" s="1044"/>
      <c r="VOU43" s="1044"/>
      <c r="VOV43" s="1044"/>
      <c r="VOW43" s="1044"/>
      <c r="VOX43" s="1044"/>
      <c r="VOY43" s="1044"/>
      <c r="VOZ43" s="1044"/>
      <c r="VPA43" s="1044"/>
      <c r="VPB43" s="1044"/>
      <c r="VPC43" s="1044"/>
      <c r="VPD43" s="1044"/>
      <c r="VPE43" s="1044"/>
      <c r="VPF43" s="1044"/>
      <c r="VPG43" s="1044"/>
      <c r="VPH43" s="1044"/>
      <c r="VPI43" s="1044"/>
      <c r="VPJ43" s="1044"/>
      <c r="VPK43" s="1044"/>
      <c r="VPL43" s="1044"/>
      <c r="VPM43" s="1044"/>
      <c r="VPN43" s="1044"/>
      <c r="VPO43" s="1044"/>
      <c r="VPP43" s="1044"/>
      <c r="VPQ43" s="1044"/>
      <c r="VPR43" s="1044"/>
      <c r="VPS43" s="1044"/>
      <c r="VPT43" s="1044"/>
      <c r="VPU43" s="1044"/>
      <c r="VPV43" s="1044"/>
      <c r="VPW43" s="1044"/>
      <c r="VPX43" s="1044"/>
      <c r="VPY43" s="1044"/>
      <c r="VPZ43" s="1044"/>
      <c r="VQA43" s="1044"/>
      <c r="VQB43" s="1044"/>
      <c r="VQC43" s="1044"/>
      <c r="VQD43" s="1044"/>
      <c r="VQE43" s="1044"/>
      <c r="VQF43" s="1044"/>
      <c r="VQG43" s="1044"/>
      <c r="VQH43" s="1044"/>
      <c r="VQI43" s="1044"/>
      <c r="VQJ43" s="1044"/>
      <c r="VQK43" s="1044"/>
      <c r="VQL43" s="1044"/>
      <c r="VQM43" s="1044"/>
      <c r="VQN43" s="1044"/>
      <c r="VQO43" s="1044"/>
      <c r="VQP43" s="1044"/>
      <c r="VQQ43" s="1044"/>
      <c r="VQR43" s="1044"/>
      <c r="VQS43" s="1044"/>
      <c r="VQT43" s="1044"/>
      <c r="VQU43" s="1044"/>
      <c r="VQV43" s="1044"/>
      <c r="VQW43" s="1044"/>
      <c r="VQX43" s="1044"/>
      <c r="VQY43" s="1044"/>
      <c r="VQZ43" s="1044"/>
      <c r="VRA43" s="1044"/>
      <c r="VRB43" s="1044"/>
      <c r="VRC43" s="1044"/>
      <c r="VRD43" s="1044"/>
      <c r="VRE43" s="1044"/>
      <c r="VRF43" s="1044"/>
      <c r="VRG43" s="1044"/>
      <c r="VRH43" s="1044"/>
      <c r="VRI43" s="1044"/>
      <c r="VRJ43" s="1044"/>
      <c r="VRK43" s="1044"/>
      <c r="VRL43" s="1044"/>
      <c r="VRM43" s="1044"/>
      <c r="VRN43" s="1044"/>
      <c r="VRO43" s="1044"/>
      <c r="VRP43" s="1044"/>
      <c r="VRQ43" s="1044"/>
      <c r="VRR43" s="1044"/>
      <c r="VRS43" s="1044"/>
      <c r="VRT43" s="1044"/>
      <c r="VRU43" s="1044"/>
      <c r="VRV43" s="1044"/>
      <c r="VRW43" s="1044"/>
      <c r="VRX43" s="1044"/>
      <c r="VRY43" s="1044"/>
      <c r="VRZ43" s="1044"/>
      <c r="VSA43" s="1044"/>
      <c r="VSB43" s="1044"/>
      <c r="VSC43" s="1044"/>
      <c r="VSD43" s="1044"/>
      <c r="VSE43" s="1044"/>
      <c r="VSF43" s="1044"/>
      <c r="VSG43" s="1044"/>
      <c r="VSH43" s="1044"/>
      <c r="VSI43" s="1044"/>
      <c r="VSJ43" s="1044"/>
      <c r="VSK43" s="1044"/>
      <c r="VSL43" s="1044"/>
      <c r="VSM43" s="1044"/>
      <c r="VSN43" s="1044"/>
      <c r="VSO43" s="1044"/>
      <c r="VSP43" s="1044"/>
      <c r="VSQ43" s="1044"/>
      <c r="VSR43" s="1044"/>
      <c r="VSS43" s="1044"/>
      <c r="VST43" s="1044"/>
      <c r="VSU43" s="1044"/>
      <c r="VSV43" s="1044"/>
      <c r="VSW43" s="1044"/>
      <c r="VSX43" s="1044"/>
      <c r="VSY43" s="1044"/>
      <c r="VSZ43" s="1044"/>
      <c r="VTA43" s="1044"/>
      <c r="VTB43" s="1044"/>
      <c r="VTC43" s="1044"/>
      <c r="VTD43" s="1044"/>
      <c r="VTE43" s="1044"/>
      <c r="VTF43" s="1044"/>
      <c r="VTG43" s="1044"/>
      <c r="VTH43" s="1044"/>
      <c r="VTI43" s="1044"/>
      <c r="VTJ43" s="1044"/>
      <c r="VTK43" s="1044"/>
      <c r="VTL43" s="1044"/>
      <c r="VTM43" s="1044"/>
      <c r="VTN43" s="1044"/>
      <c r="VTO43" s="1044"/>
      <c r="VTP43" s="1044"/>
      <c r="VTQ43" s="1044"/>
      <c r="VTR43" s="1044"/>
      <c r="VTS43" s="1044"/>
      <c r="VTT43" s="1044"/>
      <c r="VTU43" s="1044"/>
      <c r="VTV43" s="1044"/>
      <c r="VTW43" s="1044"/>
      <c r="VTX43" s="1044"/>
      <c r="VTY43" s="1044"/>
      <c r="VTZ43" s="1044"/>
      <c r="VUA43" s="1044"/>
      <c r="VUB43" s="1044"/>
      <c r="VUC43" s="1044"/>
      <c r="VUD43" s="1044"/>
      <c r="VUE43" s="1044"/>
      <c r="VUF43" s="1044"/>
      <c r="VUG43" s="1044"/>
      <c r="VUH43" s="1044"/>
      <c r="VUI43" s="1044"/>
      <c r="VUJ43" s="1044"/>
      <c r="VUK43" s="1044"/>
      <c r="VUL43" s="1044"/>
      <c r="VUM43" s="1044"/>
      <c r="VUN43" s="1044"/>
      <c r="VUO43" s="1044"/>
      <c r="VUP43" s="1044"/>
      <c r="VUQ43" s="1044"/>
      <c r="VUR43" s="1044"/>
      <c r="VUS43" s="1044"/>
      <c r="VUT43" s="1044"/>
      <c r="VUU43" s="1044"/>
      <c r="VUV43" s="1044"/>
      <c r="VUW43" s="1044"/>
      <c r="VUX43" s="1044"/>
      <c r="VUY43" s="1044"/>
      <c r="VUZ43" s="1044"/>
      <c r="VVA43" s="1044"/>
      <c r="VVB43" s="1044"/>
      <c r="VVC43" s="1044"/>
      <c r="VVD43" s="1044"/>
      <c r="VVE43" s="1044"/>
      <c r="VVF43" s="1044"/>
      <c r="VVG43" s="1044"/>
      <c r="VVH43" s="1044"/>
      <c r="VVI43" s="1044"/>
      <c r="VVJ43" s="1044"/>
      <c r="VVK43" s="1044"/>
      <c r="VVL43" s="1044"/>
      <c r="VVM43" s="1044"/>
      <c r="VVN43" s="1044"/>
      <c r="VVO43" s="1044"/>
      <c r="VVP43" s="1044"/>
      <c r="VVQ43" s="1044"/>
      <c r="VVR43" s="1044"/>
      <c r="VVS43" s="1044"/>
      <c r="VVT43" s="1044"/>
      <c r="VVU43" s="1044"/>
      <c r="VVV43" s="1044"/>
      <c r="VVW43" s="1044"/>
      <c r="VVX43" s="1044"/>
      <c r="VVY43" s="1044"/>
      <c r="VVZ43" s="1044"/>
      <c r="VWA43" s="1044"/>
      <c r="VWB43" s="1044"/>
      <c r="VWC43" s="1044"/>
      <c r="VWD43" s="1044"/>
      <c r="VWE43" s="1044"/>
      <c r="VWF43" s="1044"/>
      <c r="VWG43" s="1044"/>
      <c r="VWH43" s="1044"/>
      <c r="VWI43" s="1044"/>
      <c r="VWJ43" s="1044"/>
      <c r="VWK43" s="1044"/>
      <c r="VWL43" s="1044"/>
      <c r="VWM43" s="1044"/>
      <c r="VWN43" s="1044"/>
      <c r="VWO43" s="1044"/>
      <c r="VWP43" s="1044"/>
      <c r="VWQ43" s="1044"/>
      <c r="VWR43" s="1044"/>
      <c r="VWS43" s="1044"/>
      <c r="VWT43" s="1044"/>
      <c r="VWU43" s="1044"/>
      <c r="VWV43" s="1044"/>
      <c r="VWW43" s="1044"/>
      <c r="VWX43" s="1044"/>
      <c r="VWY43" s="1044"/>
      <c r="VWZ43" s="1044"/>
      <c r="VXA43" s="1044"/>
      <c r="VXB43" s="1044"/>
      <c r="VXC43" s="1044"/>
      <c r="VXD43" s="1044"/>
      <c r="VXE43" s="1044"/>
      <c r="VXF43" s="1044"/>
      <c r="VXG43" s="1044"/>
      <c r="VXH43" s="1044"/>
      <c r="VXI43" s="1044"/>
      <c r="VXJ43" s="1044"/>
      <c r="VXK43" s="1044"/>
      <c r="VXL43" s="1044"/>
      <c r="VXM43" s="1044"/>
      <c r="VXN43" s="1044"/>
      <c r="VXO43" s="1044"/>
      <c r="VXP43" s="1044"/>
      <c r="VXQ43" s="1044"/>
      <c r="VXR43" s="1044"/>
      <c r="VXS43" s="1044"/>
      <c r="VXT43" s="1044"/>
      <c r="VXU43" s="1044"/>
      <c r="VXV43" s="1044"/>
      <c r="VXW43" s="1044"/>
      <c r="VXX43" s="1044"/>
      <c r="VXY43" s="1044"/>
      <c r="VXZ43" s="1044"/>
      <c r="VYA43" s="1044"/>
      <c r="VYB43" s="1044"/>
      <c r="VYC43" s="1044"/>
      <c r="VYD43" s="1044"/>
      <c r="VYE43" s="1044"/>
      <c r="VYF43" s="1044"/>
      <c r="VYG43" s="1044"/>
      <c r="VYH43" s="1044"/>
      <c r="VYI43" s="1044"/>
      <c r="VYJ43" s="1044"/>
      <c r="VYK43" s="1044"/>
      <c r="VYL43" s="1044"/>
      <c r="VYM43" s="1044"/>
      <c r="VYN43" s="1044"/>
      <c r="VYO43" s="1044"/>
      <c r="VYP43" s="1044"/>
      <c r="VYQ43" s="1044"/>
      <c r="VYR43" s="1044"/>
      <c r="VYS43" s="1044"/>
      <c r="VYT43" s="1044"/>
      <c r="VYU43" s="1044"/>
      <c r="VYV43" s="1044"/>
      <c r="VYW43" s="1044"/>
      <c r="VYX43" s="1044"/>
      <c r="VYY43" s="1044"/>
      <c r="VYZ43" s="1044"/>
      <c r="VZA43" s="1044"/>
      <c r="VZB43" s="1044"/>
      <c r="VZC43" s="1044"/>
      <c r="VZD43" s="1044"/>
      <c r="VZE43" s="1044"/>
      <c r="VZF43" s="1044"/>
      <c r="VZG43" s="1044"/>
      <c r="VZH43" s="1044"/>
      <c r="VZI43" s="1044"/>
      <c r="VZJ43" s="1044"/>
      <c r="VZK43" s="1044"/>
      <c r="VZL43" s="1044"/>
      <c r="VZM43" s="1044"/>
      <c r="VZN43" s="1044"/>
      <c r="VZO43" s="1044"/>
      <c r="VZP43" s="1044"/>
      <c r="VZQ43" s="1044"/>
      <c r="VZR43" s="1044"/>
      <c r="VZS43" s="1044"/>
      <c r="VZT43" s="1044"/>
      <c r="VZU43" s="1044"/>
      <c r="VZV43" s="1044"/>
      <c r="VZW43" s="1044"/>
      <c r="VZX43" s="1044"/>
      <c r="VZY43" s="1044"/>
      <c r="VZZ43" s="1044"/>
      <c r="WAA43" s="1044"/>
      <c r="WAB43" s="1044"/>
      <c r="WAC43" s="1044"/>
      <c r="WAD43" s="1044"/>
      <c r="WAE43" s="1044"/>
      <c r="WAF43" s="1044"/>
      <c r="WAG43" s="1044"/>
      <c r="WAH43" s="1044"/>
      <c r="WAI43" s="1044"/>
      <c r="WAJ43" s="1044"/>
      <c r="WAK43" s="1044"/>
      <c r="WAL43" s="1044"/>
      <c r="WAM43" s="1044"/>
      <c r="WAN43" s="1044"/>
      <c r="WAO43" s="1044"/>
      <c r="WAP43" s="1044"/>
      <c r="WAQ43" s="1044"/>
      <c r="WAR43" s="1044"/>
      <c r="WAS43" s="1044"/>
      <c r="WAT43" s="1044"/>
      <c r="WAU43" s="1044"/>
      <c r="WAV43" s="1044"/>
      <c r="WAW43" s="1044"/>
      <c r="WAX43" s="1044"/>
      <c r="WAY43" s="1044"/>
      <c r="WAZ43" s="1044"/>
      <c r="WBA43" s="1044"/>
      <c r="WBB43" s="1044"/>
      <c r="WBC43" s="1044"/>
      <c r="WBD43" s="1044"/>
      <c r="WBE43" s="1044"/>
      <c r="WBF43" s="1044"/>
      <c r="WBG43" s="1044"/>
      <c r="WBH43" s="1044"/>
      <c r="WBI43" s="1044"/>
      <c r="WBJ43" s="1044"/>
      <c r="WBK43" s="1044"/>
      <c r="WBL43" s="1044"/>
      <c r="WBM43" s="1044"/>
      <c r="WBN43" s="1044"/>
      <c r="WBO43" s="1044"/>
      <c r="WBP43" s="1044"/>
      <c r="WBQ43" s="1044"/>
      <c r="WBR43" s="1044"/>
      <c r="WBS43" s="1044"/>
      <c r="WBT43" s="1044"/>
      <c r="WBU43" s="1044"/>
      <c r="WBV43" s="1044"/>
      <c r="WBW43" s="1044"/>
      <c r="WBX43" s="1044"/>
      <c r="WBY43" s="1044"/>
      <c r="WBZ43" s="1044"/>
      <c r="WCA43" s="1044"/>
      <c r="WCB43" s="1044"/>
      <c r="WCC43" s="1044"/>
      <c r="WCD43" s="1044"/>
      <c r="WCE43" s="1044"/>
      <c r="WCF43" s="1044"/>
      <c r="WCG43" s="1044"/>
      <c r="WCH43" s="1044"/>
      <c r="WCI43" s="1044"/>
      <c r="WCJ43" s="1044"/>
      <c r="WCK43" s="1044"/>
      <c r="WCL43" s="1044"/>
      <c r="WCM43" s="1044"/>
      <c r="WCN43" s="1044"/>
      <c r="WCO43" s="1044"/>
      <c r="WCP43" s="1044"/>
      <c r="WCQ43" s="1044"/>
      <c r="WCR43" s="1044"/>
      <c r="WCS43" s="1044"/>
      <c r="WCT43" s="1044"/>
      <c r="WCU43" s="1044"/>
      <c r="WCV43" s="1044"/>
      <c r="WCW43" s="1044"/>
      <c r="WCX43" s="1044"/>
      <c r="WCY43" s="1044"/>
      <c r="WCZ43" s="1044"/>
      <c r="WDA43" s="1044"/>
      <c r="WDB43" s="1044"/>
      <c r="WDC43" s="1044"/>
      <c r="WDD43" s="1044"/>
      <c r="WDE43" s="1044"/>
      <c r="WDF43" s="1044"/>
      <c r="WDG43" s="1044"/>
      <c r="WDH43" s="1044"/>
      <c r="WDI43" s="1044"/>
      <c r="WDJ43" s="1044"/>
      <c r="WDK43" s="1044"/>
      <c r="WDL43" s="1044"/>
      <c r="WDM43" s="1044"/>
      <c r="WDN43" s="1044"/>
      <c r="WDO43" s="1044"/>
      <c r="WDP43" s="1044"/>
      <c r="WDQ43" s="1044"/>
      <c r="WDR43" s="1044"/>
      <c r="WDS43" s="1044"/>
      <c r="WDT43" s="1044"/>
      <c r="WDU43" s="1044"/>
      <c r="WDV43" s="1044"/>
      <c r="WDW43" s="1044"/>
      <c r="WDX43" s="1044"/>
      <c r="WDY43" s="1044"/>
      <c r="WDZ43" s="1044"/>
      <c r="WEA43" s="1044"/>
      <c r="WEB43" s="1044"/>
      <c r="WEC43" s="1044"/>
      <c r="WED43" s="1044"/>
      <c r="WEE43" s="1044"/>
      <c r="WEF43" s="1044"/>
      <c r="WEG43" s="1044"/>
      <c r="WEH43" s="1044"/>
      <c r="WEI43" s="1044"/>
      <c r="WEJ43" s="1044"/>
      <c r="WEK43" s="1044"/>
      <c r="WEL43" s="1044"/>
      <c r="WEM43" s="1044"/>
      <c r="WEN43" s="1044"/>
      <c r="WEO43" s="1044"/>
      <c r="WEP43" s="1044"/>
      <c r="WEQ43" s="1044"/>
      <c r="WER43" s="1044"/>
      <c r="WES43" s="1044"/>
      <c r="WET43" s="1044"/>
      <c r="WEU43" s="1044"/>
      <c r="WEV43" s="1044"/>
      <c r="WEW43" s="1044"/>
      <c r="WEX43" s="1044"/>
      <c r="WEY43" s="1044"/>
      <c r="WEZ43" s="1044"/>
      <c r="WFA43" s="1044"/>
      <c r="WFB43" s="1044"/>
      <c r="WFC43" s="1044"/>
      <c r="WFD43" s="1044"/>
      <c r="WFE43" s="1044"/>
      <c r="WFF43" s="1044"/>
      <c r="WFG43" s="1044"/>
      <c r="WFH43" s="1044"/>
      <c r="WFI43" s="1044"/>
      <c r="WFJ43" s="1044"/>
      <c r="WFK43" s="1044"/>
      <c r="WFL43" s="1044"/>
      <c r="WFM43" s="1044"/>
      <c r="WFN43" s="1044"/>
      <c r="WFO43" s="1044"/>
      <c r="WFP43" s="1044"/>
      <c r="WFQ43" s="1044"/>
      <c r="WFR43" s="1044"/>
      <c r="WFS43" s="1044"/>
      <c r="WFT43" s="1044"/>
      <c r="WFU43" s="1044"/>
      <c r="WFV43" s="1044"/>
      <c r="WFW43" s="1044"/>
      <c r="WFX43" s="1044"/>
      <c r="WFY43" s="1044"/>
      <c r="WFZ43" s="1044"/>
      <c r="WGA43" s="1044"/>
      <c r="WGB43" s="1044"/>
      <c r="WGC43" s="1044"/>
      <c r="WGD43" s="1044"/>
      <c r="WGE43" s="1044"/>
      <c r="WGF43" s="1044"/>
      <c r="WGG43" s="1044"/>
      <c r="WGH43" s="1044"/>
      <c r="WGI43" s="1044"/>
      <c r="WGJ43" s="1044"/>
      <c r="WGK43" s="1044"/>
      <c r="WGL43" s="1044"/>
      <c r="WGM43" s="1044"/>
      <c r="WGN43" s="1044"/>
      <c r="WGO43" s="1044"/>
      <c r="WGP43" s="1044"/>
      <c r="WGQ43" s="1044"/>
      <c r="WGR43" s="1044"/>
      <c r="WGS43" s="1044"/>
      <c r="WGT43" s="1044"/>
      <c r="WGU43" s="1044"/>
      <c r="WGV43" s="1044"/>
      <c r="WGW43" s="1044"/>
      <c r="WGX43" s="1044"/>
      <c r="WGY43" s="1044"/>
      <c r="WGZ43" s="1044"/>
      <c r="WHA43" s="1044"/>
      <c r="WHB43" s="1044"/>
      <c r="WHC43" s="1044"/>
      <c r="WHD43" s="1044"/>
      <c r="WHE43" s="1044"/>
      <c r="WHF43" s="1044"/>
      <c r="WHG43" s="1044"/>
      <c r="WHH43" s="1044"/>
      <c r="WHI43" s="1044"/>
      <c r="WHJ43" s="1044"/>
      <c r="WHK43" s="1044"/>
      <c r="WHL43" s="1044"/>
      <c r="WHM43" s="1044"/>
      <c r="WHN43" s="1044"/>
      <c r="WHO43" s="1044"/>
      <c r="WHP43" s="1044"/>
      <c r="WHQ43" s="1044"/>
      <c r="WHR43" s="1044"/>
      <c r="WHS43" s="1044"/>
      <c r="WHT43" s="1044"/>
      <c r="WHU43" s="1044"/>
      <c r="WHV43" s="1044"/>
      <c r="WHW43" s="1044"/>
      <c r="WHX43" s="1044"/>
      <c r="WHY43" s="1044"/>
      <c r="WHZ43" s="1044"/>
      <c r="WIA43" s="1044"/>
      <c r="WIB43" s="1044"/>
      <c r="WIC43" s="1044"/>
      <c r="WID43" s="1044"/>
      <c r="WIE43" s="1044"/>
      <c r="WIF43" s="1044"/>
      <c r="WIG43" s="1044"/>
      <c r="WIH43" s="1044"/>
      <c r="WII43" s="1044"/>
      <c r="WIJ43" s="1044"/>
      <c r="WIK43" s="1044"/>
      <c r="WIL43" s="1044"/>
      <c r="WIM43" s="1044"/>
      <c r="WIN43" s="1044"/>
      <c r="WIO43" s="1044"/>
      <c r="WIP43" s="1044"/>
      <c r="WIQ43" s="1044"/>
      <c r="WIR43" s="1044"/>
      <c r="WIS43" s="1044"/>
      <c r="WIT43" s="1044"/>
      <c r="WIU43" s="1044"/>
      <c r="WIV43" s="1044"/>
      <c r="WIW43" s="1044"/>
      <c r="WIX43" s="1044"/>
      <c r="WIY43" s="1044"/>
      <c r="WIZ43" s="1044"/>
      <c r="WJA43" s="1044"/>
      <c r="WJB43" s="1044"/>
      <c r="WJC43" s="1044"/>
      <c r="WJD43" s="1044"/>
      <c r="WJE43" s="1044"/>
      <c r="WJF43" s="1044"/>
      <c r="WJG43" s="1044"/>
      <c r="WJH43" s="1044"/>
      <c r="WJI43" s="1044"/>
      <c r="WJJ43" s="1044"/>
      <c r="WJK43" s="1044"/>
      <c r="WJL43" s="1044"/>
      <c r="WJM43" s="1044"/>
      <c r="WJN43" s="1044"/>
      <c r="WJO43" s="1044"/>
      <c r="WJP43" s="1044"/>
      <c r="WJQ43" s="1044"/>
      <c r="WJR43" s="1044"/>
      <c r="WJS43" s="1044"/>
      <c r="WJT43" s="1044"/>
      <c r="WJU43" s="1044"/>
      <c r="WJV43" s="1044"/>
      <c r="WJW43" s="1044"/>
      <c r="WJX43" s="1044"/>
      <c r="WJY43" s="1044"/>
      <c r="WJZ43" s="1044"/>
      <c r="WKA43" s="1044"/>
      <c r="WKB43" s="1044"/>
      <c r="WKC43" s="1044"/>
      <c r="WKD43" s="1044"/>
      <c r="WKE43" s="1044"/>
      <c r="WKF43" s="1044"/>
      <c r="WKG43" s="1044"/>
      <c r="WKH43" s="1044"/>
      <c r="WKI43" s="1044"/>
      <c r="WKJ43" s="1044"/>
      <c r="WKK43" s="1044"/>
      <c r="WKL43" s="1044"/>
      <c r="WKM43" s="1044"/>
      <c r="WKN43" s="1044"/>
      <c r="WKO43" s="1044"/>
      <c r="WKP43" s="1044"/>
      <c r="WKQ43" s="1044"/>
      <c r="WKR43" s="1044"/>
      <c r="WKS43" s="1044"/>
      <c r="WKT43" s="1044"/>
      <c r="WKU43" s="1044"/>
      <c r="WKV43" s="1044"/>
      <c r="WKW43" s="1044"/>
      <c r="WKX43" s="1044"/>
      <c r="WKY43" s="1044"/>
      <c r="WKZ43" s="1044"/>
      <c r="WLA43" s="1044"/>
      <c r="WLB43" s="1044"/>
      <c r="WLC43" s="1044"/>
      <c r="WLD43" s="1044"/>
      <c r="WLE43" s="1044"/>
      <c r="WLF43" s="1044"/>
      <c r="WLG43" s="1044"/>
      <c r="WLH43" s="1044"/>
      <c r="WLI43" s="1044"/>
      <c r="WLJ43" s="1044"/>
      <c r="WLK43" s="1044"/>
      <c r="WLL43" s="1044"/>
      <c r="WLM43" s="1044"/>
      <c r="WLN43" s="1044"/>
      <c r="WLO43" s="1044"/>
      <c r="WLP43" s="1044"/>
      <c r="WLQ43" s="1044"/>
      <c r="WLR43" s="1044"/>
      <c r="WLS43" s="1044"/>
      <c r="WLT43" s="1044"/>
      <c r="WLU43" s="1044"/>
      <c r="WLV43" s="1044"/>
      <c r="WLW43" s="1044"/>
      <c r="WLX43" s="1044"/>
      <c r="WLY43" s="1044"/>
      <c r="WLZ43" s="1044"/>
      <c r="WMA43" s="1044"/>
      <c r="WMB43" s="1044"/>
      <c r="WMC43" s="1044"/>
      <c r="WMD43" s="1044"/>
      <c r="WME43" s="1044"/>
      <c r="WMF43" s="1044"/>
      <c r="WMG43" s="1044"/>
      <c r="WMH43" s="1044"/>
      <c r="WMI43" s="1044"/>
      <c r="WMJ43" s="1044"/>
      <c r="WMK43" s="1044"/>
      <c r="WML43" s="1044"/>
      <c r="WMM43" s="1044"/>
      <c r="WMN43" s="1044"/>
      <c r="WMO43" s="1044"/>
      <c r="WMP43" s="1044"/>
      <c r="WMQ43" s="1044"/>
      <c r="WMR43" s="1044"/>
      <c r="WMS43" s="1044"/>
      <c r="WMT43" s="1044"/>
      <c r="WMU43" s="1044"/>
      <c r="WMV43" s="1044"/>
      <c r="WMW43" s="1044"/>
      <c r="WMX43" s="1044"/>
      <c r="WMY43" s="1044"/>
      <c r="WMZ43" s="1044"/>
      <c r="WNA43" s="1044"/>
      <c r="WNB43" s="1044"/>
      <c r="WNC43" s="1044"/>
      <c r="WND43" s="1044"/>
      <c r="WNE43" s="1044"/>
      <c r="WNF43" s="1044"/>
      <c r="WNG43" s="1044"/>
      <c r="WNH43" s="1044"/>
      <c r="WNI43" s="1044"/>
      <c r="WNJ43" s="1044"/>
      <c r="WNK43" s="1044"/>
      <c r="WNL43" s="1044"/>
      <c r="WNM43" s="1044"/>
      <c r="WNN43" s="1044"/>
      <c r="WNO43" s="1044"/>
      <c r="WNP43" s="1044"/>
      <c r="WNQ43" s="1044"/>
      <c r="WNR43" s="1044"/>
      <c r="WNS43" s="1044"/>
      <c r="WNT43" s="1044"/>
      <c r="WNU43" s="1044"/>
      <c r="WNV43" s="1044"/>
      <c r="WNW43" s="1044"/>
      <c r="WNX43" s="1044"/>
      <c r="WNY43" s="1044"/>
      <c r="WNZ43" s="1044"/>
      <c r="WOA43" s="1044"/>
      <c r="WOB43" s="1044"/>
      <c r="WOC43" s="1044"/>
      <c r="WOD43" s="1044"/>
      <c r="WOE43" s="1044"/>
      <c r="WOF43" s="1044"/>
      <c r="WOG43" s="1044"/>
      <c r="WOH43" s="1044"/>
      <c r="WOI43" s="1044"/>
      <c r="WOJ43" s="1044"/>
      <c r="WOK43" s="1044"/>
      <c r="WOL43" s="1044"/>
      <c r="WOM43" s="1044"/>
      <c r="WON43" s="1044"/>
      <c r="WOO43" s="1044"/>
      <c r="WOP43" s="1044"/>
      <c r="WOQ43" s="1044"/>
      <c r="WOR43" s="1044"/>
      <c r="WOS43" s="1044"/>
      <c r="WOT43" s="1044"/>
      <c r="WOU43" s="1044"/>
      <c r="WOV43" s="1044"/>
      <c r="WOW43" s="1044"/>
      <c r="WOX43" s="1044"/>
      <c r="WOY43" s="1044"/>
      <c r="WOZ43" s="1044"/>
      <c r="WPA43" s="1044"/>
      <c r="WPB43" s="1044"/>
      <c r="WPC43" s="1044"/>
      <c r="WPD43" s="1044"/>
      <c r="WPE43" s="1044"/>
      <c r="WPF43" s="1044"/>
      <c r="WPG43" s="1044"/>
      <c r="WPH43" s="1044"/>
      <c r="WPI43" s="1044"/>
      <c r="WPJ43" s="1044"/>
      <c r="WPK43" s="1044"/>
      <c r="WPL43" s="1044"/>
      <c r="WPM43" s="1044"/>
      <c r="WPN43" s="1044"/>
      <c r="WPO43" s="1044"/>
      <c r="WPP43" s="1044"/>
      <c r="WPQ43" s="1044"/>
      <c r="WPR43" s="1044"/>
      <c r="WPS43" s="1044"/>
      <c r="WPT43" s="1044"/>
      <c r="WPU43" s="1044"/>
      <c r="WPV43" s="1044"/>
      <c r="WPW43" s="1044"/>
      <c r="WPX43" s="1044"/>
      <c r="WPY43" s="1044"/>
      <c r="WPZ43" s="1044"/>
      <c r="WQA43" s="1044"/>
      <c r="WQB43" s="1044"/>
      <c r="WQC43" s="1044"/>
      <c r="WQD43" s="1044"/>
      <c r="WQE43" s="1044"/>
      <c r="WQF43" s="1044"/>
      <c r="WQG43" s="1044"/>
      <c r="WQH43" s="1044"/>
      <c r="WQI43" s="1044"/>
      <c r="WQJ43" s="1044"/>
      <c r="WQK43" s="1044"/>
      <c r="WQL43" s="1044"/>
      <c r="WQM43" s="1044"/>
      <c r="WQN43" s="1044"/>
      <c r="WQO43" s="1044"/>
      <c r="WQP43" s="1044"/>
      <c r="WQQ43" s="1044"/>
      <c r="WQR43" s="1044"/>
      <c r="WQS43" s="1044"/>
      <c r="WQT43" s="1044"/>
      <c r="WQU43" s="1044"/>
      <c r="WQV43" s="1044"/>
      <c r="WQW43" s="1044"/>
      <c r="WQX43" s="1044"/>
      <c r="WQY43" s="1044"/>
      <c r="WQZ43" s="1044"/>
      <c r="WRA43" s="1044"/>
      <c r="WRB43" s="1044"/>
      <c r="WRC43" s="1044"/>
      <c r="WRD43" s="1044"/>
      <c r="WRE43" s="1044"/>
      <c r="WRF43" s="1044"/>
      <c r="WRG43" s="1044"/>
      <c r="WRH43" s="1044"/>
      <c r="WRI43" s="1044"/>
      <c r="WRJ43" s="1044"/>
      <c r="WRK43" s="1044"/>
      <c r="WRL43" s="1044"/>
      <c r="WRM43" s="1044"/>
      <c r="WRN43" s="1044"/>
      <c r="WRO43" s="1044"/>
      <c r="WRP43" s="1044"/>
      <c r="WRQ43" s="1044"/>
      <c r="WRR43" s="1044"/>
      <c r="WRS43" s="1044"/>
      <c r="WRT43" s="1044"/>
      <c r="WRU43" s="1044"/>
      <c r="WRV43" s="1044"/>
      <c r="WRW43" s="1044"/>
      <c r="WRX43" s="1044"/>
      <c r="WRY43" s="1044"/>
      <c r="WRZ43" s="1044"/>
      <c r="WSA43" s="1044"/>
      <c r="WSB43" s="1044"/>
      <c r="WSC43" s="1044"/>
      <c r="WSD43" s="1044"/>
      <c r="WSE43" s="1044"/>
      <c r="WSF43" s="1044"/>
      <c r="WSG43" s="1044"/>
      <c r="WSH43" s="1044"/>
      <c r="WSI43" s="1044"/>
      <c r="WSJ43" s="1044"/>
      <c r="WSK43" s="1044"/>
      <c r="WSL43" s="1044"/>
      <c r="WSM43" s="1044"/>
      <c r="WSN43" s="1044"/>
      <c r="WSO43" s="1044"/>
      <c r="WSP43" s="1044"/>
      <c r="WSQ43" s="1044"/>
      <c r="WSR43" s="1044"/>
      <c r="WSS43" s="1044"/>
      <c r="WST43" s="1044"/>
      <c r="WSU43" s="1044"/>
      <c r="WSV43" s="1044"/>
      <c r="WSW43" s="1044"/>
      <c r="WSX43" s="1044"/>
      <c r="WSY43" s="1044"/>
      <c r="WSZ43" s="1044"/>
      <c r="WTA43" s="1044"/>
      <c r="WTB43" s="1044"/>
      <c r="WTC43" s="1044"/>
      <c r="WTD43" s="1044"/>
      <c r="WTE43" s="1044"/>
      <c r="WTF43" s="1044"/>
      <c r="WTG43" s="1044"/>
      <c r="WTH43" s="1044"/>
      <c r="WTI43" s="1044"/>
      <c r="WTJ43" s="1044"/>
      <c r="WTK43" s="1044"/>
      <c r="WTL43" s="1044"/>
      <c r="WTM43" s="1044"/>
      <c r="WTN43" s="1044"/>
      <c r="WTO43" s="1044"/>
      <c r="WTP43" s="1044"/>
      <c r="WTQ43" s="1044"/>
      <c r="WTR43" s="1044"/>
      <c r="WTS43" s="1044"/>
      <c r="WTT43" s="1044"/>
      <c r="WTU43" s="1044"/>
      <c r="WTV43" s="1044"/>
      <c r="WTW43" s="1044"/>
      <c r="WTX43" s="1044"/>
      <c r="WTY43" s="1044"/>
      <c r="WTZ43" s="1044"/>
      <c r="WUA43" s="1044"/>
      <c r="WUB43" s="1044"/>
      <c r="WUC43" s="1044"/>
      <c r="WUD43" s="1044"/>
      <c r="WUE43" s="1044"/>
      <c r="WUF43" s="1044"/>
      <c r="WUG43" s="1044"/>
      <c r="WUH43" s="1044"/>
      <c r="WUI43" s="1044"/>
      <c r="WUJ43" s="1044"/>
      <c r="WUK43" s="1044"/>
      <c r="WUL43" s="1044"/>
      <c r="WUM43" s="1044"/>
      <c r="WUN43" s="1044"/>
      <c r="WUO43" s="1044"/>
      <c r="WUP43" s="1044"/>
      <c r="WUQ43" s="1044"/>
      <c r="WUR43" s="1044"/>
      <c r="WUS43" s="1044"/>
      <c r="WUT43" s="1044"/>
      <c r="WUU43" s="1044"/>
      <c r="WUV43" s="1044"/>
      <c r="WUW43" s="1044"/>
      <c r="WUX43" s="1044"/>
      <c r="WUY43" s="1044"/>
      <c r="WUZ43" s="1044"/>
      <c r="WVA43" s="1044"/>
      <c r="WVB43" s="1044"/>
      <c r="WVC43" s="1044"/>
      <c r="WVD43" s="1044"/>
      <c r="WVE43" s="1044"/>
      <c r="WVF43" s="1044"/>
      <c r="WVG43" s="1044"/>
      <c r="WVH43" s="1044"/>
      <c r="WVI43" s="1044"/>
      <c r="WVJ43" s="1044"/>
      <c r="WVK43" s="1044"/>
      <c r="WVL43" s="1044"/>
      <c r="WVM43" s="1044"/>
      <c r="WVN43" s="1044"/>
      <c r="WVO43" s="1044"/>
      <c r="WVP43" s="1044"/>
      <c r="WVQ43" s="1044"/>
      <c r="WVR43" s="1044"/>
      <c r="WVS43" s="1044"/>
      <c r="WVT43" s="1044"/>
      <c r="WVU43" s="1044"/>
      <c r="WVV43" s="1044"/>
      <c r="WVW43" s="1044"/>
      <c r="WVX43" s="1044"/>
      <c r="WVY43" s="1044"/>
      <c r="WVZ43" s="1044"/>
      <c r="WWA43" s="1044"/>
      <c r="WWB43" s="1044"/>
      <c r="WWC43" s="1044"/>
      <c r="WWD43" s="1044"/>
      <c r="WWE43" s="1044"/>
      <c r="WWF43" s="1044"/>
      <c r="WWG43" s="1044"/>
      <c r="WWH43" s="1044"/>
      <c r="WWI43" s="1044"/>
      <c r="WWJ43" s="1044"/>
      <c r="WWK43" s="1044"/>
      <c r="WWL43" s="1044"/>
      <c r="WWM43" s="1044"/>
      <c r="WWN43" s="1044"/>
      <c r="WWO43" s="1044"/>
      <c r="WWP43" s="1044"/>
      <c r="WWQ43" s="1044"/>
      <c r="WWR43" s="1044"/>
      <c r="WWS43" s="1044"/>
      <c r="WWT43" s="1044"/>
      <c r="WWU43" s="1044"/>
      <c r="WWV43" s="1044"/>
      <c r="WWW43" s="1044"/>
      <c r="WWX43" s="1044"/>
      <c r="WWY43" s="1044"/>
      <c r="WWZ43" s="1044"/>
      <c r="WXA43" s="1044"/>
      <c r="WXB43" s="1044"/>
      <c r="WXC43" s="1044"/>
      <c r="WXD43" s="1044"/>
      <c r="WXE43" s="1044"/>
      <c r="WXF43" s="1044"/>
      <c r="WXG43" s="1044"/>
      <c r="WXH43" s="1044"/>
      <c r="WXI43" s="1044"/>
      <c r="WXJ43" s="1044"/>
      <c r="WXK43" s="1044"/>
      <c r="WXL43" s="1044"/>
      <c r="WXM43" s="1044"/>
      <c r="WXN43" s="1044"/>
      <c r="WXO43" s="1044"/>
      <c r="WXP43" s="1044"/>
      <c r="WXQ43" s="1044"/>
      <c r="WXR43" s="1044"/>
      <c r="WXS43" s="1044"/>
      <c r="WXT43" s="1044"/>
      <c r="WXU43" s="1044"/>
      <c r="WXV43" s="1044"/>
      <c r="WXW43" s="1044"/>
      <c r="WXX43" s="1044"/>
      <c r="WXY43" s="1044"/>
      <c r="WXZ43" s="1044"/>
      <c r="WYA43" s="1044"/>
      <c r="WYB43" s="1044"/>
      <c r="WYC43" s="1044"/>
      <c r="WYD43" s="1044"/>
      <c r="WYE43" s="1044"/>
      <c r="WYF43" s="1044"/>
      <c r="WYG43" s="1044"/>
      <c r="WYH43" s="1044"/>
      <c r="WYI43" s="1044"/>
      <c r="WYJ43" s="1044"/>
      <c r="WYK43" s="1044"/>
      <c r="WYL43" s="1044"/>
      <c r="WYM43" s="1044"/>
      <c r="WYN43" s="1044"/>
      <c r="WYO43" s="1044"/>
      <c r="WYP43" s="1044"/>
      <c r="WYQ43" s="1044"/>
      <c r="WYR43" s="1044"/>
      <c r="WYS43" s="1044"/>
      <c r="WYT43" s="1044"/>
      <c r="WYU43" s="1044"/>
      <c r="WYV43" s="1044"/>
      <c r="WYW43" s="1044"/>
      <c r="WYX43" s="1044"/>
      <c r="WYY43" s="1044"/>
      <c r="WYZ43" s="1044"/>
      <c r="WZA43" s="1044"/>
      <c r="WZB43" s="1044"/>
      <c r="WZC43" s="1044"/>
      <c r="WZD43" s="1044"/>
      <c r="WZE43" s="1044"/>
      <c r="WZF43" s="1044"/>
      <c r="WZG43" s="1044"/>
      <c r="WZH43" s="1044"/>
      <c r="WZI43" s="1044"/>
      <c r="WZJ43" s="1044"/>
      <c r="WZK43" s="1044"/>
      <c r="WZL43" s="1044"/>
      <c r="WZM43" s="1044"/>
      <c r="WZN43" s="1044"/>
      <c r="WZO43" s="1044"/>
      <c r="WZP43" s="1044"/>
      <c r="WZQ43" s="1044"/>
      <c r="WZR43" s="1044"/>
      <c r="WZS43" s="1044"/>
      <c r="WZT43" s="1044"/>
      <c r="WZU43" s="1044"/>
      <c r="WZV43" s="1044"/>
      <c r="WZW43" s="1044"/>
      <c r="WZX43" s="1044"/>
      <c r="WZY43" s="1044"/>
      <c r="WZZ43" s="1044"/>
      <c r="XAA43" s="1044"/>
      <c r="XAB43" s="1044"/>
      <c r="XAC43" s="1044"/>
      <c r="XAD43" s="1044"/>
      <c r="XAE43" s="1044"/>
      <c r="XAF43" s="1044"/>
      <c r="XAG43" s="1044"/>
      <c r="XAH43" s="1044"/>
      <c r="XAI43" s="1044"/>
      <c r="XAJ43" s="1044"/>
      <c r="XAK43" s="1044"/>
      <c r="XAL43" s="1044"/>
      <c r="XAM43" s="1044"/>
      <c r="XAN43" s="1044"/>
      <c r="XAO43" s="1044"/>
      <c r="XAP43" s="1044"/>
      <c r="XAQ43" s="1044"/>
      <c r="XAR43" s="1044"/>
      <c r="XAS43" s="1044"/>
      <c r="XAT43" s="1044"/>
      <c r="XAU43" s="1044"/>
      <c r="XAV43" s="1044"/>
      <c r="XAW43" s="1044"/>
      <c r="XAX43" s="1044"/>
      <c r="XAY43" s="1044"/>
      <c r="XAZ43" s="1044"/>
      <c r="XBA43" s="1044"/>
      <c r="XBB43" s="1044"/>
      <c r="XBC43" s="1044"/>
      <c r="XBD43" s="1044"/>
      <c r="XBE43" s="1044"/>
      <c r="XBF43" s="1044"/>
      <c r="XBG43" s="1044"/>
      <c r="XBH43" s="1044"/>
      <c r="XBI43" s="1044"/>
      <c r="XBJ43" s="1044"/>
      <c r="XBK43" s="1044"/>
      <c r="XBL43" s="1044"/>
      <c r="XBM43" s="1044"/>
      <c r="XBN43" s="1044"/>
      <c r="XBO43" s="1044"/>
      <c r="XBP43" s="1044"/>
      <c r="XBQ43" s="1044"/>
      <c r="XBR43" s="1044"/>
      <c r="XBS43" s="1044"/>
      <c r="XBT43" s="1044"/>
      <c r="XBU43" s="1044"/>
      <c r="XBV43" s="1044"/>
      <c r="XBW43" s="1044"/>
      <c r="XBX43" s="1044"/>
      <c r="XBY43" s="1044"/>
      <c r="XBZ43" s="1044"/>
      <c r="XCA43" s="1044"/>
      <c r="XCB43" s="1044"/>
      <c r="XCC43" s="1044"/>
      <c r="XCD43" s="1044"/>
      <c r="XCE43" s="1044"/>
      <c r="XCF43" s="1044"/>
      <c r="XCG43" s="1044"/>
      <c r="XCH43" s="1044"/>
      <c r="XCI43" s="1044"/>
      <c r="XCJ43" s="1044"/>
      <c r="XCK43" s="1044"/>
      <c r="XCL43" s="1044"/>
      <c r="XCM43" s="1044"/>
      <c r="XCN43" s="1044"/>
      <c r="XCO43" s="1044"/>
      <c r="XCP43" s="1044"/>
      <c r="XCQ43" s="1044"/>
      <c r="XCR43" s="1044"/>
      <c r="XCS43" s="1044"/>
      <c r="XCT43" s="1044"/>
      <c r="XCU43" s="1044"/>
      <c r="XCV43" s="1044"/>
      <c r="XCW43" s="1044"/>
      <c r="XCX43" s="1044"/>
      <c r="XCY43" s="1044"/>
      <c r="XCZ43" s="1044"/>
      <c r="XDA43" s="1044"/>
      <c r="XDB43" s="1044"/>
      <c r="XDC43" s="1044"/>
      <c r="XDD43" s="1044"/>
      <c r="XDE43" s="1044"/>
      <c r="XDF43" s="1044"/>
      <c r="XDG43" s="1044"/>
      <c r="XDH43" s="1044"/>
      <c r="XDI43" s="1044"/>
      <c r="XDJ43" s="1044"/>
      <c r="XDK43" s="1044"/>
      <c r="XDL43" s="1044"/>
      <c r="XDM43" s="1044"/>
      <c r="XDN43" s="1044"/>
      <c r="XDO43" s="1044"/>
      <c r="XDP43" s="1044"/>
      <c r="XDQ43" s="1044"/>
      <c r="XDR43" s="1044"/>
      <c r="XDS43" s="1044"/>
      <c r="XDT43" s="1044"/>
      <c r="XDU43" s="1044"/>
      <c r="XDV43" s="1044"/>
      <c r="XDW43" s="1044"/>
      <c r="XDX43" s="1044"/>
      <c r="XDY43" s="1044"/>
      <c r="XDZ43" s="1044"/>
      <c r="XEA43" s="1044"/>
      <c r="XEB43" s="1044"/>
      <c r="XEC43" s="1044"/>
    </row>
    <row r="44" spans="1:16357" ht="68.25" customHeight="1">
      <c r="A44" s="117" t="s">
        <v>97</v>
      </c>
      <c r="B44" s="122" t="s">
        <v>98</v>
      </c>
      <c r="C44" s="118"/>
      <c r="D44" s="118"/>
      <c r="E44" s="118"/>
      <c r="F44" s="118"/>
      <c r="G44" s="118"/>
      <c r="H44" s="118"/>
      <c r="I44" s="118"/>
      <c r="J44" s="118"/>
      <c r="K44" s="118"/>
      <c r="L44" s="118"/>
      <c r="M44" s="118"/>
      <c r="N44" s="118"/>
      <c r="O44" s="117"/>
      <c r="P44" s="117"/>
      <c r="Q44" s="117"/>
      <c r="R44" s="117"/>
      <c r="S44" s="1044"/>
      <c r="T44" s="1044"/>
      <c r="U44" s="1044"/>
      <c r="V44" s="1044"/>
      <c r="W44" s="1044"/>
      <c r="X44" s="1044"/>
      <c r="Y44" s="1044"/>
      <c r="Z44" s="1044"/>
      <c r="AA44" s="1044"/>
      <c r="AB44" s="1044"/>
      <c r="AC44" s="1044"/>
      <c r="AD44" s="1044"/>
      <c r="AE44" s="1044"/>
      <c r="AF44" s="1044"/>
      <c r="AG44" s="1044"/>
      <c r="AH44" s="7"/>
      <c r="AI44" s="35"/>
      <c r="AJ44" s="7"/>
      <c r="AK44" s="99"/>
      <c r="AL44" s="5"/>
      <c r="AM44" s="190"/>
      <c r="AN44" s="190"/>
      <c r="AO44" s="190"/>
      <c r="AP44" s="190"/>
      <c r="AQ44" s="190"/>
      <c r="AR44" s="190"/>
      <c r="AS44" s="190"/>
      <c r="AT44" s="190"/>
      <c r="AU44" s="190"/>
      <c r="AV44" s="190"/>
      <c r="AW44" s="190"/>
      <c r="AX44" s="1044"/>
      <c r="AY44" s="1044"/>
      <c r="AZ44" s="1044"/>
      <c r="BA44" s="1044"/>
      <c r="BB44" s="1044"/>
      <c r="BC44" s="1044"/>
      <c r="BD44" s="1044"/>
      <c r="BE44" s="1044"/>
      <c r="BF44" s="1044"/>
      <c r="BG44" s="1044"/>
      <c r="BH44" s="1044"/>
      <c r="BI44" s="1044"/>
      <c r="BJ44" s="1044"/>
      <c r="BK44" s="1044"/>
      <c r="BL44" s="1044"/>
      <c r="BM44" s="1044"/>
      <c r="BN44" s="1044"/>
      <c r="BO44" s="1044"/>
      <c r="BP44" s="1044"/>
      <c r="BQ44" s="1044"/>
      <c r="BR44" s="1044"/>
      <c r="BS44" s="1044"/>
      <c r="BT44" s="1044"/>
      <c r="BU44" s="1044"/>
      <c r="BV44" s="987"/>
      <c r="BW44" s="987"/>
      <c r="BX44" s="904"/>
      <c r="BY44" s="1044"/>
      <c r="BZ44" s="1044"/>
      <c r="CA44" s="1044"/>
      <c r="CB44" s="1044"/>
      <c r="CC44" s="1044"/>
      <c r="CD44" s="1044"/>
      <c r="CE44" s="1044"/>
      <c r="CF44" s="1044"/>
      <c r="CG44" s="1044"/>
      <c r="CH44" s="1044"/>
      <c r="CI44" s="1044"/>
      <c r="CJ44" s="1044"/>
      <c r="CK44" s="1044"/>
      <c r="CL44" s="1044"/>
      <c r="CM44" s="1044"/>
      <c r="CN44" s="1044"/>
      <c r="CO44" s="1044"/>
      <c r="CP44" s="1044"/>
      <c r="CQ44" s="1044"/>
      <c r="CR44" s="1044"/>
      <c r="CS44" s="1044"/>
      <c r="CT44" s="1044"/>
      <c r="CU44" s="1044"/>
      <c r="CV44" s="1044"/>
      <c r="CW44" s="1044"/>
      <c r="CX44" s="1044"/>
      <c r="CY44" s="1044"/>
      <c r="CZ44" s="1044"/>
      <c r="DA44" s="1044"/>
      <c r="DB44" s="1044"/>
      <c r="DC44" s="1044"/>
      <c r="DD44" s="1044"/>
      <c r="DE44" s="1044"/>
      <c r="DF44" s="1044"/>
      <c r="DG44" s="1044"/>
      <c r="DH44" s="1044"/>
      <c r="DI44" s="1044"/>
      <c r="DJ44" s="1044"/>
      <c r="DK44" s="1044"/>
      <c r="DL44" s="1044"/>
      <c r="DM44" s="1044"/>
      <c r="DN44" s="1044"/>
      <c r="DO44" s="1044"/>
      <c r="DP44" s="1044"/>
      <c r="DQ44" s="1044"/>
      <c r="DR44" s="1044"/>
      <c r="DS44" s="1044"/>
      <c r="DT44" s="1044"/>
      <c r="DU44" s="1044"/>
      <c r="DV44" s="1044"/>
      <c r="DW44" s="1044"/>
      <c r="DX44" s="1044"/>
      <c r="DY44" s="1044"/>
      <c r="DZ44" s="1044"/>
      <c r="EA44" s="1044"/>
      <c r="EB44" s="1044"/>
      <c r="EC44" s="1044"/>
      <c r="ED44" s="1044"/>
      <c r="EE44" s="1044"/>
      <c r="EF44" s="1044"/>
      <c r="EG44" s="1044"/>
      <c r="EH44" s="1044"/>
      <c r="EI44" s="1044"/>
      <c r="EJ44" s="1044"/>
      <c r="EK44" s="1044"/>
      <c r="EL44" s="1044"/>
      <c r="EM44" s="1044"/>
      <c r="EN44" s="1044"/>
      <c r="EO44" s="1044"/>
      <c r="EP44" s="1044"/>
      <c r="EQ44" s="1044"/>
      <c r="ER44" s="1044"/>
      <c r="ES44" s="1044"/>
      <c r="ET44" s="1044"/>
      <c r="EU44" s="1044"/>
      <c r="EV44" s="1044"/>
      <c r="EW44" s="1044"/>
      <c r="EX44" s="1044"/>
      <c r="EY44" s="1044"/>
      <c r="EZ44" s="1044"/>
      <c r="FA44" s="1044"/>
      <c r="FB44" s="1044"/>
      <c r="FC44" s="1044"/>
      <c r="FD44" s="1044"/>
      <c r="FE44" s="1044"/>
      <c r="FF44" s="1044"/>
      <c r="FG44" s="1044"/>
      <c r="FH44" s="1044"/>
      <c r="FI44" s="1044"/>
      <c r="FJ44" s="1044"/>
      <c r="FK44" s="1044"/>
      <c r="FL44" s="1044"/>
      <c r="FM44" s="1044"/>
      <c r="FN44" s="1044"/>
      <c r="FO44" s="1044"/>
      <c r="FP44" s="1044"/>
      <c r="FQ44" s="1044"/>
      <c r="FR44" s="1044"/>
      <c r="FS44" s="1044"/>
      <c r="FT44" s="1044"/>
      <c r="FU44" s="1044"/>
      <c r="FV44" s="1044"/>
      <c r="FW44" s="1044"/>
      <c r="FX44" s="1044"/>
      <c r="FY44" s="1044"/>
      <c r="FZ44" s="1044"/>
      <c r="GA44" s="1044"/>
      <c r="GB44" s="1044"/>
      <c r="GC44" s="1044"/>
      <c r="GD44" s="1044"/>
      <c r="GE44" s="1044"/>
      <c r="GF44" s="1044"/>
      <c r="GG44" s="1044"/>
      <c r="GH44" s="1044"/>
      <c r="GI44" s="1044"/>
      <c r="GJ44" s="1044"/>
      <c r="GK44" s="1044"/>
      <c r="GL44" s="1044"/>
      <c r="GM44" s="1044"/>
      <c r="GN44" s="1044"/>
      <c r="GO44" s="1044"/>
      <c r="GP44" s="1044"/>
      <c r="GQ44" s="1044"/>
      <c r="GR44" s="1044"/>
      <c r="GS44" s="1044"/>
      <c r="GT44" s="1044"/>
      <c r="GU44" s="1044"/>
      <c r="GV44" s="1044"/>
      <c r="GW44" s="1044"/>
      <c r="GX44" s="1044"/>
      <c r="GY44" s="1044"/>
      <c r="GZ44" s="1044"/>
      <c r="HA44" s="1044"/>
      <c r="HB44" s="1044"/>
      <c r="HC44" s="1044"/>
      <c r="HD44" s="1044"/>
      <c r="HE44" s="1044"/>
      <c r="HF44" s="1044"/>
      <c r="HG44" s="1044"/>
      <c r="HH44" s="1044"/>
      <c r="HI44" s="1044"/>
      <c r="HJ44" s="1044"/>
      <c r="HK44" s="1044"/>
      <c r="HL44" s="1044"/>
      <c r="HM44" s="1044"/>
      <c r="HN44" s="1044"/>
      <c r="HO44" s="1044"/>
      <c r="HP44" s="1044"/>
      <c r="HQ44" s="1044"/>
      <c r="HR44" s="1044"/>
      <c r="HS44" s="1044"/>
      <c r="HT44" s="1044"/>
      <c r="HU44" s="1044"/>
      <c r="HV44" s="1044"/>
      <c r="HW44" s="1044"/>
      <c r="HX44" s="1044"/>
      <c r="HY44" s="1044"/>
      <c r="HZ44" s="1044"/>
      <c r="IA44" s="1044"/>
      <c r="IB44" s="1044"/>
      <c r="IC44" s="1044"/>
      <c r="ID44" s="1044"/>
      <c r="IE44" s="1044"/>
      <c r="IF44" s="1044"/>
      <c r="IG44" s="1044"/>
      <c r="IH44" s="1044"/>
      <c r="II44" s="1044"/>
      <c r="IJ44" s="1044"/>
      <c r="IK44" s="1044"/>
      <c r="IL44" s="1044"/>
      <c r="IM44" s="1044"/>
      <c r="IN44" s="1044"/>
      <c r="IO44" s="1044"/>
      <c r="IP44" s="1044"/>
      <c r="IQ44" s="1044"/>
      <c r="IR44" s="1044"/>
      <c r="IS44" s="1044"/>
      <c r="IT44" s="1044"/>
      <c r="IU44" s="1044"/>
      <c r="IV44" s="1044"/>
      <c r="IW44" s="1044"/>
      <c r="IX44" s="1044"/>
      <c r="IY44" s="1044"/>
      <c r="IZ44" s="1044"/>
      <c r="JA44" s="1044"/>
      <c r="JB44" s="1044"/>
      <c r="JC44" s="1044"/>
      <c r="JD44" s="1044"/>
      <c r="JE44" s="1044"/>
      <c r="JF44" s="1044"/>
      <c r="JG44" s="1044"/>
      <c r="JH44" s="1044"/>
      <c r="JI44" s="1044"/>
      <c r="JJ44" s="1044"/>
      <c r="JK44" s="1044"/>
      <c r="JL44" s="1044"/>
      <c r="JM44" s="1044"/>
      <c r="JN44" s="1044"/>
      <c r="JO44" s="1044"/>
      <c r="JP44" s="1044"/>
      <c r="JQ44" s="1044"/>
      <c r="JR44" s="1044"/>
      <c r="JS44" s="1044"/>
      <c r="JT44" s="1044"/>
      <c r="JU44" s="1044"/>
      <c r="JV44" s="1044"/>
      <c r="JW44" s="1044"/>
      <c r="JX44" s="1044"/>
      <c r="JY44" s="1044"/>
      <c r="JZ44" s="1044"/>
      <c r="KA44" s="1044"/>
      <c r="KB44" s="1044"/>
      <c r="KC44" s="1044"/>
      <c r="KD44" s="1044"/>
      <c r="KE44" s="1044"/>
      <c r="KF44" s="1044"/>
      <c r="KG44" s="1044"/>
      <c r="KH44" s="1044"/>
      <c r="KI44" s="1044"/>
      <c r="KJ44" s="1044"/>
      <c r="KK44" s="1044"/>
      <c r="KL44" s="1044"/>
      <c r="KM44" s="1044"/>
      <c r="KN44" s="1044"/>
      <c r="KO44" s="1044"/>
      <c r="KP44" s="1044"/>
      <c r="KQ44" s="1044"/>
      <c r="KR44" s="1044"/>
      <c r="KS44" s="1044"/>
      <c r="KT44" s="1044"/>
      <c r="KU44" s="1044"/>
      <c r="KV44" s="1044"/>
      <c r="KW44" s="1044"/>
      <c r="KX44" s="1044"/>
      <c r="KY44" s="1044"/>
      <c r="KZ44" s="1044"/>
      <c r="LA44" s="1044"/>
      <c r="LB44" s="1044"/>
      <c r="LC44" s="1044"/>
      <c r="LD44" s="1044"/>
      <c r="LE44" s="1044"/>
      <c r="LF44" s="1044"/>
      <c r="LG44" s="1044"/>
      <c r="LH44" s="1044"/>
      <c r="LI44" s="1044"/>
      <c r="LJ44" s="1044"/>
      <c r="LK44" s="1044"/>
      <c r="LL44" s="1044"/>
      <c r="LM44" s="1044"/>
      <c r="LN44" s="1044"/>
      <c r="LO44" s="1044"/>
      <c r="LP44" s="1044"/>
      <c r="LQ44" s="1044"/>
      <c r="LR44" s="1044"/>
      <c r="LS44" s="1044"/>
      <c r="LT44" s="1044"/>
      <c r="LU44" s="1044"/>
      <c r="LV44" s="1044"/>
      <c r="LW44" s="1044"/>
      <c r="LX44" s="1044"/>
      <c r="LY44" s="1044"/>
      <c r="LZ44" s="1044"/>
      <c r="MA44" s="1044"/>
      <c r="MB44" s="1044"/>
      <c r="MC44" s="1044"/>
      <c r="MD44" s="1044"/>
      <c r="ME44" s="1044"/>
      <c r="MF44" s="1044"/>
      <c r="MG44" s="1044"/>
      <c r="MH44" s="1044"/>
      <c r="MI44" s="1044"/>
      <c r="MJ44" s="1044"/>
      <c r="MK44" s="1044"/>
      <c r="ML44" s="1044"/>
      <c r="MM44" s="1044"/>
      <c r="MN44" s="1044"/>
      <c r="MO44" s="1044"/>
      <c r="MP44" s="1044"/>
      <c r="MQ44" s="1044"/>
      <c r="MR44" s="1044"/>
      <c r="MS44" s="1044"/>
      <c r="MT44" s="1044"/>
      <c r="MU44" s="1044"/>
      <c r="MV44" s="1044"/>
      <c r="MW44" s="1044"/>
      <c r="MX44" s="1044"/>
      <c r="MY44" s="1044"/>
      <c r="MZ44" s="1044"/>
      <c r="NA44" s="1044"/>
      <c r="NB44" s="1044"/>
      <c r="NC44" s="1044"/>
      <c r="ND44" s="1044"/>
      <c r="NE44" s="1044"/>
      <c r="NF44" s="1044"/>
      <c r="NG44" s="1044"/>
      <c r="NH44" s="1044"/>
      <c r="NI44" s="1044"/>
      <c r="NJ44" s="1044"/>
      <c r="NK44" s="1044"/>
      <c r="NL44" s="1044"/>
      <c r="NM44" s="1044"/>
      <c r="NN44" s="1044"/>
      <c r="NO44" s="1044"/>
      <c r="NP44" s="1044"/>
      <c r="NQ44" s="1044"/>
      <c r="NR44" s="1044"/>
      <c r="NS44" s="1044"/>
      <c r="NT44" s="1044"/>
      <c r="NU44" s="1044"/>
      <c r="NV44" s="1044"/>
      <c r="NW44" s="1044"/>
      <c r="NX44" s="1044"/>
      <c r="NY44" s="1044"/>
      <c r="NZ44" s="1044"/>
      <c r="OA44" s="1044"/>
      <c r="OB44" s="1044"/>
      <c r="OC44" s="1044"/>
      <c r="OD44" s="1044"/>
      <c r="OE44" s="1044"/>
      <c r="OF44" s="1044"/>
      <c r="OG44" s="1044"/>
      <c r="OH44" s="1044"/>
      <c r="OI44" s="1044"/>
      <c r="OJ44" s="1044"/>
      <c r="OK44" s="1044"/>
      <c r="OL44" s="1044"/>
      <c r="OM44" s="1044"/>
      <c r="ON44" s="1044"/>
      <c r="OO44" s="1044"/>
      <c r="OP44" s="1044"/>
      <c r="OQ44" s="1044"/>
      <c r="OR44" s="1044"/>
      <c r="OS44" s="1044"/>
      <c r="OT44" s="1044"/>
      <c r="OU44" s="1044"/>
      <c r="OV44" s="1044"/>
      <c r="OW44" s="1044"/>
      <c r="OX44" s="1044"/>
      <c r="OY44" s="1044"/>
      <c r="OZ44" s="1044"/>
      <c r="PA44" s="1044"/>
      <c r="PB44" s="1044"/>
      <c r="PC44" s="1044"/>
      <c r="PD44" s="1044"/>
      <c r="PE44" s="1044"/>
      <c r="PF44" s="1044"/>
      <c r="PG44" s="1044"/>
      <c r="PH44" s="1044"/>
      <c r="PI44" s="1044"/>
      <c r="PJ44" s="1044"/>
      <c r="PK44" s="1044"/>
      <c r="PL44" s="1044"/>
      <c r="PM44" s="1044"/>
      <c r="PN44" s="1044"/>
      <c r="PO44" s="1044"/>
      <c r="PP44" s="1044"/>
      <c r="PQ44" s="1044"/>
      <c r="PR44" s="1044"/>
      <c r="PS44" s="1044"/>
      <c r="PT44" s="1044"/>
      <c r="PU44" s="1044"/>
      <c r="PV44" s="1044"/>
      <c r="PW44" s="1044"/>
      <c r="PX44" s="1044"/>
      <c r="PY44" s="1044"/>
      <c r="PZ44" s="1044"/>
      <c r="QA44" s="1044"/>
      <c r="QB44" s="1044"/>
      <c r="QC44" s="1044"/>
      <c r="QD44" s="1044"/>
      <c r="QE44" s="1044"/>
      <c r="QF44" s="1044"/>
      <c r="QG44" s="1044"/>
      <c r="QH44" s="1044"/>
      <c r="QI44" s="1044"/>
      <c r="QJ44" s="1044"/>
      <c r="QK44" s="1044"/>
      <c r="QL44" s="1044"/>
      <c r="QM44" s="1044"/>
      <c r="QN44" s="1044"/>
      <c r="QO44" s="1044"/>
      <c r="QP44" s="1044"/>
      <c r="QQ44" s="1044"/>
      <c r="QR44" s="1044"/>
      <c r="QS44" s="1044"/>
      <c r="QT44" s="1044"/>
      <c r="QU44" s="1044"/>
      <c r="QV44" s="1044"/>
      <c r="QW44" s="1044"/>
      <c r="QX44" s="1044"/>
      <c r="QY44" s="1044"/>
      <c r="QZ44" s="1044"/>
      <c r="RA44" s="1044"/>
      <c r="RB44" s="1044"/>
      <c r="RC44" s="1044"/>
      <c r="RD44" s="1044"/>
      <c r="RE44" s="1044"/>
      <c r="RF44" s="1044"/>
      <c r="RG44" s="1044"/>
      <c r="RH44" s="1044"/>
      <c r="RI44" s="1044"/>
      <c r="RJ44" s="1044"/>
      <c r="RK44" s="1044"/>
      <c r="RL44" s="1044"/>
      <c r="RM44" s="1044"/>
      <c r="RN44" s="1044"/>
      <c r="RO44" s="1044"/>
      <c r="RP44" s="1044"/>
      <c r="RQ44" s="1044"/>
      <c r="RR44" s="1044"/>
      <c r="RS44" s="1044"/>
      <c r="RT44" s="1044"/>
      <c r="RU44" s="1044"/>
      <c r="RV44" s="1044"/>
      <c r="RW44" s="1044"/>
      <c r="RX44" s="1044"/>
      <c r="RY44" s="1044"/>
      <c r="RZ44" s="1044"/>
      <c r="SA44" s="1044"/>
      <c r="SB44" s="1044"/>
      <c r="SC44" s="1044"/>
      <c r="SD44" s="1044"/>
      <c r="SE44" s="1044"/>
      <c r="SF44" s="1044"/>
      <c r="SG44" s="1044"/>
      <c r="SH44" s="1044"/>
      <c r="SI44" s="1044"/>
      <c r="SJ44" s="1044"/>
      <c r="SK44" s="1044"/>
      <c r="SL44" s="1044"/>
      <c r="SM44" s="1044"/>
      <c r="SN44" s="1044"/>
      <c r="SO44" s="1044"/>
      <c r="SP44" s="1044"/>
      <c r="SQ44" s="1044"/>
      <c r="SR44" s="1044"/>
      <c r="SS44" s="1044"/>
      <c r="ST44" s="1044"/>
      <c r="SU44" s="1044"/>
      <c r="SV44" s="1044"/>
      <c r="SW44" s="1044"/>
      <c r="SX44" s="1044"/>
      <c r="SY44" s="1044"/>
      <c r="SZ44" s="1044"/>
      <c r="TA44" s="1044"/>
      <c r="TB44" s="1044"/>
      <c r="TC44" s="1044"/>
      <c r="TD44" s="1044"/>
      <c r="TE44" s="1044"/>
      <c r="TF44" s="1044"/>
      <c r="TG44" s="1044"/>
      <c r="TH44" s="1044"/>
      <c r="TI44" s="1044"/>
      <c r="TJ44" s="1044"/>
      <c r="TK44" s="1044"/>
      <c r="TL44" s="1044"/>
      <c r="TM44" s="1044"/>
      <c r="TN44" s="1044"/>
      <c r="TO44" s="1044"/>
      <c r="TP44" s="1044"/>
      <c r="TQ44" s="1044"/>
      <c r="TR44" s="1044"/>
      <c r="TS44" s="1044"/>
      <c r="TT44" s="1044"/>
      <c r="TU44" s="1044"/>
      <c r="TV44" s="1044"/>
      <c r="TW44" s="1044"/>
      <c r="TX44" s="1044"/>
      <c r="TY44" s="1044"/>
      <c r="TZ44" s="1044"/>
      <c r="UA44" s="1044"/>
      <c r="UB44" s="1044"/>
      <c r="UC44" s="1044"/>
      <c r="UD44" s="1044"/>
      <c r="UE44" s="1044"/>
      <c r="UF44" s="1044"/>
      <c r="UG44" s="1044"/>
      <c r="UH44" s="1044"/>
      <c r="UI44" s="1044"/>
      <c r="UJ44" s="1044"/>
      <c r="UK44" s="1044"/>
      <c r="UL44" s="1044"/>
      <c r="UM44" s="1044"/>
      <c r="UN44" s="1044"/>
      <c r="UO44" s="1044"/>
      <c r="UP44" s="1044"/>
      <c r="UQ44" s="1044"/>
      <c r="UR44" s="1044"/>
      <c r="US44" s="1044"/>
      <c r="UT44" s="1044"/>
      <c r="UU44" s="1044"/>
      <c r="UV44" s="1044"/>
      <c r="UW44" s="1044"/>
      <c r="UX44" s="1044"/>
      <c r="UY44" s="1044"/>
      <c r="UZ44" s="1044"/>
      <c r="VA44" s="1044"/>
      <c r="VB44" s="1044"/>
      <c r="VC44" s="1044"/>
      <c r="VD44" s="1044"/>
      <c r="VE44" s="1044"/>
      <c r="VF44" s="1044"/>
      <c r="VG44" s="1044"/>
      <c r="VH44" s="1044"/>
      <c r="VI44" s="1044"/>
      <c r="VJ44" s="1044"/>
      <c r="VK44" s="1044"/>
      <c r="VL44" s="1044"/>
      <c r="VM44" s="1044"/>
      <c r="VN44" s="1044"/>
      <c r="VO44" s="1044"/>
      <c r="VP44" s="1044"/>
      <c r="VQ44" s="1044"/>
      <c r="VR44" s="1044"/>
      <c r="VS44" s="1044"/>
      <c r="VT44" s="1044"/>
      <c r="VU44" s="1044"/>
      <c r="VV44" s="1044"/>
      <c r="VW44" s="1044"/>
      <c r="VX44" s="1044"/>
      <c r="VY44" s="1044"/>
      <c r="VZ44" s="1044"/>
      <c r="WA44" s="1044"/>
      <c r="WB44" s="1044"/>
      <c r="WC44" s="1044"/>
      <c r="WD44" s="1044"/>
      <c r="WE44" s="1044"/>
      <c r="WF44" s="1044"/>
      <c r="WG44" s="1044"/>
      <c r="WH44" s="1044"/>
      <c r="WI44" s="1044"/>
      <c r="WJ44" s="1044"/>
      <c r="WK44" s="1044"/>
      <c r="WL44" s="1044"/>
      <c r="WM44" s="1044"/>
      <c r="WN44" s="1044"/>
      <c r="WO44" s="1044"/>
      <c r="WP44" s="1044"/>
      <c r="WQ44" s="1044"/>
      <c r="WR44" s="1044"/>
      <c r="WS44" s="1044"/>
      <c r="WT44" s="1044"/>
      <c r="WU44" s="1044"/>
      <c r="WV44" s="1044"/>
      <c r="WW44" s="1044"/>
      <c r="WX44" s="1044"/>
      <c r="WY44" s="1044"/>
      <c r="WZ44" s="1044"/>
      <c r="XA44" s="1044"/>
      <c r="XB44" s="1044"/>
      <c r="XC44" s="1044"/>
      <c r="XD44" s="1044"/>
      <c r="XE44" s="1044"/>
      <c r="XF44" s="1044"/>
      <c r="XG44" s="1044"/>
      <c r="XH44" s="1044"/>
      <c r="XI44" s="1044"/>
      <c r="XJ44" s="1044"/>
      <c r="XK44" s="1044"/>
      <c r="XL44" s="1044"/>
      <c r="XM44" s="1044"/>
      <c r="XN44" s="1044"/>
      <c r="XO44" s="1044"/>
      <c r="XP44" s="1044"/>
      <c r="XQ44" s="1044"/>
      <c r="XR44" s="1044"/>
      <c r="XS44" s="1044"/>
      <c r="XT44" s="1044"/>
      <c r="XU44" s="1044"/>
      <c r="XV44" s="1044"/>
      <c r="XW44" s="1044"/>
      <c r="XX44" s="1044"/>
      <c r="XY44" s="1044"/>
      <c r="XZ44" s="1044"/>
      <c r="YA44" s="1044"/>
      <c r="YB44" s="1044"/>
      <c r="YC44" s="1044"/>
      <c r="YD44" s="1044"/>
      <c r="YE44" s="1044"/>
      <c r="YF44" s="1044"/>
      <c r="YG44" s="1044"/>
      <c r="YH44" s="1044"/>
      <c r="YI44" s="1044"/>
      <c r="YJ44" s="1044"/>
      <c r="YK44" s="1044"/>
      <c r="YL44" s="1044"/>
      <c r="YM44" s="1044"/>
      <c r="YN44" s="1044"/>
      <c r="YO44" s="1044"/>
      <c r="YP44" s="1044"/>
      <c r="YQ44" s="1044"/>
      <c r="YR44" s="1044"/>
      <c r="YS44" s="1044"/>
      <c r="YT44" s="1044"/>
      <c r="YU44" s="1044"/>
      <c r="YV44" s="1044"/>
      <c r="YW44" s="1044"/>
      <c r="YX44" s="1044"/>
      <c r="YY44" s="1044"/>
      <c r="YZ44" s="1044"/>
      <c r="ZA44" s="1044"/>
      <c r="ZB44" s="1044"/>
      <c r="ZC44" s="1044"/>
      <c r="ZD44" s="1044"/>
      <c r="ZE44" s="1044"/>
      <c r="ZF44" s="1044"/>
      <c r="ZG44" s="1044"/>
      <c r="ZH44" s="1044"/>
      <c r="ZI44" s="1044"/>
      <c r="ZJ44" s="1044"/>
      <c r="ZK44" s="1044"/>
      <c r="ZL44" s="1044"/>
      <c r="ZM44" s="1044"/>
      <c r="ZN44" s="1044"/>
      <c r="ZO44" s="1044"/>
      <c r="ZP44" s="1044"/>
      <c r="ZQ44" s="1044"/>
      <c r="ZR44" s="1044"/>
      <c r="ZS44" s="1044"/>
      <c r="ZT44" s="1044"/>
      <c r="ZU44" s="1044"/>
      <c r="ZV44" s="1044"/>
      <c r="ZW44" s="1044"/>
      <c r="ZX44" s="1044"/>
      <c r="ZY44" s="1044"/>
      <c r="ZZ44" s="1044"/>
      <c r="AAA44" s="1044"/>
      <c r="AAB44" s="1044"/>
      <c r="AAC44" s="1044"/>
      <c r="AAD44" s="1044"/>
      <c r="AAE44" s="1044"/>
      <c r="AAF44" s="1044"/>
      <c r="AAG44" s="1044"/>
      <c r="AAH44" s="1044"/>
      <c r="AAI44" s="1044"/>
      <c r="AAJ44" s="1044"/>
      <c r="AAK44" s="1044"/>
      <c r="AAL44" s="1044"/>
      <c r="AAM44" s="1044"/>
      <c r="AAN44" s="1044"/>
      <c r="AAO44" s="1044"/>
      <c r="AAP44" s="1044"/>
      <c r="AAQ44" s="1044"/>
      <c r="AAR44" s="1044"/>
      <c r="AAS44" s="1044"/>
      <c r="AAT44" s="1044"/>
      <c r="AAU44" s="1044"/>
      <c r="AAV44" s="1044"/>
      <c r="AAW44" s="1044"/>
      <c r="AAX44" s="1044"/>
      <c r="AAY44" s="1044"/>
      <c r="AAZ44" s="1044"/>
      <c r="ABA44" s="1044"/>
      <c r="ABB44" s="1044"/>
      <c r="ABC44" s="1044"/>
      <c r="ABD44" s="1044"/>
      <c r="ABE44" s="1044"/>
      <c r="ABF44" s="1044"/>
      <c r="ABG44" s="1044"/>
      <c r="ABH44" s="1044"/>
      <c r="ABI44" s="1044"/>
      <c r="ABJ44" s="1044"/>
      <c r="ABK44" s="1044"/>
      <c r="ABL44" s="1044"/>
      <c r="ABM44" s="1044"/>
      <c r="ABN44" s="1044"/>
      <c r="ABO44" s="1044"/>
      <c r="ABP44" s="1044"/>
      <c r="ABQ44" s="1044"/>
      <c r="ABR44" s="1044"/>
      <c r="ABS44" s="1044"/>
      <c r="ABT44" s="1044"/>
      <c r="ABU44" s="1044"/>
      <c r="ABV44" s="1044"/>
      <c r="ABW44" s="1044"/>
      <c r="ABX44" s="1044"/>
      <c r="ABY44" s="1044"/>
      <c r="ABZ44" s="1044"/>
      <c r="ACA44" s="1044"/>
      <c r="ACB44" s="1044"/>
      <c r="ACC44" s="1044"/>
      <c r="ACD44" s="1044"/>
      <c r="ACE44" s="1044"/>
      <c r="ACF44" s="1044"/>
      <c r="ACG44" s="1044"/>
      <c r="ACH44" s="1044"/>
      <c r="ACI44" s="1044"/>
      <c r="ACJ44" s="1044"/>
      <c r="ACK44" s="1044"/>
      <c r="ACL44" s="1044"/>
      <c r="ACM44" s="1044"/>
      <c r="ACN44" s="1044"/>
      <c r="ACO44" s="1044"/>
      <c r="ACP44" s="1044"/>
      <c r="ACQ44" s="1044"/>
      <c r="ACR44" s="1044"/>
      <c r="ACS44" s="1044"/>
      <c r="ACT44" s="1044"/>
      <c r="ACU44" s="1044"/>
      <c r="ACV44" s="1044"/>
      <c r="ACW44" s="1044"/>
      <c r="ACX44" s="1044"/>
      <c r="ACY44" s="1044"/>
      <c r="ACZ44" s="1044"/>
      <c r="ADA44" s="1044"/>
      <c r="ADB44" s="1044"/>
      <c r="ADC44" s="1044"/>
      <c r="ADD44" s="1044"/>
      <c r="ADE44" s="1044"/>
      <c r="ADF44" s="1044"/>
      <c r="ADG44" s="1044"/>
      <c r="ADH44" s="1044"/>
      <c r="ADI44" s="1044"/>
      <c r="ADJ44" s="1044"/>
      <c r="ADK44" s="1044"/>
      <c r="ADL44" s="1044"/>
      <c r="ADM44" s="1044"/>
      <c r="ADN44" s="1044"/>
      <c r="ADO44" s="1044"/>
      <c r="ADP44" s="1044"/>
      <c r="ADQ44" s="1044"/>
      <c r="ADR44" s="1044"/>
      <c r="ADS44" s="1044"/>
      <c r="ADT44" s="1044"/>
      <c r="ADU44" s="1044"/>
      <c r="ADV44" s="1044"/>
      <c r="ADW44" s="1044"/>
      <c r="ADX44" s="1044"/>
      <c r="ADY44" s="1044"/>
      <c r="ADZ44" s="1044"/>
      <c r="AEA44" s="1044"/>
      <c r="AEB44" s="1044"/>
      <c r="AEC44" s="1044"/>
      <c r="AED44" s="1044"/>
      <c r="AEE44" s="1044"/>
      <c r="AEF44" s="1044"/>
      <c r="AEG44" s="1044"/>
      <c r="AEH44" s="1044"/>
      <c r="AEI44" s="1044"/>
      <c r="AEJ44" s="1044"/>
      <c r="AEK44" s="1044"/>
      <c r="AEL44" s="1044"/>
      <c r="AEM44" s="1044"/>
      <c r="AEN44" s="1044"/>
      <c r="AEO44" s="1044"/>
      <c r="AEP44" s="1044"/>
      <c r="AEQ44" s="1044"/>
      <c r="AER44" s="1044"/>
      <c r="AES44" s="1044"/>
      <c r="AET44" s="1044"/>
      <c r="AEU44" s="1044"/>
      <c r="AEV44" s="1044"/>
      <c r="AEW44" s="1044"/>
      <c r="AEX44" s="1044"/>
      <c r="AEY44" s="1044"/>
      <c r="AEZ44" s="1044"/>
      <c r="AFA44" s="1044"/>
      <c r="AFB44" s="1044"/>
      <c r="AFC44" s="1044"/>
      <c r="AFD44" s="1044"/>
      <c r="AFE44" s="1044"/>
      <c r="AFF44" s="1044"/>
      <c r="AFG44" s="1044"/>
      <c r="AFH44" s="1044"/>
      <c r="AFI44" s="1044"/>
      <c r="AFJ44" s="1044"/>
      <c r="AFK44" s="1044"/>
      <c r="AFL44" s="1044"/>
      <c r="AFM44" s="1044"/>
      <c r="AFN44" s="1044"/>
      <c r="AFO44" s="1044"/>
      <c r="AFP44" s="1044"/>
      <c r="AFQ44" s="1044"/>
      <c r="AFR44" s="1044"/>
      <c r="AFS44" s="1044"/>
      <c r="AFT44" s="1044"/>
      <c r="AFU44" s="1044"/>
      <c r="AFV44" s="1044"/>
      <c r="AFW44" s="1044"/>
      <c r="AFX44" s="1044"/>
      <c r="AFY44" s="1044"/>
      <c r="AFZ44" s="1044"/>
      <c r="AGA44" s="1044"/>
      <c r="AGB44" s="1044"/>
      <c r="AGC44" s="1044"/>
      <c r="AGD44" s="1044"/>
      <c r="AGE44" s="1044"/>
      <c r="AGF44" s="1044"/>
      <c r="AGG44" s="1044"/>
      <c r="AGH44" s="1044"/>
      <c r="AGI44" s="1044"/>
      <c r="AGJ44" s="1044"/>
      <c r="AGK44" s="1044"/>
      <c r="AGL44" s="1044"/>
      <c r="AGM44" s="1044"/>
      <c r="AGN44" s="1044"/>
      <c r="AGO44" s="1044"/>
      <c r="AGP44" s="1044"/>
      <c r="AGQ44" s="1044"/>
      <c r="AGR44" s="1044"/>
      <c r="AGS44" s="1044"/>
      <c r="AGT44" s="1044"/>
      <c r="AGU44" s="1044"/>
      <c r="AGV44" s="1044"/>
      <c r="AGW44" s="1044"/>
      <c r="AGX44" s="1044"/>
      <c r="AGY44" s="1044"/>
      <c r="AGZ44" s="1044"/>
      <c r="AHA44" s="1044"/>
      <c r="AHB44" s="1044"/>
      <c r="AHC44" s="1044"/>
      <c r="AHD44" s="1044"/>
      <c r="AHE44" s="1044"/>
      <c r="AHF44" s="1044"/>
      <c r="AHG44" s="1044"/>
      <c r="AHH44" s="1044"/>
      <c r="AHI44" s="1044"/>
      <c r="AHJ44" s="1044"/>
      <c r="AHK44" s="1044"/>
      <c r="AHL44" s="1044"/>
      <c r="AHM44" s="1044"/>
      <c r="AHN44" s="1044"/>
      <c r="AHO44" s="1044"/>
      <c r="AHP44" s="1044"/>
      <c r="AHQ44" s="1044"/>
      <c r="AHR44" s="1044"/>
      <c r="AHS44" s="1044"/>
      <c r="AHT44" s="1044"/>
      <c r="AHU44" s="1044"/>
      <c r="AHV44" s="1044"/>
      <c r="AHW44" s="1044"/>
      <c r="AHX44" s="1044"/>
      <c r="AHY44" s="1044"/>
      <c r="AHZ44" s="1044"/>
      <c r="AIA44" s="1044"/>
      <c r="AIB44" s="1044"/>
      <c r="AIC44" s="1044"/>
      <c r="AID44" s="1044"/>
      <c r="AIE44" s="1044"/>
      <c r="AIF44" s="1044"/>
      <c r="AIG44" s="1044"/>
      <c r="AIH44" s="1044"/>
      <c r="AII44" s="1044"/>
      <c r="AIJ44" s="1044"/>
      <c r="AIK44" s="1044"/>
      <c r="AIL44" s="1044"/>
      <c r="AIM44" s="1044"/>
      <c r="AIN44" s="1044"/>
      <c r="AIO44" s="1044"/>
      <c r="AIP44" s="1044"/>
      <c r="AIQ44" s="1044"/>
      <c r="AIR44" s="1044"/>
      <c r="AIS44" s="1044"/>
      <c r="AIT44" s="1044"/>
      <c r="AIU44" s="1044"/>
      <c r="AIV44" s="1044"/>
      <c r="AIW44" s="1044"/>
      <c r="AIX44" s="1044"/>
      <c r="AIY44" s="1044"/>
      <c r="AIZ44" s="1044"/>
      <c r="AJA44" s="1044"/>
      <c r="AJB44" s="1044"/>
      <c r="AJC44" s="1044"/>
      <c r="AJD44" s="1044"/>
      <c r="AJE44" s="1044"/>
      <c r="AJF44" s="1044"/>
      <c r="AJG44" s="1044"/>
      <c r="AJH44" s="1044"/>
      <c r="AJI44" s="1044"/>
      <c r="AJJ44" s="1044"/>
      <c r="AJK44" s="1044"/>
      <c r="AJL44" s="1044"/>
      <c r="AJM44" s="1044"/>
      <c r="AJN44" s="1044"/>
      <c r="AJO44" s="1044"/>
      <c r="AJP44" s="1044"/>
      <c r="AJQ44" s="1044"/>
      <c r="AJR44" s="1044"/>
      <c r="AJS44" s="1044"/>
      <c r="AJT44" s="1044"/>
      <c r="AJU44" s="1044"/>
      <c r="AJV44" s="1044"/>
      <c r="AJW44" s="1044"/>
      <c r="AJX44" s="1044"/>
      <c r="AJY44" s="1044"/>
      <c r="AJZ44" s="1044"/>
      <c r="AKA44" s="1044"/>
      <c r="AKB44" s="1044"/>
      <c r="AKC44" s="1044"/>
      <c r="AKD44" s="1044"/>
      <c r="AKE44" s="1044"/>
      <c r="AKF44" s="1044"/>
      <c r="AKG44" s="1044"/>
      <c r="AKH44" s="1044"/>
      <c r="AKI44" s="1044"/>
      <c r="AKJ44" s="1044"/>
      <c r="AKK44" s="1044"/>
      <c r="AKL44" s="1044"/>
      <c r="AKM44" s="1044"/>
      <c r="AKN44" s="1044"/>
      <c r="AKO44" s="1044"/>
      <c r="AKP44" s="1044"/>
      <c r="AKQ44" s="1044"/>
      <c r="AKR44" s="1044"/>
      <c r="AKS44" s="1044"/>
      <c r="AKT44" s="1044"/>
      <c r="AKU44" s="1044"/>
      <c r="AKV44" s="1044"/>
      <c r="AKW44" s="1044"/>
      <c r="AKX44" s="1044"/>
      <c r="AKY44" s="1044"/>
      <c r="AKZ44" s="1044"/>
      <c r="ALA44" s="1044"/>
      <c r="ALB44" s="1044"/>
      <c r="ALC44" s="1044"/>
      <c r="ALD44" s="1044"/>
      <c r="ALE44" s="1044"/>
      <c r="ALF44" s="1044"/>
      <c r="ALG44" s="1044"/>
      <c r="ALH44" s="1044"/>
      <c r="ALI44" s="1044"/>
      <c r="ALJ44" s="1044"/>
      <c r="ALK44" s="1044"/>
      <c r="ALL44" s="1044"/>
      <c r="ALM44" s="1044"/>
      <c r="ALN44" s="1044"/>
      <c r="ALO44" s="1044"/>
      <c r="ALP44" s="1044"/>
      <c r="ALQ44" s="1044"/>
      <c r="ALR44" s="1044"/>
      <c r="ALS44" s="1044"/>
      <c r="ALT44" s="1044"/>
      <c r="ALU44" s="1044"/>
      <c r="ALV44" s="1044"/>
      <c r="ALW44" s="1044"/>
      <c r="ALX44" s="1044"/>
      <c r="ALY44" s="1044"/>
      <c r="ALZ44" s="1044"/>
      <c r="AMA44" s="1044"/>
      <c r="AMB44" s="1044"/>
      <c r="AMC44" s="1044"/>
      <c r="AMD44" s="1044"/>
      <c r="AME44" s="1044"/>
      <c r="AMF44" s="1044"/>
      <c r="AMG44" s="1044"/>
      <c r="AMH44" s="1044"/>
      <c r="AMI44" s="1044"/>
      <c r="AMJ44" s="1044"/>
      <c r="AMK44" s="1044"/>
      <c r="AML44" s="1044"/>
      <c r="AMM44" s="1044"/>
      <c r="AMN44" s="1044"/>
      <c r="AMO44" s="1044"/>
      <c r="AMP44" s="1044"/>
      <c r="AMQ44" s="1044"/>
      <c r="AMR44" s="1044"/>
      <c r="AMS44" s="1044"/>
      <c r="AMT44" s="1044"/>
      <c r="AMU44" s="1044"/>
      <c r="AMV44" s="1044"/>
      <c r="AMW44" s="1044"/>
      <c r="AMX44" s="1044"/>
      <c r="AMY44" s="1044"/>
      <c r="AMZ44" s="1044"/>
      <c r="ANA44" s="1044"/>
      <c r="ANB44" s="1044"/>
      <c r="ANC44" s="1044"/>
      <c r="AND44" s="1044"/>
      <c r="ANE44" s="1044"/>
      <c r="ANF44" s="1044"/>
      <c r="ANG44" s="1044"/>
      <c r="ANH44" s="1044"/>
      <c r="ANI44" s="1044"/>
      <c r="ANJ44" s="1044"/>
      <c r="ANK44" s="1044"/>
      <c r="ANL44" s="1044"/>
      <c r="ANM44" s="1044"/>
      <c r="ANN44" s="1044"/>
      <c r="ANO44" s="1044"/>
      <c r="ANP44" s="1044"/>
      <c r="ANQ44" s="1044"/>
      <c r="ANR44" s="1044"/>
      <c r="ANS44" s="1044"/>
      <c r="ANT44" s="1044"/>
      <c r="ANU44" s="1044"/>
      <c r="ANV44" s="1044"/>
      <c r="ANW44" s="1044"/>
      <c r="ANX44" s="1044"/>
      <c r="ANY44" s="1044"/>
      <c r="ANZ44" s="1044"/>
      <c r="AOA44" s="1044"/>
      <c r="AOB44" s="1044"/>
      <c r="AOC44" s="1044"/>
      <c r="AOD44" s="1044"/>
      <c r="AOE44" s="1044"/>
      <c r="AOF44" s="1044"/>
      <c r="AOG44" s="1044"/>
      <c r="AOH44" s="1044"/>
      <c r="AOI44" s="1044"/>
      <c r="AOJ44" s="1044"/>
      <c r="AOK44" s="1044"/>
      <c r="AOL44" s="1044"/>
      <c r="AOM44" s="1044"/>
      <c r="AON44" s="1044"/>
      <c r="AOO44" s="1044"/>
      <c r="AOP44" s="1044"/>
      <c r="AOQ44" s="1044"/>
      <c r="AOR44" s="1044"/>
      <c r="AOS44" s="1044"/>
      <c r="AOT44" s="1044"/>
      <c r="AOU44" s="1044"/>
      <c r="AOV44" s="1044"/>
      <c r="AOW44" s="1044"/>
      <c r="AOX44" s="1044"/>
      <c r="AOY44" s="1044"/>
      <c r="AOZ44" s="1044"/>
      <c r="APA44" s="1044"/>
      <c r="APB44" s="1044"/>
      <c r="APC44" s="1044"/>
      <c r="APD44" s="1044"/>
      <c r="APE44" s="1044"/>
      <c r="APF44" s="1044"/>
      <c r="APG44" s="1044"/>
      <c r="APH44" s="1044"/>
      <c r="API44" s="1044"/>
      <c r="APJ44" s="1044"/>
      <c r="APK44" s="1044"/>
      <c r="APL44" s="1044"/>
      <c r="APM44" s="1044"/>
      <c r="APN44" s="1044"/>
      <c r="APO44" s="1044"/>
      <c r="APP44" s="1044"/>
      <c r="APQ44" s="1044"/>
      <c r="APR44" s="1044"/>
      <c r="APS44" s="1044"/>
      <c r="APT44" s="1044"/>
      <c r="APU44" s="1044"/>
      <c r="APV44" s="1044"/>
      <c r="APW44" s="1044"/>
      <c r="APX44" s="1044"/>
      <c r="APY44" s="1044"/>
      <c r="APZ44" s="1044"/>
      <c r="AQA44" s="1044"/>
      <c r="AQB44" s="1044"/>
      <c r="AQC44" s="1044"/>
      <c r="AQD44" s="1044"/>
      <c r="AQE44" s="1044"/>
      <c r="AQF44" s="1044"/>
      <c r="AQG44" s="1044"/>
      <c r="AQH44" s="1044"/>
      <c r="AQI44" s="1044"/>
      <c r="AQJ44" s="1044"/>
      <c r="AQK44" s="1044"/>
      <c r="AQL44" s="1044"/>
      <c r="AQM44" s="1044"/>
      <c r="AQN44" s="1044"/>
      <c r="AQO44" s="1044"/>
      <c r="AQP44" s="1044"/>
      <c r="AQQ44" s="1044"/>
      <c r="AQR44" s="1044"/>
      <c r="AQS44" s="1044"/>
      <c r="AQT44" s="1044"/>
      <c r="AQU44" s="1044"/>
      <c r="AQV44" s="1044"/>
      <c r="AQW44" s="1044"/>
      <c r="AQX44" s="1044"/>
      <c r="AQY44" s="1044"/>
      <c r="AQZ44" s="1044"/>
      <c r="ARA44" s="1044"/>
      <c r="ARB44" s="1044"/>
      <c r="ARC44" s="1044"/>
      <c r="ARD44" s="1044"/>
      <c r="ARE44" s="1044"/>
      <c r="ARF44" s="1044"/>
      <c r="ARG44" s="1044"/>
      <c r="ARH44" s="1044"/>
      <c r="ARI44" s="1044"/>
      <c r="ARJ44" s="1044"/>
      <c r="ARK44" s="1044"/>
      <c r="ARL44" s="1044"/>
      <c r="ARM44" s="1044"/>
      <c r="ARN44" s="1044"/>
      <c r="ARO44" s="1044"/>
      <c r="ARP44" s="1044"/>
      <c r="ARQ44" s="1044"/>
      <c r="ARR44" s="1044"/>
      <c r="ARS44" s="1044"/>
      <c r="ART44" s="1044"/>
      <c r="ARU44" s="1044"/>
      <c r="ARV44" s="1044"/>
      <c r="ARW44" s="1044"/>
      <c r="ARX44" s="1044"/>
      <c r="ARY44" s="1044"/>
      <c r="ARZ44" s="1044"/>
      <c r="ASA44" s="1044"/>
      <c r="ASB44" s="1044"/>
      <c r="ASC44" s="1044"/>
      <c r="ASD44" s="1044"/>
      <c r="ASE44" s="1044"/>
      <c r="ASF44" s="1044"/>
      <c r="ASG44" s="1044"/>
      <c r="ASH44" s="1044"/>
      <c r="ASI44" s="1044"/>
      <c r="ASJ44" s="1044"/>
      <c r="ASK44" s="1044"/>
      <c r="ASL44" s="1044"/>
      <c r="ASM44" s="1044"/>
      <c r="ASN44" s="1044"/>
      <c r="ASO44" s="1044"/>
      <c r="ASP44" s="1044"/>
      <c r="ASQ44" s="1044"/>
      <c r="ASR44" s="1044"/>
      <c r="ASS44" s="1044"/>
      <c r="AST44" s="1044"/>
      <c r="ASU44" s="1044"/>
      <c r="ASV44" s="1044"/>
      <c r="ASW44" s="1044"/>
      <c r="ASX44" s="1044"/>
      <c r="ASY44" s="1044"/>
      <c r="ASZ44" s="1044"/>
      <c r="ATA44" s="1044"/>
      <c r="ATB44" s="1044"/>
      <c r="ATC44" s="1044"/>
      <c r="ATD44" s="1044"/>
      <c r="ATE44" s="1044"/>
      <c r="ATF44" s="1044"/>
      <c r="ATG44" s="1044"/>
      <c r="ATH44" s="1044"/>
      <c r="ATI44" s="1044"/>
      <c r="ATJ44" s="1044"/>
      <c r="ATK44" s="1044"/>
      <c r="ATL44" s="1044"/>
      <c r="ATM44" s="1044"/>
      <c r="ATN44" s="1044"/>
      <c r="ATO44" s="1044"/>
      <c r="ATP44" s="1044"/>
      <c r="ATQ44" s="1044"/>
      <c r="ATR44" s="1044"/>
      <c r="ATS44" s="1044"/>
      <c r="ATT44" s="1044"/>
      <c r="ATU44" s="1044"/>
      <c r="ATV44" s="1044"/>
      <c r="ATW44" s="1044"/>
      <c r="ATX44" s="1044"/>
      <c r="ATY44" s="1044"/>
      <c r="ATZ44" s="1044"/>
      <c r="AUA44" s="1044"/>
      <c r="AUB44" s="1044"/>
      <c r="AUC44" s="1044"/>
      <c r="AUD44" s="1044"/>
      <c r="AUE44" s="1044"/>
      <c r="AUF44" s="1044"/>
      <c r="AUG44" s="1044"/>
      <c r="AUH44" s="1044"/>
      <c r="AUI44" s="1044"/>
      <c r="AUJ44" s="1044"/>
      <c r="AUK44" s="1044"/>
      <c r="AUL44" s="1044"/>
      <c r="AUM44" s="1044"/>
      <c r="AUN44" s="1044"/>
      <c r="AUO44" s="1044"/>
      <c r="AUP44" s="1044"/>
      <c r="AUQ44" s="1044"/>
      <c r="AUR44" s="1044"/>
      <c r="AUS44" s="1044"/>
      <c r="AUT44" s="1044"/>
      <c r="AUU44" s="1044"/>
      <c r="AUV44" s="1044"/>
      <c r="AUW44" s="1044"/>
      <c r="AUX44" s="1044"/>
      <c r="AUY44" s="1044"/>
      <c r="AUZ44" s="1044"/>
      <c r="AVA44" s="1044"/>
      <c r="AVB44" s="1044"/>
      <c r="AVC44" s="1044"/>
      <c r="AVD44" s="1044"/>
      <c r="AVE44" s="1044"/>
      <c r="AVF44" s="1044"/>
      <c r="AVG44" s="1044"/>
      <c r="AVH44" s="1044"/>
      <c r="AVI44" s="1044"/>
      <c r="AVJ44" s="1044"/>
      <c r="AVK44" s="1044"/>
      <c r="AVL44" s="1044"/>
      <c r="AVM44" s="1044"/>
      <c r="AVN44" s="1044"/>
      <c r="AVO44" s="1044"/>
      <c r="AVP44" s="1044"/>
      <c r="AVQ44" s="1044"/>
      <c r="AVR44" s="1044"/>
      <c r="AVS44" s="1044"/>
      <c r="AVT44" s="1044"/>
      <c r="AVU44" s="1044"/>
      <c r="AVV44" s="1044"/>
      <c r="AVW44" s="1044"/>
      <c r="AVX44" s="1044"/>
      <c r="AVY44" s="1044"/>
      <c r="AVZ44" s="1044"/>
      <c r="AWA44" s="1044"/>
      <c r="AWB44" s="1044"/>
      <c r="AWC44" s="1044"/>
      <c r="AWD44" s="1044"/>
      <c r="AWE44" s="1044"/>
      <c r="AWF44" s="1044"/>
      <c r="AWG44" s="1044"/>
      <c r="AWH44" s="1044"/>
      <c r="AWI44" s="1044"/>
      <c r="AWJ44" s="1044"/>
      <c r="AWK44" s="1044"/>
      <c r="AWL44" s="1044"/>
      <c r="AWM44" s="1044"/>
      <c r="AWN44" s="1044"/>
      <c r="AWO44" s="1044"/>
      <c r="AWP44" s="1044"/>
      <c r="AWQ44" s="1044"/>
      <c r="AWR44" s="1044"/>
      <c r="AWS44" s="1044"/>
      <c r="AWT44" s="1044"/>
      <c r="AWU44" s="1044"/>
      <c r="AWV44" s="1044"/>
      <c r="AWW44" s="1044"/>
      <c r="AWX44" s="1044"/>
      <c r="AWY44" s="1044"/>
      <c r="AWZ44" s="1044"/>
      <c r="AXA44" s="1044"/>
      <c r="AXB44" s="1044"/>
      <c r="AXC44" s="1044"/>
      <c r="AXD44" s="1044"/>
      <c r="AXE44" s="1044"/>
      <c r="AXF44" s="1044"/>
      <c r="AXG44" s="1044"/>
      <c r="AXH44" s="1044"/>
      <c r="AXI44" s="1044"/>
      <c r="AXJ44" s="1044"/>
      <c r="AXK44" s="1044"/>
      <c r="AXL44" s="1044"/>
      <c r="AXM44" s="1044"/>
      <c r="AXN44" s="1044"/>
      <c r="AXO44" s="1044"/>
      <c r="AXP44" s="1044"/>
      <c r="AXQ44" s="1044"/>
      <c r="AXR44" s="1044"/>
      <c r="AXS44" s="1044"/>
      <c r="AXT44" s="1044"/>
      <c r="AXU44" s="1044"/>
      <c r="AXV44" s="1044"/>
      <c r="AXW44" s="1044"/>
      <c r="AXX44" s="1044"/>
      <c r="AXY44" s="1044"/>
      <c r="AXZ44" s="1044"/>
      <c r="AYA44" s="1044"/>
      <c r="AYB44" s="1044"/>
      <c r="AYC44" s="1044"/>
      <c r="AYD44" s="1044"/>
      <c r="AYE44" s="1044"/>
      <c r="AYF44" s="1044"/>
      <c r="AYG44" s="1044"/>
      <c r="AYH44" s="1044"/>
      <c r="AYI44" s="1044"/>
      <c r="AYJ44" s="1044"/>
      <c r="AYK44" s="1044"/>
      <c r="AYL44" s="1044"/>
      <c r="AYM44" s="1044"/>
      <c r="AYN44" s="1044"/>
      <c r="AYO44" s="1044"/>
      <c r="AYP44" s="1044"/>
      <c r="AYQ44" s="1044"/>
      <c r="AYR44" s="1044"/>
      <c r="AYS44" s="1044"/>
      <c r="AYT44" s="1044"/>
      <c r="AYU44" s="1044"/>
      <c r="AYV44" s="1044"/>
      <c r="AYW44" s="1044"/>
      <c r="AYX44" s="1044"/>
      <c r="AYY44" s="1044"/>
      <c r="AYZ44" s="1044"/>
      <c r="AZA44" s="1044"/>
      <c r="AZB44" s="1044"/>
      <c r="AZC44" s="1044"/>
      <c r="AZD44" s="1044"/>
      <c r="AZE44" s="1044"/>
      <c r="AZF44" s="1044"/>
      <c r="AZG44" s="1044"/>
      <c r="AZH44" s="1044"/>
      <c r="AZI44" s="1044"/>
      <c r="AZJ44" s="1044"/>
      <c r="AZK44" s="1044"/>
      <c r="AZL44" s="1044"/>
      <c r="AZM44" s="1044"/>
      <c r="AZN44" s="1044"/>
      <c r="AZO44" s="1044"/>
      <c r="AZP44" s="1044"/>
      <c r="AZQ44" s="1044"/>
      <c r="AZR44" s="1044"/>
      <c r="AZS44" s="1044"/>
      <c r="AZT44" s="1044"/>
      <c r="AZU44" s="1044"/>
      <c r="AZV44" s="1044"/>
      <c r="AZW44" s="1044"/>
      <c r="AZX44" s="1044"/>
      <c r="AZY44" s="1044"/>
      <c r="AZZ44" s="1044"/>
      <c r="BAA44" s="1044"/>
      <c r="BAB44" s="1044"/>
      <c r="BAC44" s="1044"/>
      <c r="BAD44" s="1044"/>
      <c r="BAE44" s="1044"/>
      <c r="BAF44" s="1044"/>
      <c r="BAG44" s="1044"/>
      <c r="BAH44" s="1044"/>
      <c r="BAI44" s="1044"/>
      <c r="BAJ44" s="1044"/>
      <c r="BAK44" s="1044"/>
      <c r="BAL44" s="1044"/>
      <c r="BAM44" s="1044"/>
      <c r="BAN44" s="1044"/>
      <c r="BAO44" s="1044"/>
      <c r="BAP44" s="1044"/>
      <c r="BAQ44" s="1044"/>
      <c r="BAR44" s="1044"/>
      <c r="BAS44" s="1044"/>
      <c r="BAT44" s="1044"/>
      <c r="BAU44" s="1044"/>
      <c r="BAV44" s="1044"/>
      <c r="BAW44" s="1044"/>
      <c r="BAX44" s="1044"/>
      <c r="BAY44" s="1044"/>
      <c r="BAZ44" s="1044"/>
      <c r="BBA44" s="1044"/>
      <c r="BBB44" s="1044"/>
      <c r="BBC44" s="1044"/>
      <c r="BBD44" s="1044"/>
      <c r="BBE44" s="1044"/>
      <c r="BBF44" s="1044"/>
      <c r="BBG44" s="1044"/>
      <c r="BBH44" s="1044"/>
      <c r="BBI44" s="1044"/>
      <c r="BBJ44" s="1044"/>
      <c r="BBK44" s="1044"/>
      <c r="BBL44" s="1044"/>
      <c r="BBM44" s="1044"/>
      <c r="BBN44" s="1044"/>
      <c r="BBO44" s="1044"/>
      <c r="BBP44" s="1044"/>
      <c r="BBQ44" s="1044"/>
      <c r="BBR44" s="1044"/>
      <c r="BBS44" s="1044"/>
      <c r="BBT44" s="1044"/>
      <c r="BBU44" s="1044"/>
      <c r="BBV44" s="1044"/>
      <c r="BBW44" s="1044"/>
      <c r="BBX44" s="1044"/>
      <c r="BBY44" s="1044"/>
      <c r="BBZ44" s="1044"/>
      <c r="BCA44" s="1044"/>
      <c r="BCB44" s="1044"/>
      <c r="BCC44" s="1044"/>
      <c r="BCD44" s="1044"/>
      <c r="BCE44" s="1044"/>
      <c r="BCF44" s="1044"/>
      <c r="BCG44" s="1044"/>
      <c r="BCH44" s="1044"/>
      <c r="BCI44" s="1044"/>
      <c r="BCJ44" s="1044"/>
      <c r="BCK44" s="1044"/>
      <c r="BCL44" s="1044"/>
      <c r="BCM44" s="1044"/>
      <c r="BCN44" s="1044"/>
      <c r="BCO44" s="1044"/>
      <c r="BCP44" s="1044"/>
      <c r="BCQ44" s="1044"/>
      <c r="BCR44" s="1044"/>
      <c r="BCS44" s="1044"/>
      <c r="BCT44" s="1044"/>
      <c r="BCU44" s="1044"/>
      <c r="BCV44" s="1044"/>
      <c r="BCW44" s="1044"/>
      <c r="BCX44" s="1044"/>
      <c r="BCY44" s="1044"/>
      <c r="BCZ44" s="1044"/>
      <c r="BDA44" s="1044"/>
      <c r="BDB44" s="1044"/>
      <c r="BDC44" s="1044"/>
      <c r="BDD44" s="1044"/>
      <c r="BDE44" s="1044"/>
      <c r="BDF44" s="1044"/>
      <c r="BDG44" s="1044"/>
      <c r="BDH44" s="1044"/>
      <c r="BDI44" s="1044"/>
      <c r="BDJ44" s="1044"/>
      <c r="BDK44" s="1044"/>
      <c r="BDL44" s="1044"/>
      <c r="BDM44" s="1044"/>
      <c r="BDN44" s="1044"/>
      <c r="BDO44" s="1044"/>
      <c r="BDP44" s="1044"/>
      <c r="BDQ44" s="1044"/>
      <c r="BDR44" s="1044"/>
      <c r="BDS44" s="1044"/>
      <c r="BDT44" s="1044"/>
      <c r="BDU44" s="1044"/>
      <c r="BDV44" s="1044"/>
      <c r="BDW44" s="1044"/>
      <c r="BDX44" s="1044"/>
      <c r="BDY44" s="1044"/>
      <c r="BDZ44" s="1044"/>
      <c r="BEA44" s="1044"/>
      <c r="BEB44" s="1044"/>
      <c r="BEC44" s="1044"/>
      <c r="BED44" s="1044"/>
      <c r="BEE44" s="1044"/>
      <c r="BEF44" s="1044"/>
      <c r="BEG44" s="1044"/>
      <c r="BEH44" s="1044"/>
      <c r="BEI44" s="1044"/>
      <c r="BEJ44" s="1044"/>
      <c r="BEK44" s="1044"/>
      <c r="BEL44" s="1044"/>
      <c r="BEM44" s="1044"/>
      <c r="BEN44" s="1044"/>
      <c r="BEO44" s="1044"/>
      <c r="BEP44" s="1044"/>
      <c r="BEQ44" s="1044"/>
      <c r="BER44" s="1044"/>
      <c r="BES44" s="1044"/>
      <c r="BET44" s="1044"/>
      <c r="BEU44" s="1044"/>
      <c r="BEV44" s="1044"/>
      <c r="BEW44" s="1044"/>
      <c r="BEX44" s="1044"/>
      <c r="BEY44" s="1044"/>
      <c r="BEZ44" s="1044"/>
      <c r="BFA44" s="1044"/>
      <c r="BFB44" s="1044"/>
      <c r="BFC44" s="1044"/>
      <c r="BFD44" s="1044"/>
      <c r="BFE44" s="1044"/>
      <c r="BFF44" s="1044"/>
      <c r="BFG44" s="1044"/>
      <c r="BFH44" s="1044"/>
      <c r="BFI44" s="1044"/>
      <c r="BFJ44" s="1044"/>
      <c r="BFK44" s="1044"/>
      <c r="BFL44" s="1044"/>
      <c r="BFM44" s="1044"/>
      <c r="BFN44" s="1044"/>
      <c r="BFO44" s="1044"/>
      <c r="BFP44" s="1044"/>
      <c r="BFQ44" s="1044"/>
      <c r="BFR44" s="1044"/>
      <c r="BFS44" s="1044"/>
      <c r="BFT44" s="1044"/>
      <c r="BFU44" s="1044"/>
      <c r="BFV44" s="1044"/>
      <c r="BFW44" s="1044"/>
      <c r="BFX44" s="1044"/>
      <c r="BFY44" s="1044"/>
      <c r="BFZ44" s="1044"/>
      <c r="BGA44" s="1044"/>
      <c r="BGB44" s="1044"/>
      <c r="BGC44" s="1044"/>
      <c r="BGD44" s="1044"/>
      <c r="BGE44" s="1044"/>
      <c r="BGF44" s="1044"/>
      <c r="BGG44" s="1044"/>
      <c r="BGH44" s="1044"/>
      <c r="BGI44" s="1044"/>
      <c r="BGJ44" s="1044"/>
      <c r="BGK44" s="1044"/>
      <c r="BGL44" s="1044"/>
      <c r="BGM44" s="1044"/>
      <c r="BGN44" s="1044"/>
      <c r="BGO44" s="1044"/>
      <c r="BGP44" s="1044"/>
      <c r="BGQ44" s="1044"/>
      <c r="BGR44" s="1044"/>
      <c r="BGS44" s="1044"/>
      <c r="BGT44" s="1044"/>
      <c r="BGU44" s="1044"/>
      <c r="BGV44" s="1044"/>
      <c r="BGW44" s="1044"/>
      <c r="BGX44" s="1044"/>
      <c r="BGY44" s="1044"/>
      <c r="BGZ44" s="1044"/>
      <c r="BHA44" s="1044"/>
      <c r="BHB44" s="1044"/>
      <c r="BHC44" s="1044"/>
      <c r="BHD44" s="1044"/>
      <c r="BHE44" s="1044"/>
      <c r="BHF44" s="1044"/>
      <c r="BHG44" s="1044"/>
      <c r="BHH44" s="1044"/>
      <c r="BHI44" s="1044"/>
      <c r="BHJ44" s="1044"/>
      <c r="BHK44" s="1044"/>
      <c r="BHL44" s="1044"/>
      <c r="BHM44" s="1044"/>
      <c r="BHN44" s="1044"/>
      <c r="BHO44" s="1044"/>
      <c r="BHP44" s="1044"/>
      <c r="BHQ44" s="1044"/>
      <c r="BHR44" s="1044"/>
      <c r="BHS44" s="1044"/>
      <c r="BHT44" s="1044"/>
      <c r="BHU44" s="1044"/>
      <c r="BHV44" s="1044"/>
      <c r="BHW44" s="1044"/>
      <c r="BHX44" s="1044"/>
      <c r="BHY44" s="1044"/>
      <c r="BHZ44" s="1044"/>
      <c r="BIA44" s="1044"/>
      <c r="BIB44" s="1044"/>
      <c r="BIC44" s="1044"/>
      <c r="BID44" s="1044"/>
      <c r="BIE44" s="1044"/>
      <c r="BIF44" s="1044"/>
      <c r="BIG44" s="1044"/>
      <c r="BIH44" s="1044"/>
      <c r="BII44" s="1044"/>
      <c r="BIJ44" s="1044"/>
      <c r="BIK44" s="1044"/>
      <c r="BIL44" s="1044"/>
      <c r="BIM44" s="1044"/>
      <c r="BIN44" s="1044"/>
      <c r="BIO44" s="1044"/>
      <c r="BIP44" s="1044"/>
      <c r="BIQ44" s="1044"/>
      <c r="BIR44" s="1044"/>
      <c r="BIS44" s="1044"/>
      <c r="BIT44" s="1044"/>
      <c r="BIU44" s="1044"/>
      <c r="BIV44" s="1044"/>
      <c r="BIW44" s="1044"/>
      <c r="BIX44" s="1044"/>
      <c r="BIY44" s="1044"/>
      <c r="BIZ44" s="1044"/>
      <c r="BJA44" s="1044"/>
      <c r="BJB44" s="1044"/>
      <c r="BJC44" s="1044"/>
      <c r="BJD44" s="1044"/>
      <c r="BJE44" s="1044"/>
      <c r="BJF44" s="1044"/>
      <c r="BJG44" s="1044"/>
      <c r="BJH44" s="1044"/>
      <c r="BJI44" s="1044"/>
      <c r="BJJ44" s="1044"/>
      <c r="BJK44" s="1044"/>
      <c r="BJL44" s="1044"/>
      <c r="BJM44" s="1044"/>
      <c r="BJN44" s="1044"/>
      <c r="BJO44" s="1044"/>
      <c r="BJP44" s="1044"/>
      <c r="BJQ44" s="1044"/>
      <c r="BJR44" s="1044"/>
      <c r="BJS44" s="1044"/>
      <c r="BJT44" s="1044"/>
      <c r="BJU44" s="1044"/>
      <c r="BJV44" s="1044"/>
      <c r="BJW44" s="1044"/>
      <c r="BJX44" s="1044"/>
      <c r="BJY44" s="1044"/>
      <c r="BJZ44" s="1044"/>
      <c r="BKA44" s="1044"/>
      <c r="BKB44" s="1044"/>
      <c r="BKC44" s="1044"/>
      <c r="BKD44" s="1044"/>
      <c r="BKE44" s="1044"/>
      <c r="BKF44" s="1044"/>
      <c r="BKG44" s="1044"/>
      <c r="BKH44" s="1044"/>
      <c r="BKI44" s="1044"/>
      <c r="BKJ44" s="1044"/>
      <c r="BKK44" s="1044"/>
      <c r="BKL44" s="1044"/>
      <c r="BKM44" s="1044"/>
      <c r="BKN44" s="1044"/>
      <c r="BKO44" s="1044"/>
      <c r="BKP44" s="1044"/>
      <c r="BKQ44" s="1044"/>
      <c r="BKR44" s="1044"/>
      <c r="BKS44" s="1044"/>
      <c r="BKT44" s="1044"/>
      <c r="BKU44" s="1044"/>
      <c r="BKV44" s="1044"/>
      <c r="BKW44" s="1044"/>
      <c r="BKX44" s="1044"/>
      <c r="BKY44" s="1044"/>
      <c r="BKZ44" s="1044"/>
      <c r="BLA44" s="1044"/>
      <c r="BLB44" s="1044"/>
      <c r="BLC44" s="1044"/>
      <c r="BLD44" s="1044"/>
      <c r="BLE44" s="1044"/>
      <c r="BLF44" s="1044"/>
      <c r="BLG44" s="1044"/>
      <c r="BLH44" s="1044"/>
      <c r="BLI44" s="1044"/>
      <c r="BLJ44" s="1044"/>
      <c r="BLK44" s="1044"/>
      <c r="BLL44" s="1044"/>
      <c r="BLM44" s="1044"/>
      <c r="BLN44" s="1044"/>
      <c r="BLO44" s="1044"/>
      <c r="BLP44" s="1044"/>
      <c r="BLQ44" s="1044"/>
      <c r="BLR44" s="1044"/>
      <c r="BLS44" s="1044"/>
      <c r="BLT44" s="1044"/>
      <c r="BLU44" s="1044"/>
      <c r="BLV44" s="1044"/>
      <c r="BLW44" s="1044"/>
      <c r="BLX44" s="1044"/>
      <c r="BLY44" s="1044"/>
      <c r="BLZ44" s="1044"/>
      <c r="BMA44" s="1044"/>
      <c r="BMB44" s="1044"/>
      <c r="BMC44" s="1044"/>
      <c r="BMD44" s="1044"/>
      <c r="BME44" s="1044"/>
      <c r="BMF44" s="1044"/>
      <c r="BMG44" s="1044"/>
      <c r="BMH44" s="1044"/>
      <c r="BMI44" s="1044"/>
      <c r="BMJ44" s="1044"/>
      <c r="BMK44" s="1044"/>
      <c r="BML44" s="1044"/>
      <c r="BMM44" s="1044"/>
      <c r="BMN44" s="1044"/>
      <c r="BMO44" s="1044"/>
      <c r="BMP44" s="1044"/>
      <c r="BMQ44" s="1044"/>
      <c r="BMR44" s="1044"/>
      <c r="BMS44" s="1044"/>
      <c r="BMT44" s="1044"/>
      <c r="BMU44" s="1044"/>
      <c r="BMV44" s="1044"/>
      <c r="BMW44" s="1044"/>
      <c r="BMX44" s="1044"/>
      <c r="BMY44" s="1044"/>
      <c r="BMZ44" s="1044"/>
      <c r="BNA44" s="1044"/>
      <c r="BNB44" s="1044"/>
      <c r="BNC44" s="1044"/>
      <c r="BND44" s="1044"/>
      <c r="BNE44" s="1044"/>
      <c r="BNF44" s="1044"/>
      <c r="BNG44" s="1044"/>
      <c r="BNH44" s="1044"/>
      <c r="BNI44" s="1044"/>
      <c r="BNJ44" s="1044"/>
      <c r="BNK44" s="1044"/>
      <c r="BNL44" s="1044"/>
      <c r="BNM44" s="1044"/>
      <c r="BNN44" s="1044"/>
      <c r="BNO44" s="1044"/>
      <c r="BNP44" s="1044"/>
      <c r="BNQ44" s="1044"/>
      <c r="BNR44" s="1044"/>
      <c r="BNS44" s="1044"/>
      <c r="BNT44" s="1044"/>
      <c r="BNU44" s="1044"/>
      <c r="BNV44" s="1044"/>
      <c r="BNW44" s="1044"/>
      <c r="BNX44" s="1044"/>
      <c r="BNY44" s="1044"/>
      <c r="BNZ44" s="1044"/>
      <c r="BOA44" s="1044"/>
      <c r="BOB44" s="1044"/>
      <c r="BOC44" s="1044"/>
      <c r="BOD44" s="1044"/>
      <c r="BOE44" s="1044"/>
      <c r="BOF44" s="1044"/>
      <c r="BOG44" s="1044"/>
      <c r="BOH44" s="1044"/>
      <c r="BOI44" s="1044"/>
      <c r="BOJ44" s="1044"/>
      <c r="BOK44" s="1044"/>
      <c r="BOL44" s="1044"/>
      <c r="BOM44" s="1044"/>
      <c r="BON44" s="1044"/>
      <c r="BOO44" s="1044"/>
      <c r="BOP44" s="1044"/>
      <c r="BOQ44" s="1044"/>
      <c r="BOR44" s="1044"/>
      <c r="BOS44" s="1044"/>
      <c r="BOT44" s="1044"/>
      <c r="BOU44" s="1044"/>
      <c r="BOV44" s="1044"/>
      <c r="BOW44" s="1044"/>
      <c r="BOX44" s="1044"/>
      <c r="BOY44" s="1044"/>
      <c r="BOZ44" s="1044"/>
      <c r="BPA44" s="1044"/>
      <c r="BPB44" s="1044"/>
      <c r="BPC44" s="1044"/>
      <c r="BPD44" s="1044"/>
      <c r="BPE44" s="1044"/>
      <c r="BPF44" s="1044"/>
      <c r="BPG44" s="1044"/>
      <c r="BPH44" s="1044"/>
      <c r="BPI44" s="1044"/>
      <c r="BPJ44" s="1044"/>
      <c r="BPK44" s="1044"/>
      <c r="BPL44" s="1044"/>
      <c r="BPM44" s="1044"/>
      <c r="BPN44" s="1044"/>
      <c r="BPO44" s="1044"/>
      <c r="BPP44" s="1044"/>
      <c r="BPQ44" s="1044"/>
      <c r="BPR44" s="1044"/>
      <c r="BPS44" s="1044"/>
      <c r="BPT44" s="1044"/>
      <c r="BPU44" s="1044"/>
      <c r="BPV44" s="1044"/>
      <c r="BPW44" s="1044"/>
      <c r="BPX44" s="1044"/>
      <c r="BPY44" s="1044"/>
      <c r="BPZ44" s="1044"/>
      <c r="BQA44" s="1044"/>
      <c r="BQB44" s="1044"/>
      <c r="BQC44" s="1044"/>
      <c r="BQD44" s="1044"/>
      <c r="BQE44" s="1044"/>
      <c r="BQF44" s="1044"/>
      <c r="BQG44" s="1044"/>
      <c r="BQH44" s="1044"/>
      <c r="BQI44" s="1044"/>
      <c r="BQJ44" s="1044"/>
      <c r="BQK44" s="1044"/>
      <c r="BQL44" s="1044"/>
      <c r="BQM44" s="1044"/>
      <c r="BQN44" s="1044"/>
      <c r="BQO44" s="1044"/>
      <c r="BQP44" s="1044"/>
      <c r="BQQ44" s="1044"/>
      <c r="BQR44" s="1044"/>
      <c r="BQS44" s="1044"/>
      <c r="BQT44" s="1044"/>
      <c r="BQU44" s="1044"/>
      <c r="BQV44" s="1044"/>
      <c r="BQW44" s="1044"/>
      <c r="BQX44" s="1044"/>
      <c r="BQY44" s="1044"/>
      <c r="BQZ44" s="1044"/>
      <c r="BRA44" s="1044"/>
      <c r="BRB44" s="1044"/>
      <c r="BRC44" s="1044"/>
      <c r="BRD44" s="1044"/>
      <c r="BRE44" s="1044"/>
      <c r="BRF44" s="1044"/>
      <c r="BRG44" s="1044"/>
      <c r="BRH44" s="1044"/>
      <c r="BRI44" s="1044"/>
      <c r="BRJ44" s="1044"/>
      <c r="BRK44" s="1044"/>
      <c r="BRL44" s="1044"/>
      <c r="BRM44" s="1044"/>
      <c r="BRN44" s="1044"/>
      <c r="BRO44" s="1044"/>
      <c r="BRP44" s="1044"/>
      <c r="BRQ44" s="1044"/>
      <c r="BRR44" s="1044"/>
      <c r="BRS44" s="1044"/>
      <c r="BRT44" s="1044"/>
      <c r="BRU44" s="1044"/>
      <c r="BRV44" s="1044"/>
      <c r="BRW44" s="1044"/>
      <c r="BRX44" s="1044"/>
      <c r="BRY44" s="1044"/>
      <c r="BRZ44" s="1044"/>
      <c r="BSA44" s="1044"/>
      <c r="BSB44" s="1044"/>
      <c r="BSC44" s="1044"/>
      <c r="BSD44" s="1044"/>
      <c r="BSE44" s="1044"/>
      <c r="BSF44" s="1044"/>
      <c r="BSG44" s="1044"/>
      <c r="BSH44" s="1044"/>
      <c r="BSI44" s="1044"/>
      <c r="BSJ44" s="1044"/>
      <c r="BSK44" s="1044"/>
      <c r="BSL44" s="1044"/>
      <c r="BSM44" s="1044"/>
      <c r="BSN44" s="1044"/>
      <c r="BSO44" s="1044"/>
      <c r="BSP44" s="1044"/>
      <c r="BSQ44" s="1044"/>
      <c r="BSR44" s="1044"/>
      <c r="BSS44" s="1044"/>
      <c r="BST44" s="1044"/>
      <c r="BSU44" s="1044"/>
      <c r="BSV44" s="1044"/>
      <c r="BSW44" s="1044"/>
      <c r="BSX44" s="1044"/>
      <c r="BSY44" s="1044"/>
      <c r="BSZ44" s="1044"/>
      <c r="BTA44" s="1044"/>
      <c r="BTB44" s="1044"/>
      <c r="BTC44" s="1044"/>
      <c r="BTD44" s="1044"/>
      <c r="BTE44" s="1044"/>
      <c r="BTF44" s="1044"/>
      <c r="BTG44" s="1044"/>
      <c r="BTH44" s="1044"/>
      <c r="BTI44" s="1044"/>
      <c r="BTJ44" s="1044"/>
      <c r="BTK44" s="1044"/>
      <c r="BTL44" s="1044"/>
      <c r="BTM44" s="1044"/>
      <c r="BTN44" s="1044"/>
      <c r="BTO44" s="1044"/>
      <c r="BTP44" s="1044"/>
      <c r="BTQ44" s="1044"/>
      <c r="BTR44" s="1044"/>
      <c r="BTS44" s="1044"/>
      <c r="BTT44" s="1044"/>
      <c r="BTU44" s="1044"/>
      <c r="BTV44" s="1044"/>
      <c r="BTW44" s="1044"/>
      <c r="BTX44" s="1044"/>
      <c r="BTY44" s="1044"/>
      <c r="BTZ44" s="1044"/>
      <c r="BUA44" s="1044"/>
      <c r="BUB44" s="1044"/>
      <c r="BUC44" s="1044"/>
      <c r="BUD44" s="1044"/>
      <c r="BUE44" s="1044"/>
      <c r="BUF44" s="1044"/>
      <c r="BUG44" s="1044"/>
      <c r="BUH44" s="1044"/>
      <c r="BUI44" s="1044"/>
      <c r="BUJ44" s="1044"/>
      <c r="BUK44" s="1044"/>
      <c r="BUL44" s="1044"/>
      <c r="BUM44" s="1044"/>
      <c r="BUN44" s="1044"/>
      <c r="BUO44" s="1044"/>
      <c r="BUP44" s="1044"/>
      <c r="BUQ44" s="1044"/>
      <c r="BUR44" s="1044"/>
      <c r="BUS44" s="1044"/>
      <c r="BUT44" s="1044"/>
      <c r="BUU44" s="1044"/>
      <c r="BUV44" s="1044"/>
      <c r="BUW44" s="1044"/>
      <c r="BUX44" s="1044"/>
      <c r="BUY44" s="1044"/>
      <c r="BUZ44" s="1044"/>
      <c r="BVA44" s="1044"/>
      <c r="BVB44" s="1044"/>
      <c r="BVC44" s="1044"/>
      <c r="BVD44" s="1044"/>
      <c r="BVE44" s="1044"/>
      <c r="BVF44" s="1044"/>
      <c r="BVG44" s="1044"/>
      <c r="BVH44" s="1044"/>
      <c r="BVI44" s="1044"/>
      <c r="BVJ44" s="1044"/>
      <c r="BVK44" s="1044"/>
      <c r="BVL44" s="1044"/>
      <c r="BVM44" s="1044"/>
      <c r="BVN44" s="1044"/>
      <c r="BVO44" s="1044"/>
      <c r="BVP44" s="1044"/>
      <c r="BVQ44" s="1044"/>
      <c r="BVR44" s="1044"/>
      <c r="BVS44" s="1044"/>
      <c r="BVT44" s="1044"/>
      <c r="BVU44" s="1044"/>
      <c r="BVV44" s="1044"/>
      <c r="BVW44" s="1044"/>
      <c r="BVX44" s="1044"/>
      <c r="BVY44" s="1044"/>
      <c r="BVZ44" s="1044"/>
      <c r="BWA44" s="1044"/>
      <c r="BWB44" s="1044"/>
      <c r="BWC44" s="1044"/>
      <c r="BWD44" s="1044"/>
      <c r="BWE44" s="1044"/>
      <c r="BWF44" s="1044"/>
      <c r="BWG44" s="1044"/>
      <c r="BWH44" s="1044"/>
      <c r="BWI44" s="1044"/>
      <c r="BWJ44" s="1044"/>
      <c r="BWK44" s="1044"/>
      <c r="BWL44" s="1044"/>
      <c r="BWM44" s="1044"/>
      <c r="BWN44" s="1044"/>
      <c r="BWO44" s="1044"/>
      <c r="BWP44" s="1044"/>
      <c r="BWQ44" s="1044"/>
      <c r="BWR44" s="1044"/>
      <c r="BWS44" s="1044"/>
      <c r="BWT44" s="1044"/>
      <c r="BWU44" s="1044"/>
      <c r="BWV44" s="1044"/>
      <c r="BWW44" s="1044"/>
      <c r="BWX44" s="1044"/>
      <c r="BWY44" s="1044"/>
      <c r="BWZ44" s="1044"/>
      <c r="BXA44" s="1044"/>
      <c r="BXB44" s="1044"/>
      <c r="BXC44" s="1044"/>
      <c r="BXD44" s="1044"/>
      <c r="BXE44" s="1044"/>
      <c r="BXF44" s="1044"/>
      <c r="BXG44" s="1044"/>
      <c r="BXH44" s="1044"/>
      <c r="BXI44" s="1044"/>
      <c r="BXJ44" s="1044"/>
      <c r="BXK44" s="1044"/>
      <c r="BXL44" s="1044"/>
      <c r="BXM44" s="1044"/>
      <c r="BXN44" s="1044"/>
      <c r="BXO44" s="1044"/>
      <c r="BXP44" s="1044"/>
      <c r="BXQ44" s="1044"/>
      <c r="BXR44" s="1044"/>
      <c r="BXS44" s="1044"/>
      <c r="BXT44" s="1044"/>
      <c r="BXU44" s="1044"/>
      <c r="BXV44" s="1044"/>
      <c r="BXW44" s="1044"/>
      <c r="BXX44" s="1044"/>
      <c r="BXY44" s="1044"/>
      <c r="BXZ44" s="1044"/>
      <c r="BYA44" s="1044"/>
      <c r="BYB44" s="1044"/>
      <c r="BYC44" s="1044"/>
      <c r="BYD44" s="1044"/>
      <c r="BYE44" s="1044"/>
      <c r="BYF44" s="1044"/>
      <c r="BYG44" s="1044"/>
      <c r="BYH44" s="1044"/>
      <c r="BYI44" s="1044"/>
      <c r="BYJ44" s="1044"/>
      <c r="BYK44" s="1044"/>
      <c r="BYL44" s="1044"/>
      <c r="BYM44" s="1044"/>
      <c r="BYN44" s="1044"/>
      <c r="BYO44" s="1044"/>
      <c r="BYP44" s="1044"/>
      <c r="BYQ44" s="1044"/>
      <c r="BYR44" s="1044"/>
      <c r="BYS44" s="1044"/>
      <c r="BYT44" s="1044"/>
      <c r="BYU44" s="1044"/>
      <c r="BYV44" s="1044"/>
      <c r="BYW44" s="1044"/>
      <c r="BYX44" s="1044"/>
      <c r="BYY44" s="1044"/>
      <c r="BYZ44" s="1044"/>
      <c r="BZA44" s="1044"/>
      <c r="BZB44" s="1044"/>
      <c r="BZC44" s="1044"/>
      <c r="BZD44" s="1044"/>
      <c r="BZE44" s="1044"/>
      <c r="BZF44" s="1044"/>
      <c r="BZG44" s="1044"/>
      <c r="BZH44" s="1044"/>
      <c r="BZI44" s="1044"/>
      <c r="BZJ44" s="1044"/>
      <c r="BZK44" s="1044"/>
      <c r="BZL44" s="1044"/>
      <c r="BZM44" s="1044"/>
      <c r="BZN44" s="1044"/>
      <c r="BZO44" s="1044"/>
      <c r="BZP44" s="1044"/>
      <c r="BZQ44" s="1044"/>
      <c r="BZR44" s="1044"/>
      <c r="BZS44" s="1044"/>
      <c r="BZT44" s="1044"/>
      <c r="BZU44" s="1044"/>
      <c r="BZV44" s="1044"/>
      <c r="BZW44" s="1044"/>
      <c r="BZX44" s="1044"/>
      <c r="BZY44" s="1044"/>
      <c r="BZZ44" s="1044"/>
      <c r="CAA44" s="1044"/>
      <c r="CAB44" s="1044"/>
      <c r="CAC44" s="1044"/>
      <c r="CAD44" s="1044"/>
      <c r="CAE44" s="1044"/>
      <c r="CAF44" s="1044"/>
      <c r="CAG44" s="1044"/>
      <c r="CAH44" s="1044"/>
      <c r="CAI44" s="1044"/>
      <c r="CAJ44" s="1044"/>
      <c r="CAK44" s="1044"/>
      <c r="CAL44" s="1044"/>
      <c r="CAM44" s="1044"/>
      <c r="CAN44" s="1044"/>
      <c r="CAO44" s="1044"/>
      <c r="CAP44" s="1044"/>
      <c r="CAQ44" s="1044"/>
      <c r="CAR44" s="1044"/>
      <c r="CAS44" s="1044"/>
      <c r="CAT44" s="1044"/>
      <c r="CAU44" s="1044"/>
      <c r="CAV44" s="1044"/>
      <c r="CAW44" s="1044"/>
      <c r="CAX44" s="1044"/>
      <c r="CAY44" s="1044"/>
      <c r="CAZ44" s="1044"/>
      <c r="CBA44" s="1044"/>
      <c r="CBB44" s="1044"/>
      <c r="CBC44" s="1044"/>
      <c r="CBD44" s="1044"/>
      <c r="CBE44" s="1044"/>
      <c r="CBF44" s="1044"/>
      <c r="CBG44" s="1044"/>
      <c r="CBH44" s="1044"/>
      <c r="CBI44" s="1044"/>
      <c r="CBJ44" s="1044"/>
      <c r="CBK44" s="1044"/>
      <c r="CBL44" s="1044"/>
      <c r="CBM44" s="1044"/>
      <c r="CBN44" s="1044"/>
      <c r="CBO44" s="1044"/>
      <c r="CBP44" s="1044"/>
      <c r="CBQ44" s="1044"/>
      <c r="CBR44" s="1044"/>
      <c r="CBS44" s="1044"/>
      <c r="CBT44" s="1044"/>
      <c r="CBU44" s="1044"/>
      <c r="CBV44" s="1044"/>
      <c r="CBW44" s="1044"/>
      <c r="CBX44" s="1044"/>
      <c r="CBY44" s="1044"/>
      <c r="CBZ44" s="1044"/>
      <c r="CCA44" s="1044"/>
      <c r="CCB44" s="1044"/>
      <c r="CCC44" s="1044"/>
      <c r="CCD44" s="1044"/>
      <c r="CCE44" s="1044"/>
      <c r="CCF44" s="1044"/>
      <c r="CCG44" s="1044"/>
      <c r="CCH44" s="1044"/>
      <c r="CCI44" s="1044"/>
      <c r="CCJ44" s="1044"/>
      <c r="CCK44" s="1044"/>
      <c r="CCL44" s="1044"/>
      <c r="CCM44" s="1044"/>
      <c r="CCN44" s="1044"/>
      <c r="CCO44" s="1044"/>
      <c r="CCP44" s="1044"/>
      <c r="CCQ44" s="1044"/>
      <c r="CCR44" s="1044"/>
      <c r="CCS44" s="1044"/>
      <c r="CCT44" s="1044"/>
      <c r="CCU44" s="1044"/>
      <c r="CCV44" s="1044"/>
      <c r="CCW44" s="1044"/>
      <c r="CCX44" s="1044"/>
      <c r="CCY44" s="1044"/>
      <c r="CCZ44" s="1044"/>
      <c r="CDA44" s="1044"/>
      <c r="CDB44" s="1044"/>
      <c r="CDC44" s="1044"/>
      <c r="CDD44" s="1044"/>
      <c r="CDE44" s="1044"/>
      <c r="CDF44" s="1044"/>
      <c r="CDG44" s="1044"/>
      <c r="CDH44" s="1044"/>
      <c r="CDI44" s="1044"/>
      <c r="CDJ44" s="1044"/>
      <c r="CDK44" s="1044"/>
      <c r="CDL44" s="1044"/>
      <c r="CDM44" s="1044"/>
      <c r="CDN44" s="1044"/>
      <c r="CDO44" s="1044"/>
      <c r="CDP44" s="1044"/>
      <c r="CDQ44" s="1044"/>
      <c r="CDR44" s="1044"/>
      <c r="CDS44" s="1044"/>
      <c r="CDT44" s="1044"/>
      <c r="CDU44" s="1044"/>
      <c r="CDV44" s="1044"/>
      <c r="CDW44" s="1044"/>
      <c r="CDX44" s="1044"/>
      <c r="CDY44" s="1044"/>
      <c r="CDZ44" s="1044"/>
      <c r="CEA44" s="1044"/>
      <c r="CEB44" s="1044"/>
      <c r="CEC44" s="1044"/>
      <c r="CED44" s="1044"/>
      <c r="CEE44" s="1044"/>
      <c r="CEF44" s="1044"/>
      <c r="CEG44" s="1044"/>
      <c r="CEH44" s="1044"/>
      <c r="CEI44" s="1044"/>
      <c r="CEJ44" s="1044"/>
      <c r="CEK44" s="1044"/>
      <c r="CEL44" s="1044"/>
      <c r="CEM44" s="1044"/>
      <c r="CEN44" s="1044"/>
      <c r="CEO44" s="1044"/>
      <c r="CEP44" s="1044"/>
      <c r="CEQ44" s="1044"/>
      <c r="CER44" s="1044"/>
      <c r="CES44" s="1044"/>
      <c r="CET44" s="1044"/>
      <c r="CEU44" s="1044"/>
      <c r="CEV44" s="1044"/>
      <c r="CEW44" s="1044"/>
      <c r="CEX44" s="1044"/>
      <c r="CEY44" s="1044"/>
      <c r="CEZ44" s="1044"/>
      <c r="CFA44" s="1044"/>
      <c r="CFB44" s="1044"/>
      <c r="CFC44" s="1044"/>
      <c r="CFD44" s="1044"/>
      <c r="CFE44" s="1044"/>
      <c r="CFF44" s="1044"/>
      <c r="CFG44" s="1044"/>
      <c r="CFH44" s="1044"/>
      <c r="CFI44" s="1044"/>
      <c r="CFJ44" s="1044"/>
      <c r="CFK44" s="1044"/>
      <c r="CFL44" s="1044"/>
      <c r="CFM44" s="1044"/>
      <c r="CFN44" s="1044"/>
      <c r="CFO44" s="1044"/>
      <c r="CFP44" s="1044"/>
      <c r="CFQ44" s="1044"/>
      <c r="CFR44" s="1044"/>
      <c r="CFS44" s="1044"/>
      <c r="CFT44" s="1044"/>
      <c r="CFU44" s="1044"/>
      <c r="CFV44" s="1044"/>
      <c r="CFW44" s="1044"/>
      <c r="CFX44" s="1044"/>
      <c r="CFY44" s="1044"/>
      <c r="CFZ44" s="1044"/>
      <c r="CGA44" s="1044"/>
      <c r="CGB44" s="1044"/>
      <c r="CGC44" s="1044"/>
      <c r="CGD44" s="1044"/>
      <c r="CGE44" s="1044"/>
      <c r="CGF44" s="1044"/>
      <c r="CGG44" s="1044"/>
      <c r="CGH44" s="1044"/>
      <c r="CGI44" s="1044"/>
      <c r="CGJ44" s="1044"/>
      <c r="CGK44" s="1044"/>
      <c r="CGL44" s="1044"/>
      <c r="CGM44" s="1044"/>
      <c r="CGN44" s="1044"/>
      <c r="CGO44" s="1044"/>
      <c r="CGP44" s="1044"/>
      <c r="CGQ44" s="1044"/>
      <c r="CGR44" s="1044"/>
      <c r="CGS44" s="1044"/>
      <c r="CGT44" s="1044"/>
      <c r="CGU44" s="1044"/>
      <c r="CGV44" s="1044"/>
      <c r="CGW44" s="1044"/>
      <c r="CGX44" s="1044"/>
      <c r="CGY44" s="1044"/>
      <c r="CGZ44" s="1044"/>
      <c r="CHA44" s="1044"/>
      <c r="CHB44" s="1044"/>
      <c r="CHC44" s="1044"/>
      <c r="CHD44" s="1044"/>
      <c r="CHE44" s="1044"/>
      <c r="CHF44" s="1044"/>
      <c r="CHG44" s="1044"/>
      <c r="CHH44" s="1044"/>
      <c r="CHI44" s="1044"/>
      <c r="CHJ44" s="1044"/>
      <c r="CHK44" s="1044"/>
      <c r="CHL44" s="1044"/>
      <c r="CHM44" s="1044"/>
      <c r="CHN44" s="1044"/>
      <c r="CHO44" s="1044"/>
      <c r="CHP44" s="1044"/>
      <c r="CHQ44" s="1044"/>
      <c r="CHR44" s="1044"/>
      <c r="CHS44" s="1044"/>
      <c r="CHT44" s="1044"/>
      <c r="CHU44" s="1044"/>
      <c r="CHV44" s="1044"/>
      <c r="CHW44" s="1044"/>
      <c r="CHX44" s="1044"/>
      <c r="CHY44" s="1044"/>
      <c r="CHZ44" s="1044"/>
      <c r="CIA44" s="1044"/>
      <c r="CIB44" s="1044"/>
      <c r="CIC44" s="1044"/>
      <c r="CID44" s="1044"/>
      <c r="CIE44" s="1044"/>
      <c r="CIF44" s="1044"/>
      <c r="CIG44" s="1044"/>
      <c r="CIH44" s="1044"/>
      <c r="CII44" s="1044"/>
      <c r="CIJ44" s="1044"/>
      <c r="CIK44" s="1044"/>
      <c r="CIL44" s="1044"/>
      <c r="CIM44" s="1044"/>
      <c r="CIN44" s="1044"/>
      <c r="CIO44" s="1044"/>
      <c r="CIP44" s="1044"/>
      <c r="CIQ44" s="1044"/>
      <c r="CIR44" s="1044"/>
      <c r="CIS44" s="1044"/>
      <c r="CIT44" s="1044"/>
      <c r="CIU44" s="1044"/>
      <c r="CIV44" s="1044"/>
      <c r="CIW44" s="1044"/>
      <c r="CIX44" s="1044"/>
      <c r="CIY44" s="1044"/>
      <c r="CIZ44" s="1044"/>
      <c r="CJA44" s="1044"/>
      <c r="CJB44" s="1044"/>
      <c r="CJC44" s="1044"/>
      <c r="CJD44" s="1044"/>
      <c r="CJE44" s="1044"/>
      <c r="CJF44" s="1044"/>
      <c r="CJG44" s="1044"/>
      <c r="CJH44" s="1044"/>
      <c r="CJI44" s="1044"/>
      <c r="CJJ44" s="1044"/>
      <c r="CJK44" s="1044"/>
      <c r="CJL44" s="1044"/>
      <c r="CJM44" s="1044"/>
      <c r="CJN44" s="1044"/>
      <c r="CJO44" s="1044"/>
      <c r="CJP44" s="1044"/>
      <c r="CJQ44" s="1044"/>
      <c r="CJR44" s="1044"/>
      <c r="CJS44" s="1044"/>
      <c r="CJT44" s="1044"/>
      <c r="CJU44" s="1044"/>
      <c r="CJV44" s="1044"/>
      <c r="CJW44" s="1044"/>
      <c r="CJX44" s="1044"/>
      <c r="CJY44" s="1044"/>
      <c r="CJZ44" s="1044"/>
      <c r="CKA44" s="1044"/>
      <c r="CKB44" s="1044"/>
      <c r="CKC44" s="1044"/>
      <c r="CKD44" s="1044"/>
      <c r="CKE44" s="1044"/>
      <c r="CKF44" s="1044"/>
      <c r="CKG44" s="1044"/>
      <c r="CKH44" s="1044"/>
      <c r="CKI44" s="1044"/>
      <c r="CKJ44" s="1044"/>
      <c r="CKK44" s="1044"/>
      <c r="CKL44" s="1044"/>
      <c r="CKM44" s="1044"/>
      <c r="CKN44" s="1044"/>
      <c r="CKO44" s="1044"/>
      <c r="CKP44" s="1044"/>
      <c r="CKQ44" s="1044"/>
      <c r="CKR44" s="1044"/>
      <c r="CKS44" s="1044"/>
      <c r="CKT44" s="1044"/>
      <c r="CKU44" s="1044"/>
      <c r="CKV44" s="1044"/>
      <c r="CKW44" s="1044"/>
      <c r="CKX44" s="1044"/>
      <c r="CKY44" s="1044"/>
      <c r="CKZ44" s="1044"/>
      <c r="CLA44" s="1044"/>
      <c r="CLB44" s="1044"/>
      <c r="CLC44" s="1044"/>
      <c r="CLD44" s="1044"/>
      <c r="CLE44" s="1044"/>
      <c r="CLF44" s="1044"/>
      <c r="CLG44" s="1044"/>
      <c r="CLH44" s="1044"/>
      <c r="CLI44" s="1044"/>
      <c r="CLJ44" s="1044"/>
      <c r="CLK44" s="1044"/>
      <c r="CLL44" s="1044"/>
      <c r="CLM44" s="1044"/>
      <c r="CLN44" s="1044"/>
      <c r="CLO44" s="1044"/>
      <c r="CLP44" s="1044"/>
      <c r="CLQ44" s="1044"/>
      <c r="CLR44" s="1044"/>
      <c r="CLS44" s="1044"/>
      <c r="CLT44" s="1044"/>
      <c r="CLU44" s="1044"/>
      <c r="CLV44" s="1044"/>
      <c r="CLW44" s="1044"/>
      <c r="CLX44" s="1044"/>
      <c r="CLY44" s="1044"/>
      <c r="CLZ44" s="1044"/>
      <c r="CMA44" s="1044"/>
      <c r="CMB44" s="1044"/>
      <c r="CMC44" s="1044"/>
      <c r="CMD44" s="1044"/>
      <c r="CME44" s="1044"/>
      <c r="CMF44" s="1044"/>
      <c r="CMG44" s="1044"/>
      <c r="CMH44" s="1044"/>
      <c r="CMI44" s="1044"/>
      <c r="CMJ44" s="1044"/>
      <c r="CMK44" s="1044"/>
      <c r="CML44" s="1044"/>
      <c r="CMM44" s="1044"/>
      <c r="CMN44" s="1044"/>
      <c r="CMO44" s="1044"/>
      <c r="CMP44" s="1044"/>
      <c r="CMQ44" s="1044"/>
      <c r="CMR44" s="1044"/>
      <c r="CMS44" s="1044"/>
      <c r="CMT44" s="1044"/>
      <c r="CMU44" s="1044"/>
      <c r="CMV44" s="1044"/>
      <c r="CMW44" s="1044"/>
      <c r="CMX44" s="1044"/>
      <c r="CMY44" s="1044"/>
      <c r="CMZ44" s="1044"/>
      <c r="CNA44" s="1044"/>
      <c r="CNB44" s="1044"/>
      <c r="CNC44" s="1044"/>
      <c r="CND44" s="1044"/>
      <c r="CNE44" s="1044"/>
      <c r="CNF44" s="1044"/>
      <c r="CNG44" s="1044"/>
      <c r="CNH44" s="1044"/>
      <c r="CNI44" s="1044"/>
      <c r="CNJ44" s="1044"/>
      <c r="CNK44" s="1044"/>
      <c r="CNL44" s="1044"/>
      <c r="CNM44" s="1044"/>
      <c r="CNN44" s="1044"/>
      <c r="CNO44" s="1044"/>
      <c r="CNP44" s="1044"/>
      <c r="CNQ44" s="1044"/>
      <c r="CNR44" s="1044"/>
      <c r="CNS44" s="1044"/>
      <c r="CNT44" s="1044"/>
      <c r="CNU44" s="1044"/>
      <c r="CNV44" s="1044"/>
      <c r="CNW44" s="1044"/>
      <c r="CNX44" s="1044"/>
      <c r="CNY44" s="1044"/>
      <c r="CNZ44" s="1044"/>
      <c r="COA44" s="1044"/>
      <c r="COB44" s="1044"/>
      <c r="COC44" s="1044"/>
      <c r="COD44" s="1044"/>
      <c r="COE44" s="1044"/>
      <c r="COF44" s="1044"/>
      <c r="COG44" s="1044"/>
      <c r="COH44" s="1044"/>
      <c r="COI44" s="1044"/>
      <c r="COJ44" s="1044"/>
      <c r="COK44" s="1044"/>
      <c r="COL44" s="1044"/>
      <c r="COM44" s="1044"/>
      <c r="CON44" s="1044"/>
      <c r="COO44" s="1044"/>
      <c r="COP44" s="1044"/>
      <c r="COQ44" s="1044"/>
      <c r="COR44" s="1044"/>
      <c r="COS44" s="1044"/>
      <c r="COT44" s="1044"/>
      <c r="COU44" s="1044"/>
      <c r="COV44" s="1044"/>
      <c r="COW44" s="1044"/>
      <c r="COX44" s="1044"/>
      <c r="COY44" s="1044"/>
      <c r="COZ44" s="1044"/>
      <c r="CPA44" s="1044"/>
      <c r="CPB44" s="1044"/>
      <c r="CPC44" s="1044"/>
      <c r="CPD44" s="1044"/>
      <c r="CPE44" s="1044"/>
      <c r="CPF44" s="1044"/>
      <c r="CPG44" s="1044"/>
      <c r="CPH44" s="1044"/>
      <c r="CPI44" s="1044"/>
      <c r="CPJ44" s="1044"/>
      <c r="CPK44" s="1044"/>
      <c r="CPL44" s="1044"/>
      <c r="CPM44" s="1044"/>
      <c r="CPN44" s="1044"/>
      <c r="CPO44" s="1044"/>
      <c r="CPP44" s="1044"/>
      <c r="CPQ44" s="1044"/>
      <c r="CPR44" s="1044"/>
      <c r="CPS44" s="1044"/>
      <c r="CPT44" s="1044"/>
      <c r="CPU44" s="1044"/>
      <c r="CPV44" s="1044"/>
      <c r="CPW44" s="1044"/>
      <c r="CPX44" s="1044"/>
      <c r="CPY44" s="1044"/>
      <c r="CPZ44" s="1044"/>
      <c r="CQA44" s="1044"/>
      <c r="CQB44" s="1044"/>
      <c r="CQC44" s="1044"/>
      <c r="CQD44" s="1044"/>
      <c r="CQE44" s="1044"/>
      <c r="CQF44" s="1044"/>
      <c r="CQG44" s="1044"/>
      <c r="CQH44" s="1044"/>
      <c r="CQI44" s="1044"/>
      <c r="CQJ44" s="1044"/>
      <c r="CQK44" s="1044"/>
      <c r="CQL44" s="1044"/>
      <c r="CQM44" s="1044"/>
      <c r="CQN44" s="1044"/>
      <c r="CQO44" s="1044"/>
      <c r="CQP44" s="1044"/>
      <c r="CQQ44" s="1044"/>
      <c r="CQR44" s="1044"/>
      <c r="CQS44" s="1044"/>
      <c r="CQT44" s="1044"/>
      <c r="CQU44" s="1044"/>
      <c r="CQV44" s="1044"/>
      <c r="CQW44" s="1044"/>
      <c r="CQX44" s="1044"/>
      <c r="CQY44" s="1044"/>
      <c r="CQZ44" s="1044"/>
      <c r="CRA44" s="1044"/>
      <c r="CRB44" s="1044"/>
      <c r="CRC44" s="1044"/>
      <c r="CRD44" s="1044"/>
      <c r="CRE44" s="1044"/>
      <c r="CRF44" s="1044"/>
      <c r="CRG44" s="1044"/>
      <c r="CRH44" s="1044"/>
      <c r="CRI44" s="1044"/>
      <c r="CRJ44" s="1044"/>
      <c r="CRK44" s="1044"/>
      <c r="CRL44" s="1044"/>
      <c r="CRM44" s="1044"/>
      <c r="CRN44" s="1044"/>
      <c r="CRO44" s="1044"/>
      <c r="CRP44" s="1044"/>
      <c r="CRQ44" s="1044"/>
      <c r="CRR44" s="1044"/>
      <c r="CRS44" s="1044"/>
      <c r="CRT44" s="1044"/>
      <c r="CRU44" s="1044"/>
      <c r="CRV44" s="1044"/>
      <c r="CRW44" s="1044"/>
      <c r="CRX44" s="1044"/>
      <c r="CRY44" s="1044"/>
      <c r="CRZ44" s="1044"/>
      <c r="CSA44" s="1044"/>
      <c r="CSB44" s="1044"/>
      <c r="CSC44" s="1044"/>
      <c r="CSD44" s="1044"/>
      <c r="CSE44" s="1044"/>
      <c r="CSF44" s="1044"/>
      <c r="CSG44" s="1044"/>
      <c r="CSH44" s="1044"/>
      <c r="CSI44" s="1044"/>
      <c r="CSJ44" s="1044"/>
      <c r="CSK44" s="1044"/>
      <c r="CSL44" s="1044"/>
      <c r="CSM44" s="1044"/>
      <c r="CSN44" s="1044"/>
      <c r="CSO44" s="1044"/>
      <c r="CSP44" s="1044"/>
      <c r="CSQ44" s="1044"/>
      <c r="CSR44" s="1044"/>
      <c r="CSS44" s="1044"/>
      <c r="CST44" s="1044"/>
      <c r="CSU44" s="1044"/>
      <c r="CSV44" s="1044"/>
      <c r="CSW44" s="1044"/>
      <c r="CSX44" s="1044"/>
      <c r="CSY44" s="1044"/>
      <c r="CSZ44" s="1044"/>
      <c r="CTA44" s="1044"/>
      <c r="CTB44" s="1044"/>
      <c r="CTC44" s="1044"/>
      <c r="CTD44" s="1044"/>
      <c r="CTE44" s="1044"/>
      <c r="CTF44" s="1044"/>
      <c r="CTG44" s="1044"/>
      <c r="CTH44" s="1044"/>
      <c r="CTI44" s="1044"/>
      <c r="CTJ44" s="1044"/>
      <c r="CTK44" s="1044"/>
      <c r="CTL44" s="1044"/>
      <c r="CTM44" s="1044"/>
      <c r="CTN44" s="1044"/>
      <c r="CTO44" s="1044"/>
      <c r="CTP44" s="1044"/>
      <c r="CTQ44" s="1044"/>
      <c r="CTR44" s="1044"/>
      <c r="CTS44" s="1044"/>
      <c r="CTT44" s="1044"/>
      <c r="CTU44" s="1044"/>
      <c r="CTV44" s="1044"/>
      <c r="CTW44" s="1044"/>
      <c r="CTX44" s="1044"/>
      <c r="CTY44" s="1044"/>
      <c r="CTZ44" s="1044"/>
      <c r="CUA44" s="1044"/>
      <c r="CUB44" s="1044"/>
      <c r="CUC44" s="1044"/>
      <c r="CUD44" s="1044"/>
      <c r="CUE44" s="1044"/>
      <c r="CUF44" s="1044"/>
      <c r="CUG44" s="1044"/>
      <c r="CUH44" s="1044"/>
      <c r="CUI44" s="1044"/>
      <c r="CUJ44" s="1044"/>
      <c r="CUK44" s="1044"/>
      <c r="CUL44" s="1044"/>
      <c r="CUM44" s="1044"/>
      <c r="CUN44" s="1044"/>
      <c r="CUO44" s="1044"/>
      <c r="CUP44" s="1044"/>
      <c r="CUQ44" s="1044"/>
      <c r="CUR44" s="1044"/>
      <c r="CUS44" s="1044"/>
      <c r="CUT44" s="1044"/>
      <c r="CUU44" s="1044"/>
      <c r="CUV44" s="1044"/>
      <c r="CUW44" s="1044"/>
      <c r="CUX44" s="1044"/>
      <c r="CUY44" s="1044"/>
      <c r="CUZ44" s="1044"/>
      <c r="CVA44" s="1044"/>
      <c r="CVB44" s="1044"/>
      <c r="CVC44" s="1044"/>
      <c r="CVD44" s="1044"/>
      <c r="CVE44" s="1044"/>
      <c r="CVF44" s="1044"/>
      <c r="CVG44" s="1044"/>
      <c r="CVH44" s="1044"/>
      <c r="CVI44" s="1044"/>
      <c r="CVJ44" s="1044"/>
      <c r="CVK44" s="1044"/>
      <c r="CVL44" s="1044"/>
      <c r="CVM44" s="1044"/>
      <c r="CVN44" s="1044"/>
      <c r="CVO44" s="1044"/>
      <c r="CVP44" s="1044"/>
      <c r="CVQ44" s="1044"/>
      <c r="CVR44" s="1044"/>
      <c r="CVS44" s="1044"/>
      <c r="CVT44" s="1044"/>
      <c r="CVU44" s="1044"/>
      <c r="CVV44" s="1044"/>
      <c r="CVW44" s="1044"/>
      <c r="CVX44" s="1044"/>
      <c r="CVY44" s="1044"/>
      <c r="CVZ44" s="1044"/>
      <c r="CWA44" s="1044"/>
      <c r="CWB44" s="1044"/>
      <c r="CWC44" s="1044"/>
      <c r="CWD44" s="1044"/>
      <c r="CWE44" s="1044"/>
      <c r="CWF44" s="1044"/>
      <c r="CWG44" s="1044"/>
      <c r="CWH44" s="1044"/>
      <c r="CWI44" s="1044"/>
      <c r="CWJ44" s="1044"/>
      <c r="CWK44" s="1044"/>
      <c r="CWL44" s="1044"/>
      <c r="CWM44" s="1044"/>
      <c r="CWN44" s="1044"/>
      <c r="CWO44" s="1044"/>
      <c r="CWP44" s="1044"/>
      <c r="CWQ44" s="1044"/>
      <c r="CWR44" s="1044"/>
      <c r="CWS44" s="1044"/>
      <c r="CWT44" s="1044"/>
      <c r="CWU44" s="1044"/>
      <c r="CWV44" s="1044"/>
      <c r="CWW44" s="1044"/>
      <c r="CWX44" s="1044"/>
      <c r="CWY44" s="1044"/>
      <c r="CWZ44" s="1044"/>
      <c r="CXA44" s="1044"/>
      <c r="CXB44" s="1044"/>
      <c r="CXC44" s="1044"/>
      <c r="CXD44" s="1044"/>
      <c r="CXE44" s="1044"/>
      <c r="CXF44" s="1044"/>
      <c r="CXG44" s="1044"/>
      <c r="CXH44" s="1044"/>
      <c r="CXI44" s="1044"/>
      <c r="CXJ44" s="1044"/>
      <c r="CXK44" s="1044"/>
      <c r="CXL44" s="1044"/>
      <c r="CXM44" s="1044"/>
      <c r="CXN44" s="1044"/>
      <c r="CXO44" s="1044"/>
      <c r="CXP44" s="1044"/>
      <c r="CXQ44" s="1044"/>
      <c r="CXR44" s="1044"/>
      <c r="CXS44" s="1044"/>
      <c r="CXT44" s="1044"/>
      <c r="CXU44" s="1044"/>
      <c r="CXV44" s="1044"/>
      <c r="CXW44" s="1044"/>
      <c r="CXX44" s="1044"/>
      <c r="CXY44" s="1044"/>
      <c r="CXZ44" s="1044"/>
      <c r="CYA44" s="1044"/>
      <c r="CYB44" s="1044"/>
      <c r="CYC44" s="1044"/>
      <c r="CYD44" s="1044"/>
      <c r="CYE44" s="1044"/>
      <c r="CYF44" s="1044"/>
      <c r="CYG44" s="1044"/>
      <c r="CYH44" s="1044"/>
      <c r="CYI44" s="1044"/>
      <c r="CYJ44" s="1044"/>
      <c r="CYK44" s="1044"/>
      <c r="CYL44" s="1044"/>
      <c r="CYM44" s="1044"/>
      <c r="CYN44" s="1044"/>
      <c r="CYO44" s="1044"/>
      <c r="CYP44" s="1044"/>
      <c r="CYQ44" s="1044"/>
      <c r="CYR44" s="1044"/>
      <c r="CYS44" s="1044"/>
      <c r="CYT44" s="1044"/>
      <c r="CYU44" s="1044"/>
      <c r="CYV44" s="1044"/>
      <c r="CYW44" s="1044"/>
      <c r="CYX44" s="1044"/>
      <c r="CYY44" s="1044"/>
      <c r="CYZ44" s="1044"/>
      <c r="CZA44" s="1044"/>
      <c r="CZB44" s="1044"/>
      <c r="CZC44" s="1044"/>
      <c r="CZD44" s="1044"/>
      <c r="CZE44" s="1044"/>
      <c r="CZF44" s="1044"/>
      <c r="CZG44" s="1044"/>
      <c r="CZH44" s="1044"/>
      <c r="CZI44" s="1044"/>
      <c r="CZJ44" s="1044"/>
      <c r="CZK44" s="1044"/>
      <c r="CZL44" s="1044"/>
      <c r="CZM44" s="1044"/>
      <c r="CZN44" s="1044"/>
      <c r="CZO44" s="1044"/>
      <c r="CZP44" s="1044"/>
      <c r="CZQ44" s="1044"/>
      <c r="CZR44" s="1044"/>
      <c r="CZS44" s="1044"/>
      <c r="CZT44" s="1044"/>
      <c r="CZU44" s="1044"/>
      <c r="CZV44" s="1044"/>
      <c r="CZW44" s="1044"/>
      <c r="CZX44" s="1044"/>
      <c r="CZY44" s="1044"/>
      <c r="CZZ44" s="1044"/>
      <c r="DAA44" s="1044"/>
      <c r="DAB44" s="1044"/>
      <c r="DAC44" s="1044"/>
      <c r="DAD44" s="1044"/>
      <c r="DAE44" s="1044"/>
      <c r="DAF44" s="1044"/>
      <c r="DAG44" s="1044"/>
      <c r="DAH44" s="1044"/>
      <c r="DAI44" s="1044"/>
      <c r="DAJ44" s="1044"/>
      <c r="DAK44" s="1044"/>
      <c r="DAL44" s="1044"/>
      <c r="DAM44" s="1044"/>
      <c r="DAN44" s="1044"/>
      <c r="DAO44" s="1044"/>
      <c r="DAP44" s="1044"/>
      <c r="DAQ44" s="1044"/>
      <c r="DAR44" s="1044"/>
      <c r="DAS44" s="1044"/>
      <c r="DAT44" s="1044"/>
      <c r="DAU44" s="1044"/>
      <c r="DAV44" s="1044"/>
      <c r="DAW44" s="1044"/>
      <c r="DAX44" s="1044"/>
      <c r="DAY44" s="1044"/>
      <c r="DAZ44" s="1044"/>
      <c r="DBA44" s="1044"/>
      <c r="DBB44" s="1044"/>
      <c r="DBC44" s="1044"/>
      <c r="DBD44" s="1044"/>
      <c r="DBE44" s="1044"/>
      <c r="DBF44" s="1044"/>
      <c r="DBG44" s="1044"/>
      <c r="DBH44" s="1044"/>
      <c r="DBI44" s="1044"/>
      <c r="DBJ44" s="1044"/>
      <c r="DBK44" s="1044"/>
      <c r="DBL44" s="1044"/>
      <c r="DBM44" s="1044"/>
      <c r="DBN44" s="1044"/>
      <c r="DBO44" s="1044"/>
      <c r="DBP44" s="1044"/>
      <c r="DBQ44" s="1044"/>
      <c r="DBR44" s="1044"/>
      <c r="DBS44" s="1044"/>
      <c r="DBT44" s="1044"/>
      <c r="DBU44" s="1044"/>
      <c r="DBV44" s="1044"/>
      <c r="DBW44" s="1044"/>
      <c r="DBX44" s="1044"/>
      <c r="DBY44" s="1044"/>
      <c r="DBZ44" s="1044"/>
      <c r="DCA44" s="1044"/>
      <c r="DCB44" s="1044"/>
      <c r="DCC44" s="1044"/>
      <c r="DCD44" s="1044"/>
      <c r="DCE44" s="1044"/>
      <c r="DCF44" s="1044"/>
      <c r="DCG44" s="1044"/>
      <c r="DCH44" s="1044"/>
      <c r="DCI44" s="1044"/>
      <c r="DCJ44" s="1044"/>
      <c r="DCK44" s="1044"/>
      <c r="DCL44" s="1044"/>
      <c r="DCM44" s="1044"/>
      <c r="DCN44" s="1044"/>
      <c r="DCO44" s="1044"/>
      <c r="DCP44" s="1044"/>
      <c r="DCQ44" s="1044"/>
      <c r="DCR44" s="1044"/>
      <c r="DCS44" s="1044"/>
      <c r="DCT44" s="1044"/>
      <c r="DCU44" s="1044"/>
      <c r="DCV44" s="1044"/>
      <c r="DCW44" s="1044"/>
      <c r="DCX44" s="1044"/>
      <c r="DCY44" s="1044"/>
      <c r="DCZ44" s="1044"/>
      <c r="DDA44" s="1044"/>
      <c r="DDB44" s="1044"/>
      <c r="DDC44" s="1044"/>
      <c r="DDD44" s="1044"/>
      <c r="DDE44" s="1044"/>
      <c r="DDF44" s="1044"/>
      <c r="DDG44" s="1044"/>
      <c r="DDH44" s="1044"/>
      <c r="DDI44" s="1044"/>
      <c r="DDJ44" s="1044"/>
      <c r="DDK44" s="1044"/>
      <c r="DDL44" s="1044"/>
      <c r="DDM44" s="1044"/>
      <c r="DDN44" s="1044"/>
      <c r="DDO44" s="1044"/>
      <c r="DDP44" s="1044"/>
      <c r="DDQ44" s="1044"/>
      <c r="DDR44" s="1044"/>
      <c r="DDS44" s="1044"/>
      <c r="DDT44" s="1044"/>
      <c r="DDU44" s="1044"/>
      <c r="DDV44" s="1044"/>
      <c r="DDW44" s="1044"/>
      <c r="DDX44" s="1044"/>
      <c r="DDY44" s="1044"/>
      <c r="DDZ44" s="1044"/>
      <c r="DEA44" s="1044"/>
      <c r="DEB44" s="1044"/>
      <c r="DEC44" s="1044"/>
      <c r="DED44" s="1044"/>
      <c r="DEE44" s="1044"/>
      <c r="DEF44" s="1044"/>
      <c r="DEG44" s="1044"/>
      <c r="DEH44" s="1044"/>
      <c r="DEI44" s="1044"/>
      <c r="DEJ44" s="1044"/>
      <c r="DEK44" s="1044"/>
      <c r="DEL44" s="1044"/>
      <c r="DEM44" s="1044"/>
      <c r="DEN44" s="1044"/>
      <c r="DEO44" s="1044"/>
      <c r="DEP44" s="1044"/>
      <c r="DEQ44" s="1044"/>
      <c r="DER44" s="1044"/>
      <c r="DES44" s="1044"/>
      <c r="DET44" s="1044"/>
      <c r="DEU44" s="1044"/>
      <c r="DEV44" s="1044"/>
      <c r="DEW44" s="1044"/>
      <c r="DEX44" s="1044"/>
      <c r="DEY44" s="1044"/>
      <c r="DEZ44" s="1044"/>
      <c r="DFA44" s="1044"/>
      <c r="DFB44" s="1044"/>
      <c r="DFC44" s="1044"/>
      <c r="DFD44" s="1044"/>
      <c r="DFE44" s="1044"/>
      <c r="DFF44" s="1044"/>
      <c r="DFG44" s="1044"/>
      <c r="DFH44" s="1044"/>
      <c r="DFI44" s="1044"/>
      <c r="DFJ44" s="1044"/>
      <c r="DFK44" s="1044"/>
      <c r="DFL44" s="1044"/>
      <c r="DFM44" s="1044"/>
      <c r="DFN44" s="1044"/>
      <c r="DFO44" s="1044"/>
      <c r="DFP44" s="1044"/>
      <c r="DFQ44" s="1044"/>
      <c r="DFR44" s="1044"/>
      <c r="DFS44" s="1044"/>
      <c r="DFT44" s="1044"/>
      <c r="DFU44" s="1044"/>
      <c r="DFV44" s="1044"/>
      <c r="DFW44" s="1044"/>
      <c r="DFX44" s="1044"/>
      <c r="DFY44" s="1044"/>
      <c r="DFZ44" s="1044"/>
      <c r="DGA44" s="1044"/>
      <c r="DGB44" s="1044"/>
      <c r="DGC44" s="1044"/>
      <c r="DGD44" s="1044"/>
      <c r="DGE44" s="1044"/>
      <c r="DGF44" s="1044"/>
      <c r="DGG44" s="1044"/>
      <c r="DGH44" s="1044"/>
      <c r="DGI44" s="1044"/>
      <c r="DGJ44" s="1044"/>
      <c r="DGK44" s="1044"/>
      <c r="DGL44" s="1044"/>
      <c r="DGM44" s="1044"/>
      <c r="DGN44" s="1044"/>
      <c r="DGO44" s="1044"/>
      <c r="DGP44" s="1044"/>
      <c r="DGQ44" s="1044"/>
      <c r="DGR44" s="1044"/>
      <c r="DGS44" s="1044"/>
      <c r="DGT44" s="1044"/>
      <c r="DGU44" s="1044"/>
      <c r="DGV44" s="1044"/>
      <c r="DGW44" s="1044"/>
      <c r="DGX44" s="1044"/>
      <c r="DGY44" s="1044"/>
      <c r="DGZ44" s="1044"/>
      <c r="DHA44" s="1044"/>
      <c r="DHB44" s="1044"/>
      <c r="DHC44" s="1044"/>
      <c r="DHD44" s="1044"/>
      <c r="DHE44" s="1044"/>
      <c r="DHF44" s="1044"/>
      <c r="DHG44" s="1044"/>
      <c r="DHH44" s="1044"/>
      <c r="DHI44" s="1044"/>
      <c r="DHJ44" s="1044"/>
      <c r="DHK44" s="1044"/>
      <c r="DHL44" s="1044"/>
      <c r="DHM44" s="1044"/>
      <c r="DHN44" s="1044"/>
      <c r="DHO44" s="1044"/>
      <c r="DHP44" s="1044"/>
      <c r="DHQ44" s="1044"/>
      <c r="DHR44" s="1044"/>
      <c r="DHS44" s="1044"/>
      <c r="DHT44" s="1044"/>
      <c r="DHU44" s="1044"/>
      <c r="DHV44" s="1044"/>
      <c r="DHW44" s="1044"/>
      <c r="DHX44" s="1044"/>
      <c r="DHY44" s="1044"/>
      <c r="DHZ44" s="1044"/>
      <c r="DIA44" s="1044"/>
      <c r="DIB44" s="1044"/>
      <c r="DIC44" s="1044"/>
      <c r="DID44" s="1044"/>
      <c r="DIE44" s="1044"/>
      <c r="DIF44" s="1044"/>
      <c r="DIG44" s="1044"/>
      <c r="DIH44" s="1044"/>
      <c r="DII44" s="1044"/>
      <c r="DIJ44" s="1044"/>
      <c r="DIK44" s="1044"/>
      <c r="DIL44" s="1044"/>
      <c r="DIM44" s="1044"/>
      <c r="DIN44" s="1044"/>
      <c r="DIO44" s="1044"/>
      <c r="DIP44" s="1044"/>
      <c r="DIQ44" s="1044"/>
      <c r="DIR44" s="1044"/>
      <c r="DIS44" s="1044"/>
      <c r="DIT44" s="1044"/>
      <c r="DIU44" s="1044"/>
      <c r="DIV44" s="1044"/>
      <c r="DIW44" s="1044"/>
      <c r="DIX44" s="1044"/>
      <c r="DIY44" s="1044"/>
      <c r="DIZ44" s="1044"/>
      <c r="DJA44" s="1044"/>
      <c r="DJB44" s="1044"/>
      <c r="DJC44" s="1044"/>
      <c r="DJD44" s="1044"/>
      <c r="DJE44" s="1044"/>
      <c r="DJF44" s="1044"/>
      <c r="DJG44" s="1044"/>
      <c r="DJH44" s="1044"/>
      <c r="DJI44" s="1044"/>
      <c r="DJJ44" s="1044"/>
      <c r="DJK44" s="1044"/>
      <c r="DJL44" s="1044"/>
      <c r="DJM44" s="1044"/>
      <c r="DJN44" s="1044"/>
      <c r="DJO44" s="1044"/>
      <c r="DJP44" s="1044"/>
      <c r="DJQ44" s="1044"/>
      <c r="DJR44" s="1044"/>
      <c r="DJS44" s="1044"/>
      <c r="DJT44" s="1044"/>
      <c r="DJU44" s="1044"/>
      <c r="DJV44" s="1044"/>
      <c r="DJW44" s="1044"/>
      <c r="DJX44" s="1044"/>
      <c r="DJY44" s="1044"/>
      <c r="DJZ44" s="1044"/>
      <c r="DKA44" s="1044"/>
      <c r="DKB44" s="1044"/>
      <c r="DKC44" s="1044"/>
      <c r="DKD44" s="1044"/>
      <c r="DKE44" s="1044"/>
      <c r="DKF44" s="1044"/>
      <c r="DKG44" s="1044"/>
      <c r="DKH44" s="1044"/>
      <c r="DKI44" s="1044"/>
      <c r="DKJ44" s="1044"/>
      <c r="DKK44" s="1044"/>
      <c r="DKL44" s="1044"/>
      <c r="DKM44" s="1044"/>
      <c r="DKN44" s="1044"/>
      <c r="DKO44" s="1044"/>
      <c r="DKP44" s="1044"/>
      <c r="DKQ44" s="1044"/>
      <c r="DKR44" s="1044"/>
      <c r="DKS44" s="1044"/>
      <c r="DKT44" s="1044"/>
      <c r="DKU44" s="1044"/>
      <c r="DKV44" s="1044"/>
      <c r="DKW44" s="1044"/>
      <c r="DKX44" s="1044"/>
      <c r="DKY44" s="1044"/>
      <c r="DKZ44" s="1044"/>
      <c r="DLA44" s="1044"/>
      <c r="DLB44" s="1044"/>
      <c r="DLC44" s="1044"/>
      <c r="DLD44" s="1044"/>
      <c r="DLE44" s="1044"/>
      <c r="DLF44" s="1044"/>
      <c r="DLG44" s="1044"/>
      <c r="DLH44" s="1044"/>
      <c r="DLI44" s="1044"/>
      <c r="DLJ44" s="1044"/>
      <c r="DLK44" s="1044"/>
      <c r="DLL44" s="1044"/>
      <c r="DLM44" s="1044"/>
      <c r="DLN44" s="1044"/>
      <c r="DLO44" s="1044"/>
      <c r="DLP44" s="1044"/>
      <c r="DLQ44" s="1044"/>
      <c r="DLR44" s="1044"/>
      <c r="DLS44" s="1044"/>
      <c r="DLT44" s="1044"/>
      <c r="DLU44" s="1044"/>
      <c r="DLV44" s="1044"/>
      <c r="DLW44" s="1044"/>
      <c r="DLX44" s="1044"/>
      <c r="DLY44" s="1044"/>
      <c r="DLZ44" s="1044"/>
      <c r="DMA44" s="1044"/>
      <c r="DMB44" s="1044"/>
      <c r="DMC44" s="1044"/>
      <c r="DMD44" s="1044"/>
      <c r="DME44" s="1044"/>
      <c r="DMF44" s="1044"/>
      <c r="DMG44" s="1044"/>
      <c r="DMH44" s="1044"/>
      <c r="DMI44" s="1044"/>
      <c r="DMJ44" s="1044"/>
      <c r="DMK44" s="1044"/>
      <c r="DML44" s="1044"/>
      <c r="DMM44" s="1044"/>
      <c r="DMN44" s="1044"/>
      <c r="DMO44" s="1044"/>
      <c r="DMP44" s="1044"/>
      <c r="DMQ44" s="1044"/>
      <c r="DMR44" s="1044"/>
      <c r="DMS44" s="1044"/>
      <c r="DMT44" s="1044"/>
      <c r="DMU44" s="1044"/>
      <c r="DMV44" s="1044"/>
      <c r="DMW44" s="1044"/>
      <c r="DMX44" s="1044"/>
      <c r="DMY44" s="1044"/>
      <c r="DMZ44" s="1044"/>
      <c r="DNA44" s="1044"/>
      <c r="DNB44" s="1044"/>
      <c r="DNC44" s="1044"/>
      <c r="DND44" s="1044"/>
      <c r="DNE44" s="1044"/>
      <c r="DNF44" s="1044"/>
      <c r="DNG44" s="1044"/>
      <c r="DNH44" s="1044"/>
      <c r="DNI44" s="1044"/>
      <c r="DNJ44" s="1044"/>
      <c r="DNK44" s="1044"/>
      <c r="DNL44" s="1044"/>
      <c r="DNM44" s="1044"/>
      <c r="DNN44" s="1044"/>
      <c r="DNO44" s="1044"/>
      <c r="DNP44" s="1044"/>
      <c r="DNQ44" s="1044"/>
      <c r="DNR44" s="1044"/>
      <c r="DNS44" s="1044"/>
      <c r="DNT44" s="1044"/>
      <c r="DNU44" s="1044"/>
      <c r="DNV44" s="1044"/>
      <c r="DNW44" s="1044"/>
      <c r="DNX44" s="1044"/>
      <c r="DNY44" s="1044"/>
      <c r="DNZ44" s="1044"/>
      <c r="DOA44" s="1044"/>
      <c r="DOB44" s="1044"/>
      <c r="DOC44" s="1044"/>
      <c r="DOD44" s="1044"/>
      <c r="DOE44" s="1044"/>
      <c r="DOF44" s="1044"/>
      <c r="DOG44" s="1044"/>
      <c r="DOH44" s="1044"/>
      <c r="DOI44" s="1044"/>
      <c r="DOJ44" s="1044"/>
      <c r="DOK44" s="1044"/>
      <c r="DOL44" s="1044"/>
      <c r="DOM44" s="1044"/>
      <c r="DON44" s="1044"/>
      <c r="DOO44" s="1044"/>
      <c r="DOP44" s="1044"/>
      <c r="DOQ44" s="1044"/>
      <c r="DOR44" s="1044"/>
      <c r="DOS44" s="1044"/>
      <c r="DOT44" s="1044"/>
      <c r="DOU44" s="1044"/>
      <c r="DOV44" s="1044"/>
      <c r="DOW44" s="1044"/>
      <c r="DOX44" s="1044"/>
      <c r="DOY44" s="1044"/>
      <c r="DOZ44" s="1044"/>
      <c r="DPA44" s="1044"/>
      <c r="DPB44" s="1044"/>
      <c r="DPC44" s="1044"/>
      <c r="DPD44" s="1044"/>
      <c r="DPE44" s="1044"/>
      <c r="DPF44" s="1044"/>
      <c r="DPG44" s="1044"/>
      <c r="DPH44" s="1044"/>
      <c r="DPI44" s="1044"/>
      <c r="DPJ44" s="1044"/>
      <c r="DPK44" s="1044"/>
      <c r="DPL44" s="1044"/>
      <c r="DPM44" s="1044"/>
      <c r="DPN44" s="1044"/>
      <c r="DPO44" s="1044"/>
      <c r="DPP44" s="1044"/>
      <c r="DPQ44" s="1044"/>
      <c r="DPR44" s="1044"/>
      <c r="DPS44" s="1044"/>
      <c r="DPT44" s="1044"/>
      <c r="DPU44" s="1044"/>
      <c r="DPV44" s="1044"/>
      <c r="DPW44" s="1044"/>
      <c r="DPX44" s="1044"/>
      <c r="DPY44" s="1044"/>
      <c r="DPZ44" s="1044"/>
      <c r="DQA44" s="1044"/>
      <c r="DQB44" s="1044"/>
      <c r="DQC44" s="1044"/>
      <c r="DQD44" s="1044"/>
      <c r="DQE44" s="1044"/>
      <c r="DQF44" s="1044"/>
      <c r="DQG44" s="1044"/>
      <c r="DQH44" s="1044"/>
      <c r="DQI44" s="1044"/>
      <c r="DQJ44" s="1044"/>
      <c r="DQK44" s="1044"/>
      <c r="DQL44" s="1044"/>
      <c r="DQM44" s="1044"/>
      <c r="DQN44" s="1044"/>
      <c r="DQO44" s="1044"/>
      <c r="DQP44" s="1044"/>
      <c r="DQQ44" s="1044"/>
      <c r="DQR44" s="1044"/>
      <c r="DQS44" s="1044"/>
      <c r="DQT44" s="1044"/>
      <c r="DQU44" s="1044"/>
      <c r="DQV44" s="1044"/>
      <c r="DQW44" s="1044"/>
      <c r="DQX44" s="1044"/>
      <c r="DQY44" s="1044"/>
      <c r="DQZ44" s="1044"/>
      <c r="DRA44" s="1044"/>
      <c r="DRB44" s="1044"/>
      <c r="DRC44" s="1044"/>
      <c r="DRD44" s="1044"/>
      <c r="DRE44" s="1044"/>
      <c r="DRF44" s="1044"/>
      <c r="DRG44" s="1044"/>
      <c r="DRH44" s="1044"/>
      <c r="DRI44" s="1044"/>
      <c r="DRJ44" s="1044"/>
      <c r="DRK44" s="1044"/>
      <c r="DRL44" s="1044"/>
      <c r="DRM44" s="1044"/>
      <c r="DRN44" s="1044"/>
      <c r="DRO44" s="1044"/>
      <c r="DRP44" s="1044"/>
      <c r="DRQ44" s="1044"/>
      <c r="DRR44" s="1044"/>
      <c r="DRS44" s="1044"/>
      <c r="DRT44" s="1044"/>
      <c r="DRU44" s="1044"/>
      <c r="DRV44" s="1044"/>
      <c r="DRW44" s="1044"/>
      <c r="DRX44" s="1044"/>
      <c r="DRY44" s="1044"/>
      <c r="DRZ44" s="1044"/>
      <c r="DSA44" s="1044"/>
      <c r="DSB44" s="1044"/>
      <c r="DSC44" s="1044"/>
      <c r="DSD44" s="1044"/>
      <c r="DSE44" s="1044"/>
      <c r="DSF44" s="1044"/>
      <c r="DSG44" s="1044"/>
      <c r="DSH44" s="1044"/>
      <c r="DSI44" s="1044"/>
      <c r="DSJ44" s="1044"/>
      <c r="DSK44" s="1044"/>
      <c r="DSL44" s="1044"/>
      <c r="DSM44" s="1044"/>
      <c r="DSN44" s="1044"/>
      <c r="DSO44" s="1044"/>
      <c r="DSP44" s="1044"/>
      <c r="DSQ44" s="1044"/>
      <c r="DSR44" s="1044"/>
      <c r="DSS44" s="1044"/>
      <c r="DST44" s="1044"/>
      <c r="DSU44" s="1044"/>
      <c r="DSV44" s="1044"/>
      <c r="DSW44" s="1044"/>
      <c r="DSX44" s="1044"/>
      <c r="DSY44" s="1044"/>
      <c r="DSZ44" s="1044"/>
      <c r="DTA44" s="1044"/>
      <c r="DTB44" s="1044"/>
      <c r="DTC44" s="1044"/>
      <c r="DTD44" s="1044"/>
      <c r="DTE44" s="1044"/>
      <c r="DTF44" s="1044"/>
      <c r="DTG44" s="1044"/>
      <c r="DTH44" s="1044"/>
      <c r="DTI44" s="1044"/>
      <c r="DTJ44" s="1044"/>
      <c r="DTK44" s="1044"/>
      <c r="DTL44" s="1044"/>
      <c r="DTM44" s="1044"/>
      <c r="DTN44" s="1044"/>
      <c r="DTO44" s="1044"/>
      <c r="DTP44" s="1044"/>
      <c r="DTQ44" s="1044"/>
      <c r="DTR44" s="1044"/>
      <c r="DTS44" s="1044"/>
      <c r="DTT44" s="1044"/>
      <c r="DTU44" s="1044"/>
      <c r="DTV44" s="1044"/>
      <c r="DTW44" s="1044"/>
      <c r="DTX44" s="1044"/>
      <c r="DTY44" s="1044"/>
      <c r="DTZ44" s="1044"/>
      <c r="DUA44" s="1044"/>
      <c r="DUB44" s="1044"/>
      <c r="DUC44" s="1044"/>
      <c r="DUD44" s="1044"/>
      <c r="DUE44" s="1044"/>
      <c r="DUF44" s="1044"/>
      <c r="DUG44" s="1044"/>
      <c r="DUH44" s="1044"/>
      <c r="DUI44" s="1044"/>
      <c r="DUJ44" s="1044"/>
      <c r="DUK44" s="1044"/>
      <c r="DUL44" s="1044"/>
      <c r="DUM44" s="1044"/>
      <c r="DUN44" s="1044"/>
      <c r="DUO44" s="1044"/>
      <c r="DUP44" s="1044"/>
      <c r="DUQ44" s="1044"/>
      <c r="DUR44" s="1044"/>
      <c r="DUS44" s="1044"/>
      <c r="DUT44" s="1044"/>
      <c r="DUU44" s="1044"/>
      <c r="DUV44" s="1044"/>
      <c r="DUW44" s="1044"/>
      <c r="DUX44" s="1044"/>
      <c r="DUY44" s="1044"/>
      <c r="DUZ44" s="1044"/>
      <c r="DVA44" s="1044"/>
      <c r="DVB44" s="1044"/>
      <c r="DVC44" s="1044"/>
      <c r="DVD44" s="1044"/>
      <c r="DVE44" s="1044"/>
      <c r="DVF44" s="1044"/>
      <c r="DVG44" s="1044"/>
      <c r="DVH44" s="1044"/>
      <c r="DVI44" s="1044"/>
      <c r="DVJ44" s="1044"/>
      <c r="DVK44" s="1044"/>
      <c r="DVL44" s="1044"/>
      <c r="DVM44" s="1044"/>
      <c r="DVN44" s="1044"/>
      <c r="DVO44" s="1044"/>
      <c r="DVP44" s="1044"/>
      <c r="DVQ44" s="1044"/>
      <c r="DVR44" s="1044"/>
      <c r="DVS44" s="1044"/>
      <c r="DVT44" s="1044"/>
      <c r="DVU44" s="1044"/>
      <c r="DVV44" s="1044"/>
      <c r="DVW44" s="1044"/>
      <c r="DVX44" s="1044"/>
      <c r="DVY44" s="1044"/>
      <c r="DVZ44" s="1044"/>
      <c r="DWA44" s="1044"/>
      <c r="DWB44" s="1044"/>
      <c r="DWC44" s="1044"/>
      <c r="DWD44" s="1044"/>
      <c r="DWE44" s="1044"/>
      <c r="DWF44" s="1044"/>
      <c r="DWG44" s="1044"/>
      <c r="DWH44" s="1044"/>
      <c r="DWI44" s="1044"/>
      <c r="DWJ44" s="1044"/>
      <c r="DWK44" s="1044"/>
      <c r="DWL44" s="1044"/>
      <c r="DWM44" s="1044"/>
      <c r="DWN44" s="1044"/>
      <c r="DWO44" s="1044"/>
      <c r="DWP44" s="1044"/>
      <c r="DWQ44" s="1044"/>
      <c r="DWR44" s="1044"/>
      <c r="DWS44" s="1044"/>
      <c r="DWT44" s="1044"/>
      <c r="DWU44" s="1044"/>
      <c r="DWV44" s="1044"/>
      <c r="DWW44" s="1044"/>
      <c r="DWX44" s="1044"/>
      <c r="DWY44" s="1044"/>
      <c r="DWZ44" s="1044"/>
      <c r="DXA44" s="1044"/>
      <c r="DXB44" s="1044"/>
      <c r="DXC44" s="1044"/>
      <c r="DXD44" s="1044"/>
      <c r="DXE44" s="1044"/>
      <c r="DXF44" s="1044"/>
      <c r="DXG44" s="1044"/>
      <c r="DXH44" s="1044"/>
      <c r="DXI44" s="1044"/>
      <c r="DXJ44" s="1044"/>
      <c r="DXK44" s="1044"/>
      <c r="DXL44" s="1044"/>
      <c r="DXM44" s="1044"/>
      <c r="DXN44" s="1044"/>
      <c r="DXO44" s="1044"/>
      <c r="DXP44" s="1044"/>
      <c r="DXQ44" s="1044"/>
      <c r="DXR44" s="1044"/>
      <c r="DXS44" s="1044"/>
      <c r="DXT44" s="1044"/>
      <c r="DXU44" s="1044"/>
      <c r="DXV44" s="1044"/>
      <c r="DXW44" s="1044"/>
      <c r="DXX44" s="1044"/>
      <c r="DXY44" s="1044"/>
      <c r="DXZ44" s="1044"/>
      <c r="DYA44" s="1044"/>
      <c r="DYB44" s="1044"/>
      <c r="DYC44" s="1044"/>
      <c r="DYD44" s="1044"/>
      <c r="DYE44" s="1044"/>
      <c r="DYF44" s="1044"/>
      <c r="DYG44" s="1044"/>
      <c r="DYH44" s="1044"/>
      <c r="DYI44" s="1044"/>
      <c r="DYJ44" s="1044"/>
      <c r="DYK44" s="1044"/>
      <c r="DYL44" s="1044"/>
      <c r="DYM44" s="1044"/>
      <c r="DYN44" s="1044"/>
      <c r="DYO44" s="1044"/>
      <c r="DYP44" s="1044"/>
      <c r="DYQ44" s="1044"/>
      <c r="DYR44" s="1044"/>
      <c r="DYS44" s="1044"/>
      <c r="DYT44" s="1044"/>
      <c r="DYU44" s="1044"/>
      <c r="DYV44" s="1044"/>
      <c r="DYW44" s="1044"/>
      <c r="DYX44" s="1044"/>
      <c r="DYY44" s="1044"/>
      <c r="DYZ44" s="1044"/>
      <c r="DZA44" s="1044"/>
      <c r="DZB44" s="1044"/>
      <c r="DZC44" s="1044"/>
      <c r="DZD44" s="1044"/>
      <c r="DZE44" s="1044"/>
      <c r="DZF44" s="1044"/>
      <c r="DZG44" s="1044"/>
      <c r="DZH44" s="1044"/>
      <c r="DZI44" s="1044"/>
      <c r="DZJ44" s="1044"/>
      <c r="DZK44" s="1044"/>
      <c r="DZL44" s="1044"/>
      <c r="DZM44" s="1044"/>
      <c r="DZN44" s="1044"/>
      <c r="DZO44" s="1044"/>
      <c r="DZP44" s="1044"/>
      <c r="DZQ44" s="1044"/>
      <c r="DZR44" s="1044"/>
      <c r="DZS44" s="1044"/>
      <c r="DZT44" s="1044"/>
      <c r="DZU44" s="1044"/>
      <c r="DZV44" s="1044"/>
      <c r="DZW44" s="1044"/>
      <c r="DZX44" s="1044"/>
      <c r="DZY44" s="1044"/>
      <c r="DZZ44" s="1044"/>
      <c r="EAA44" s="1044"/>
      <c r="EAB44" s="1044"/>
      <c r="EAC44" s="1044"/>
      <c r="EAD44" s="1044"/>
      <c r="EAE44" s="1044"/>
      <c r="EAF44" s="1044"/>
      <c r="EAG44" s="1044"/>
      <c r="EAH44" s="1044"/>
      <c r="EAI44" s="1044"/>
      <c r="EAJ44" s="1044"/>
      <c r="EAK44" s="1044"/>
      <c r="EAL44" s="1044"/>
      <c r="EAM44" s="1044"/>
      <c r="EAN44" s="1044"/>
      <c r="EAO44" s="1044"/>
      <c r="EAP44" s="1044"/>
      <c r="EAQ44" s="1044"/>
      <c r="EAR44" s="1044"/>
      <c r="EAS44" s="1044"/>
      <c r="EAT44" s="1044"/>
      <c r="EAU44" s="1044"/>
      <c r="EAV44" s="1044"/>
      <c r="EAW44" s="1044"/>
      <c r="EAX44" s="1044"/>
      <c r="EAY44" s="1044"/>
      <c r="EAZ44" s="1044"/>
      <c r="EBA44" s="1044"/>
      <c r="EBB44" s="1044"/>
      <c r="EBC44" s="1044"/>
      <c r="EBD44" s="1044"/>
      <c r="EBE44" s="1044"/>
      <c r="EBF44" s="1044"/>
      <c r="EBG44" s="1044"/>
      <c r="EBH44" s="1044"/>
      <c r="EBI44" s="1044"/>
      <c r="EBJ44" s="1044"/>
      <c r="EBK44" s="1044"/>
      <c r="EBL44" s="1044"/>
      <c r="EBM44" s="1044"/>
      <c r="EBN44" s="1044"/>
      <c r="EBO44" s="1044"/>
      <c r="EBP44" s="1044"/>
      <c r="EBQ44" s="1044"/>
      <c r="EBR44" s="1044"/>
      <c r="EBS44" s="1044"/>
      <c r="EBT44" s="1044"/>
      <c r="EBU44" s="1044"/>
      <c r="EBV44" s="1044"/>
      <c r="EBW44" s="1044"/>
      <c r="EBX44" s="1044"/>
      <c r="EBY44" s="1044"/>
      <c r="EBZ44" s="1044"/>
      <c r="ECA44" s="1044"/>
      <c r="ECB44" s="1044"/>
      <c r="ECC44" s="1044"/>
      <c r="ECD44" s="1044"/>
      <c r="ECE44" s="1044"/>
      <c r="ECF44" s="1044"/>
      <c r="ECG44" s="1044"/>
      <c r="ECH44" s="1044"/>
      <c r="ECI44" s="1044"/>
      <c r="ECJ44" s="1044"/>
      <c r="ECK44" s="1044"/>
      <c r="ECL44" s="1044"/>
      <c r="ECM44" s="1044"/>
      <c r="ECN44" s="1044"/>
      <c r="ECO44" s="1044"/>
      <c r="ECP44" s="1044"/>
      <c r="ECQ44" s="1044"/>
      <c r="ECR44" s="1044"/>
      <c r="ECS44" s="1044"/>
      <c r="ECT44" s="1044"/>
      <c r="ECU44" s="1044"/>
      <c r="ECV44" s="1044"/>
      <c r="ECW44" s="1044"/>
      <c r="ECX44" s="1044"/>
      <c r="ECY44" s="1044"/>
      <c r="ECZ44" s="1044"/>
      <c r="EDA44" s="1044"/>
      <c r="EDB44" s="1044"/>
      <c r="EDC44" s="1044"/>
      <c r="EDD44" s="1044"/>
      <c r="EDE44" s="1044"/>
      <c r="EDF44" s="1044"/>
      <c r="EDG44" s="1044"/>
      <c r="EDH44" s="1044"/>
      <c r="EDI44" s="1044"/>
      <c r="EDJ44" s="1044"/>
      <c r="EDK44" s="1044"/>
      <c r="EDL44" s="1044"/>
      <c r="EDM44" s="1044"/>
      <c r="EDN44" s="1044"/>
      <c r="EDO44" s="1044"/>
      <c r="EDP44" s="1044"/>
      <c r="EDQ44" s="1044"/>
      <c r="EDR44" s="1044"/>
      <c r="EDS44" s="1044"/>
      <c r="EDT44" s="1044"/>
      <c r="EDU44" s="1044"/>
      <c r="EDV44" s="1044"/>
      <c r="EDW44" s="1044"/>
      <c r="EDX44" s="1044"/>
      <c r="EDY44" s="1044"/>
      <c r="EDZ44" s="1044"/>
      <c r="EEA44" s="1044"/>
      <c r="EEB44" s="1044"/>
      <c r="EEC44" s="1044"/>
      <c r="EED44" s="1044"/>
      <c r="EEE44" s="1044"/>
      <c r="EEF44" s="1044"/>
      <c r="EEG44" s="1044"/>
      <c r="EEH44" s="1044"/>
      <c r="EEI44" s="1044"/>
      <c r="EEJ44" s="1044"/>
      <c r="EEK44" s="1044"/>
      <c r="EEL44" s="1044"/>
      <c r="EEM44" s="1044"/>
      <c r="EEN44" s="1044"/>
      <c r="EEO44" s="1044"/>
      <c r="EEP44" s="1044"/>
      <c r="EEQ44" s="1044"/>
      <c r="EER44" s="1044"/>
      <c r="EES44" s="1044"/>
      <c r="EET44" s="1044"/>
      <c r="EEU44" s="1044"/>
      <c r="EEV44" s="1044"/>
      <c r="EEW44" s="1044"/>
      <c r="EEX44" s="1044"/>
      <c r="EEY44" s="1044"/>
      <c r="EEZ44" s="1044"/>
      <c r="EFA44" s="1044"/>
      <c r="EFB44" s="1044"/>
      <c r="EFC44" s="1044"/>
      <c r="EFD44" s="1044"/>
      <c r="EFE44" s="1044"/>
      <c r="EFF44" s="1044"/>
      <c r="EFG44" s="1044"/>
      <c r="EFH44" s="1044"/>
      <c r="EFI44" s="1044"/>
      <c r="EFJ44" s="1044"/>
      <c r="EFK44" s="1044"/>
      <c r="EFL44" s="1044"/>
      <c r="EFM44" s="1044"/>
      <c r="EFN44" s="1044"/>
      <c r="EFO44" s="1044"/>
      <c r="EFP44" s="1044"/>
      <c r="EFQ44" s="1044"/>
      <c r="EFR44" s="1044"/>
      <c r="EFS44" s="1044"/>
      <c r="EFT44" s="1044"/>
      <c r="EFU44" s="1044"/>
      <c r="EFV44" s="1044"/>
      <c r="EFW44" s="1044"/>
      <c r="EFX44" s="1044"/>
      <c r="EFY44" s="1044"/>
      <c r="EFZ44" s="1044"/>
      <c r="EGA44" s="1044"/>
      <c r="EGB44" s="1044"/>
      <c r="EGC44" s="1044"/>
      <c r="EGD44" s="1044"/>
      <c r="EGE44" s="1044"/>
      <c r="EGF44" s="1044"/>
      <c r="EGG44" s="1044"/>
      <c r="EGH44" s="1044"/>
      <c r="EGI44" s="1044"/>
      <c r="EGJ44" s="1044"/>
      <c r="EGK44" s="1044"/>
      <c r="EGL44" s="1044"/>
      <c r="EGM44" s="1044"/>
      <c r="EGN44" s="1044"/>
      <c r="EGO44" s="1044"/>
      <c r="EGP44" s="1044"/>
      <c r="EGQ44" s="1044"/>
      <c r="EGR44" s="1044"/>
      <c r="EGS44" s="1044"/>
      <c r="EGT44" s="1044"/>
      <c r="EGU44" s="1044"/>
      <c r="EGV44" s="1044"/>
      <c r="EGW44" s="1044"/>
      <c r="EGX44" s="1044"/>
      <c r="EGY44" s="1044"/>
      <c r="EGZ44" s="1044"/>
      <c r="EHA44" s="1044"/>
      <c r="EHB44" s="1044"/>
      <c r="EHC44" s="1044"/>
      <c r="EHD44" s="1044"/>
      <c r="EHE44" s="1044"/>
      <c r="EHF44" s="1044"/>
      <c r="EHG44" s="1044"/>
      <c r="EHH44" s="1044"/>
      <c r="EHI44" s="1044"/>
      <c r="EHJ44" s="1044"/>
      <c r="EHK44" s="1044"/>
      <c r="EHL44" s="1044"/>
      <c r="EHM44" s="1044"/>
      <c r="EHN44" s="1044"/>
      <c r="EHO44" s="1044"/>
      <c r="EHP44" s="1044"/>
      <c r="EHQ44" s="1044"/>
      <c r="EHR44" s="1044"/>
      <c r="EHS44" s="1044"/>
      <c r="EHT44" s="1044"/>
      <c r="EHU44" s="1044"/>
      <c r="EHV44" s="1044"/>
      <c r="EHW44" s="1044"/>
      <c r="EHX44" s="1044"/>
      <c r="EHY44" s="1044"/>
      <c r="EHZ44" s="1044"/>
      <c r="EIA44" s="1044"/>
      <c r="EIB44" s="1044"/>
      <c r="EIC44" s="1044"/>
      <c r="EID44" s="1044"/>
      <c r="EIE44" s="1044"/>
      <c r="EIF44" s="1044"/>
      <c r="EIG44" s="1044"/>
      <c r="EIH44" s="1044"/>
      <c r="EII44" s="1044"/>
      <c r="EIJ44" s="1044"/>
      <c r="EIK44" s="1044"/>
      <c r="EIL44" s="1044"/>
      <c r="EIM44" s="1044"/>
      <c r="EIN44" s="1044"/>
      <c r="EIO44" s="1044"/>
      <c r="EIP44" s="1044"/>
      <c r="EIQ44" s="1044"/>
      <c r="EIR44" s="1044"/>
      <c r="EIS44" s="1044"/>
      <c r="EIT44" s="1044"/>
      <c r="EIU44" s="1044"/>
      <c r="EIV44" s="1044"/>
      <c r="EIW44" s="1044"/>
      <c r="EIX44" s="1044"/>
      <c r="EIY44" s="1044"/>
      <c r="EIZ44" s="1044"/>
      <c r="EJA44" s="1044"/>
      <c r="EJB44" s="1044"/>
      <c r="EJC44" s="1044"/>
      <c r="EJD44" s="1044"/>
      <c r="EJE44" s="1044"/>
      <c r="EJF44" s="1044"/>
      <c r="EJG44" s="1044"/>
      <c r="EJH44" s="1044"/>
      <c r="EJI44" s="1044"/>
      <c r="EJJ44" s="1044"/>
      <c r="EJK44" s="1044"/>
      <c r="EJL44" s="1044"/>
      <c r="EJM44" s="1044"/>
      <c r="EJN44" s="1044"/>
      <c r="EJO44" s="1044"/>
      <c r="EJP44" s="1044"/>
      <c r="EJQ44" s="1044"/>
      <c r="EJR44" s="1044"/>
      <c r="EJS44" s="1044"/>
      <c r="EJT44" s="1044"/>
      <c r="EJU44" s="1044"/>
      <c r="EJV44" s="1044"/>
      <c r="EJW44" s="1044"/>
      <c r="EJX44" s="1044"/>
      <c r="EJY44" s="1044"/>
      <c r="EJZ44" s="1044"/>
      <c r="EKA44" s="1044"/>
      <c r="EKB44" s="1044"/>
      <c r="EKC44" s="1044"/>
      <c r="EKD44" s="1044"/>
      <c r="EKE44" s="1044"/>
      <c r="EKF44" s="1044"/>
      <c r="EKG44" s="1044"/>
      <c r="EKH44" s="1044"/>
      <c r="EKI44" s="1044"/>
      <c r="EKJ44" s="1044"/>
      <c r="EKK44" s="1044"/>
      <c r="EKL44" s="1044"/>
      <c r="EKM44" s="1044"/>
      <c r="EKN44" s="1044"/>
      <c r="EKO44" s="1044"/>
      <c r="EKP44" s="1044"/>
      <c r="EKQ44" s="1044"/>
      <c r="EKR44" s="1044"/>
      <c r="EKS44" s="1044"/>
      <c r="EKT44" s="1044"/>
      <c r="EKU44" s="1044"/>
      <c r="EKV44" s="1044"/>
      <c r="EKW44" s="1044"/>
      <c r="EKX44" s="1044"/>
      <c r="EKY44" s="1044"/>
      <c r="EKZ44" s="1044"/>
      <c r="ELA44" s="1044"/>
      <c r="ELB44" s="1044"/>
      <c r="ELC44" s="1044"/>
      <c r="ELD44" s="1044"/>
      <c r="ELE44" s="1044"/>
      <c r="ELF44" s="1044"/>
      <c r="ELG44" s="1044"/>
      <c r="ELH44" s="1044"/>
      <c r="ELI44" s="1044"/>
      <c r="ELJ44" s="1044"/>
      <c r="ELK44" s="1044"/>
      <c r="ELL44" s="1044"/>
      <c r="ELM44" s="1044"/>
      <c r="ELN44" s="1044"/>
      <c r="ELO44" s="1044"/>
      <c r="ELP44" s="1044"/>
      <c r="ELQ44" s="1044"/>
      <c r="ELR44" s="1044"/>
      <c r="ELS44" s="1044"/>
      <c r="ELT44" s="1044"/>
      <c r="ELU44" s="1044"/>
      <c r="ELV44" s="1044"/>
      <c r="ELW44" s="1044"/>
      <c r="ELX44" s="1044"/>
      <c r="ELY44" s="1044"/>
      <c r="ELZ44" s="1044"/>
      <c r="EMA44" s="1044"/>
      <c r="EMB44" s="1044"/>
      <c r="EMC44" s="1044"/>
      <c r="EMD44" s="1044"/>
      <c r="EME44" s="1044"/>
      <c r="EMF44" s="1044"/>
      <c r="EMG44" s="1044"/>
      <c r="EMH44" s="1044"/>
      <c r="EMI44" s="1044"/>
      <c r="EMJ44" s="1044"/>
      <c r="EMK44" s="1044"/>
      <c r="EML44" s="1044"/>
      <c r="EMM44" s="1044"/>
      <c r="EMN44" s="1044"/>
      <c r="EMO44" s="1044"/>
      <c r="EMP44" s="1044"/>
      <c r="EMQ44" s="1044"/>
      <c r="EMR44" s="1044"/>
      <c r="EMS44" s="1044"/>
      <c r="EMT44" s="1044"/>
      <c r="EMU44" s="1044"/>
      <c r="EMV44" s="1044"/>
      <c r="EMW44" s="1044"/>
      <c r="EMX44" s="1044"/>
      <c r="EMY44" s="1044"/>
      <c r="EMZ44" s="1044"/>
      <c r="ENA44" s="1044"/>
      <c r="ENB44" s="1044"/>
      <c r="ENC44" s="1044"/>
      <c r="END44" s="1044"/>
      <c r="ENE44" s="1044"/>
      <c r="ENF44" s="1044"/>
      <c r="ENG44" s="1044"/>
      <c r="ENH44" s="1044"/>
      <c r="ENI44" s="1044"/>
      <c r="ENJ44" s="1044"/>
      <c r="ENK44" s="1044"/>
      <c r="ENL44" s="1044"/>
      <c r="ENM44" s="1044"/>
      <c r="ENN44" s="1044"/>
      <c r="ENO44" s="1044"/>
      <c r="ENP44" s="1044"/>
      <c r="ENQ44" s="1044"/>
      <c r="ENR44" s="1044"/>
      <c r="ENS44" s="1044"/>
      <c r="ENT44" s="1044"/>
      <c r="ENU44" s="1044"/>
      <c r="ENV44" s="1044"/>
      <c r="ENW44" s="1044"/>
      <c r="ENX44" s="1044"/>
      <c r="ENY44" s="1044"/>
      <c r="ENZ44" s="1044"/>
      <c r="EOA44" s="1044"/>
      <c r="EOB44" s="1044"/>
      <c r="EOC44" s="1044"/>
      <c r="EOD44" s="1044"/>
      <c r="EOE44" s="1044"/>
      <c r="EOF44" s="1044"/>
      <c r="EOG44" s="1044"/>
      <c r="EOH44" s="1044"/>
      <c r="EOI44" s="1044"/>
      <c r="EOJ44" s="1044"/>
      <c r="EOK44" s="1044"/>
      <c r="EOL44" s="1044"/>
      <c r="EOM44" s="1044"/>
      <c r="EON44" s="1044"/>
      <c r="EOO44" s="1044"/>
      <c r="EOP44" s="1044"/>
      <c r="EOQ44" s="1044"/>
      <c r="EOR44" s="1044"/>
      <c r="EOS44" s="1044"/>
      <c r="EOT44" s="1044"/>
      <c r="EOU44" s="1044"/>
      <c r="EOV44" s="1044"/>
      <c r="EOW44" s="1044"/>
      <c r="EOX44" s="1044"/>
      <c r="EOY44" s="1044"/>
      <c r="EOZ44" s="1044"/>
      <c r="EPA44" s="1044"/>
      <c r="EPB44" s="1044"/>
      <c r="EPC44" s="1044"/>
      <c r="EPD44" s="1044"/>
      <c r="EPE44" s="1044"/>
      <c r="EPF44" s="1044"/>
      <c r="EPG44" s="1044"/>
      <c r="EPH44" s="1044"/>
      <c r="EPI44" s="1044"/>
      <c r="EPJ44" s="1044"/>
      <c r="EPK44" s="1044"/>
      <c r="EPL44" s="1044"/>
      <c r="EPM44" s="1044"/>
      <c r="EPN44" s="1044"/>
      <c r="EPO44" s="1044"/>
      <c r="EPP44" s="1044"/>
      <c r="EPQ44" s="1044"/>
      <c r="EPR44" s="1044"/>
      <c r="EPS44" s="1044"/>
      <c r="EPT44" s="1044"/>
      <c r="EPU44" s="1044"/>
      <c r="EPV44" s="1044"/>
      <c r="EPW44" s="1044"/>
      <c r="EPX44" s="1044"/>
      <c r="EPY44" s="1044"/>
      <c r="EPZ44" s="1044"/>
      <c r="EQA44" s="1044"/>
      <c r="EQB44" s="1044"/>
      <c r="EQC44" s="1044"/>
      <c r="EQD44" s="1044"/>
      <c r="EQE44" s="1044"/>
      <c r="EQF44" s="1044"/>
      <c r="EQG44" s="1044"/>
      <c r="EQH44" s="1044"/>
      <c r="EQI44" s="1044"/>
      <c r="EQJ44" s="1044"/>
      <c r="EQK44" s="1044"/>
      <c r="EQL44" s="1044"/>
      <c r="EQM44" s="1044"/>
      <c r="EQN44" s="1044"/>
      <c r="EQO44" s="1044"/>
      <c r="EQP44" s="1044"/>
      <c r="EQQ44" s="1044"/>
      <c r="EQR44" s="1044"/>
      <c r="EQS44" s="1044"/>
      <c r="EQT44" s="1044"/>
      <c r="EQU44" s="1044"/>
      <c r="EQV44" s="1044"/>
      <c r="EQW44" s="1044"/>
      <c r="EQX44" s="1044"/>
      <c r="EQY44" s="1044"/>
      <c r="EQZ44" s="1044"/>
      <c r="ERA44" s="1044"/>
      <c r="ERB44" s="1044"/>
      <c r="ERC44" s="1044"/>
      <c r="ERD44" s="1044"/>
      <c r="ERE44" s="1044"/>
      <c r="ERF44" s="1044"/>
      <c r="ERG44" s="1044"/>
      <c r="ERH44" s="1044"/>
      <c r="ERI44" s="1044"/>
      <c r="ERJ44" s="1044"/>
      <c r="ERK44" s="1044"/>
      <c r="ERL44" s="1044"/>
      <c r="ERM44" s="1044"/>
      <c r="ERN44" s="1044"/>
      <c r="ERO44" s="1044"/>
      <c r="ERP44" s="1044"/>
      <c r="ERQ44" s="1044"/>
      <c r="ERR44" s="1044"/>
      <c r="ERS44" s="1044"/>
      <c r="ERT44" s="1044"/>
      <c r="ERU44" s="1044"/>
      <c r="ERV44" s="1044"/>
      <c r="ERW44" s="1044"/>
      <c r="ERX44" s="1044"/>
      <c r="ERY44" s="1044"/>
      <c r="ERZ44" s="1044"/>
      <c r="ESA44" s="1044"/>
      <c r="ESB44" s="1044"/>
      <c r="ESC44" s="1044"/>
      <c r="ESD44" s="1044"/>
      <c r="ESE44" s="1044"/>
      <c r="ESF44" s="1044"/>
      <c r="ESG44" s="1044"/>
      <c r="ESH44" s="1044"/>
      <c r="ESI44" s="1044"/>
      <c r="ESJ44" s="1044"/>
      <c r="ESK44" s="1044"/>
      <c r="ESL44" s="1044"/>
      <c r="ESM44" s="1044"/>
      <c r="ESN44" s="1044"/>
      <c r="ESO44" s="1044"/>
      <c r="ESP44" s="1044"/>
      <c r="ESQ44" s="1044"/>
      <c r="ESR44" s="1044"/>
      <c r="ESS44" s="1044"/>
      <c r="EST44" s="1044"/>
      <c r="ESU44" s="1044"/>
      <c r="ESV44" s="1044"/>
      <c r="ESW44" s="1044"/>
      <c r="ESX44" s="1044"/>
      <c r="ESY44" s="1044"/>
      <c r="ESZ44" s="1044"/>
      <c r="ETA44" s="1044"/>
      <c r="ETB44" s="1044"/>
      <c r="ETC44" s="1044"/>
      <c r="ETD44" s="1044"/>
      <c r="ETE44" s="1044"/>
      <c r="ETF44" s="1044"/>
      <c r="ETG44" s="1044"/>
      <c r="ETH44" s="1044"/>
      <c r="ETI44" s="1044"/>
      <c r="ETJ44" s="1044"/>
      <c r="ETK44" s="1044"/>
      <c r="ETL44" s="1044"/>
      <c r="ETM44" s="1044"/>
      <c r="ETN44" s="1044"/>
      <c r="ETO44" s="1044"/>
      <c r="ETP44" s="1044"/>
      <c r="ETQ44" s="1044"/>
      <c r="ETR44" s="1044"/>
      <c r="ETS44" s="1044"/>
      <c r="ETT44" s="1044"/>
      <c r="ETU44" s="1044"/>
      <c r="ETV44" s="1044"/>
      <c r="ETW44" s="1044"/>
      <c r="ETX44" s="1044"/>
      <c r="ETY44" s="1044"/>
      <c r="ETZ44" s="1044"/>
      <c r="EUA44" s="1044"/>
      <c r="EUB44" s="1044"/>
      <c r="EUC44" s="1044"/>
      <c r="EUD44" s="1044"/>
      <c r="EUE44" s="1044"/>
      <c r="EUF44" s="1044"/>
      <c r="EUG44" s="1044"/>
      <c r="EUH44" s="1044"/>
      <c r="EUI44" s="1044"/>
      <c r="EUJ44" s="1044"/>
      <c r="EUK44" s="1044"/>
      <c r="EUL44" s="1044"/>
      <c r="EUM44" s="1044"/>
      <c r="EUN44" s="1044"/>
      <c r="EUO44" s="1044"/>
      <c r="EUP44" s="1044"/>
      <c r="EUQ44" s="1044"/>
      <c r="EUR44" s="1044"/>
      <c r="EUS44" s="1044"/>
      <c r="EUT44" s="1044"/>
      <c r="EUU44" s="1044"/>
      <c r="EUV44" s="1044"/>
      <c r="EUW44" s="1044"/>
      <c r="EUX44" s="1044"/>
      <c r="EUY44" s="1044"/>
      <c r="EUZ44" s="1044"/>
      <c r="EVA44" s="1044"/>
      <c r="EVB44" s="1044"/>
      <c r="EVC44" s="1044"/>
      <c r="EVD44" s="1044"/>
      <c r="EVE44" s="1044"/>
      <c r="EVF44" s="1044"/>
      <c r="EVG44" s="1044"/>
      <c r="EVH44" s="1044"/>
      <c r="EVI44" s="1044"/>
      <c r="EVJ44" s="1044"/>
      <c r="EVK44" s="1044"/>
      <c r="EVL44" s="1044"/>
      <c r="EVM44" s="1044"/>
      <c r="EVN44" s="1044"/>
      <c r="EVO44" s="1044"/>
      <c r="EVP44" s="1044"/>
      <c r="EVQ44" s="1044"/>
      <c r="EVR44" s="1044"/>
      <c r="EVS44" s="1044"/>
      <c r="EVT44" s="1044"/>
      <c r="EVU44" s="1044"/>
      <c r="EVV44" s="1044"/>
      <c r="EVW44" s="1044"/>
      <c r="EVX44" s="1044"/>
      <c r="EVY44" s="1044"/>
      <c r="EVZ44" s="1044"/>
      <c r="EWA44" s="1044"/>
      <c r="EWB44" s="1044"/>
      <c r="EWC44" s="1044"/>
      <c r="EWD44" s="1044"/>
      <c r="EWE44" s="1044"/>
      <c r="EWF44" s="1044"/>
      <c r="EWG44" s="1044"/>
      <c r="EWH44" s="1044"/>
      <c r="EWI44" s="1044"/>
      <c r="EWJ44" s="1044"/>
      <c r="EWK44" s="1044"/>
      <c r="EWL44" s="1044"/>
      <c r="EWM44" s="1044"/>
      <c r="EWN44" s="1044"/>
      <c r="EWO44" s="1044"/>
      <c r="EWP44" s="1044"/>
      <c r="EWQ44" s="1044"/>
      <c r="EWR44" s="1044"/>
      <c r="EWS44" s="1044"/>
      <c r="EWT44" s="1044"/>
      <c r="EWU44" s="1044"/>
      <c r="EWV44" s="1044"/>
      <c r="EWW44" s="1044"/>
      <c r="EWX44" s="1044"/>
      <c r="EWY44" s="1044"/>
      <c r="EWZ44" s="1044"/>
      <c r="EXA44" s="1044"/>
      <c r="EXB44" s="1044"/>
      <c r="EXC44" s="1044"/>
      <c r="EXD44" s="1044"/>
      <c r="EXE44" s="1044"/>
      <c r="EXF44" s="1044"/>
      <c r="EXG44" s="1044"/>
      <c r="EXH44" s="1044"/>
      <c r="EXI44" s="1044"/>
      <c r="EXJ44" s="1044"/>
      <c r="EXK44" s="1044"/>
      <c r="EXL44" s="1044"/>
      <c r="EXM44" s="1044"/>
      <c r="EXN44" s="1044"/>
      <c r="EXO44" s="1044"/>
      <c r="EXP44" s="1044"/>
      <c r="EXQ44" s="1044"/>
      <c r="EXR44" s="1044"/>
      <c r="EXS44" s="1044"/>
      <c r="EXT44" s="1044"/>
      <c r="EXU44" s="1044"/>
      <c r="EXV44" s="1044"/>
      <c r="EXW44" s="1044"/>
      <c r="EXX44" s="1044"/>
      <c r="EXY44" s="1044"/>
      <c r="EXZ44" s="1044"/>
      <c r="EYA44" s="1044"/>
      <c r="EYB44" s="1044"/>
      <c r="EYC44" s="1044"/>
      <c r="EYD44" s="1044"/>
      <c r="EYE44" s="1044"/>
      <c r="EYF44" s="1044"/>
      <c r="EYG44" s="1044"/>
      <c r="EYH44" s="1044"/>
      <c r="EYI44" s="1044"/>
      <c r="EYJ44" s="1044"/>
      <c r="EYK44" s="1044"/>
      <c r="EYL44" s="1044"/>
      <c r="EYM44" s="1044"/>
      <c r="EYN44" s="1044"/>
      <c r="EYO44" s="1044"/>
      <c r="EYP44" s="1044"/>
      <c r="EYQ44" s="1044"/>
      <c r="EYR44" s="1044"/>
      <c r="EYS44" s="1044"/>
      <c r="EYT44" s="1044"/>
      <c r="EYU44" s="1044"/>
      <c r="EYV44" s="1044"/>
      <c r="EYW44" s="1044"/>
      <c r="EYX44" s="1044"/>
      <c r="EYY44" s="1044"/>
      <c r="EYZ44" s="1044"/>
      <c r="EZA44" s="1044"/>
      <c r="EZB44" s="1044"/>
      <c r="EZC44" s="1044"/>
      <c r="EZD44" s="1044"/>
      <c r="EZE44" s="1044"/>
      <c r="EZF44" s="1044"/>
      <c r="EZG44" s="1044"/>
      <c r="EZH44" s="1044"/>
      <c r="EZI44" s="1044"/>
      <c r="EZJ44" s="1044"/>
      <c r="EZK44" s="1044"/>
      <c r="EZL44" s="1044"/>
      <c r="EZM44" s="1044"/>
      <c r="EZN44" s="1044"/>
      <c r="EZO44" s="1044"/>
      <c r="EZP44" s="1044"/>
      <c r="EZQ44" s="1044"/>
      <c r="EZR44" s="1044"/>
      <c r="EZS44" s="1044"/>
      <c r="EZT44" s="1044"/>
      <c r="EZU44" s="1044"/>
      <c r="EZV44" s="1044"/>
      <c r="EZW44" s="1044"/>
      <c r="EZX44" s="1044"/>
      <c r="EZY44" s="1044"/>
      <c r="EZZ44" s="1044"/>
      <c r="FAA44" s="1044"/>
      <c r="FAB44" s="1044"/>
      <c r="FAC44" s="1044"/>
      <c r="FAD44" s="1044"/>
      <c r="FAE44" s="1044"/>
      <c r="FAF44" s="1044"/>
      <c r="FAG44" s="1044"/>
      <c r="FAH44" s="1044"/>
      <c r="FAI44" s="1044"/>
      <c r="FAJ44" s="1044"/>
      <c r="FAK44" s="1044"/>
      <c r="FAL44" s="1044"/>
      <c r="FAM44" s="1044"/>
      <c r="FAN44" s="1044"/>
      <c r="FAO44" s="1044"/>
      <c r="FAP44" s="1044"/>
      <c r="FAQ44" s="1044"/>
      <c r="FAR44" s="1044"/>
      <c r="FAS44" s="1044"/>
      <c r="FAT44" s="1044"/>
      <c r="FAU44" s="1044"/>
      <c r="FAV44" s="1044"/>
      <c r="FAW44" s="1044"/>
      <c r="FAX44" s="1044"/>
      <c r="FAY44" s="1044"/>
      <c r="FAZ44" s="1044"/>
      <c r="FBA44" s="1044"/>
      <c r="FBB44" s="1044"/>
      <c r="FBC44" s="1044"/>
      <c r="FBD44" s="1044"/>
      <c r="FBE44" s="1044"/>
      <c r="FBF44" s="1044"/>
      <c r="FBG44" s="1044"/>
      <c r="FBH44" s="1044"/>
      <c r="FBI44" s="1044"/>
      <c r="FBJ44" s="1044"/>
      <c r="FBK44" s="1044"/>
      <c r="FBL44" s="1044"/>
      <c r="FBM44" s="1044"/>
      <c r="FBN44" s="1044"/>
      <c r="FBO44" s="1044"/>
      <c r="FBP44" s="1044"/>
      <c r="FBQ44" s="1044"/>
      <c r="FBR44" s="1044"/>
      <c r="FBS44" s="1044"/>
      <c r="FBT44" s="1044"/>
      <c r="FBU44" s="1044"/>
      <c r="FBV44" s="1044"/>
      <c r="FBW44" s="1044"/>
      <c r="FBX44" s="1044"/>
      <c r="FBY44" s="1044"/>
      <c r="FBZ44" s="1044"/>
      <c r="FCA44" s="1044"/>
      <c r="FCB44" s="1044"/>
      <c r="FCC44" s="1044"/>
      <c r="FCD44" s="1044"/>
      <c r="FCE44" s="1044"/>
      <c r="FCF44" s="1044"/>
      <c r="FCG44" s="1044"/>
      <c r="FCH44" s="1044"/>
      <c r="FCI44" s="1044"/>
      <c r="FCJ44" s="1044"/>
      <c r="FCK44" s="1044"/>
      <c r="FCL44" s="1044"/>
      <c r="FCM44" s="1044"/>
      <c r="FCN44" s="1044"/>
      <c r="FCO44" s="1044"/>
      <c r="FCP44" s="1044"/>
      <c r="FCQ44" s="1044"/>
      <c r="FCR44" s="1044"/>
      <c r="FCS44" s="1044"/>
      <c r="FCT44" s="1044"/>
      <c r="FCU44" s="1044"/>
      <c r="FCV44" s="1044"/>
      <c r="FCW44" s="1044"/>
      <c r="FCX44" s="1044"/>
      <c r="FCY44" s="1044"/>
      <c r="FCZ44" s="1044"/>
      <c r="FDA44" s="1044"/>
      <c r="FDB44" s="1044"/>
      <c r="FDC44" s="1044"/>
      <c r="FDD44" s="1044"/>
      <c r="FDE44" s="1044"/>
      <c r="FDF44" s="1044"/>
      <c r="FDG44" s="1044"/>
      <c r="FDH44" s="1044"/>
      <c r="FDI44" s="1044"/>
      <c r="FDJ44" s="1044"/>
      <c r="FDK44" s="1044"/>
      <c r="FDL44" s="1044"/>
      <c r="FDM44" s="1044"/>
      <c r="FDN44" s="1044"/>
      <c r="FDO44" s="1044"/>
      <c r="FDP44" s="1044"/>
      <c r="FDQ44" s="1044"/>
      <c r="FDR44" s="1044"/>
      <c r="FDS44" s="1044"/>
      <c r="FDT44" s="1044"/>
      <c r="FDU44" s="1044"/>
      <c r="FDV44" s="1044"/>
      <c r="FDW44" s="1044"/>
      <c r="FDX44" s="1044"/>
      <c r="FDY44" s="1044"/>
      <c r="FDZ44" s="1044"/>
      <c r="FEA44" s="1044"/>
      <c r="FEB44" s="1044"/>
      <c r="FEC44" s="1044"/>
      <c r="FED44" s="1044"/>
      <c r="FEE44" s="1044"/>
      <c r="FEF44" s="1044"/>
      <c r="FEG44" s="1044"/>
      <c r="FEH44" s="1044"/>
      <c r="FEI44" s="1044"/>
      <c r="FEJ44" s="1044"/>
      <c r="FEK44" s="1044"/>
      <c r="FEL44" s="1044"/>
      <c r="FEM44" s="1044"/>
      <c r="FEN44" s="1044"/>
      <c r="FEO44" s="1044"/>
      <c r="FEP44" s="1044"/>
      <c r="FEQ44" s="1044"/>
      <c r="FER44" s="1044"/>
      <c r="FES44" s="1044"/>
      <c r="FET44" s="1044"/>
      <c r="FEU44" s="1044"/>
      <c r="FEV44" s="1044"/>
      <c r="FEW44" s="1044"/>
      <c r="FEX44" s="1044"/>
      <c r="FEY44" s="1044"/>
      <c r="FEZ44" s="1044"/>
      <c r="FFA44" s="1044"/>
      <c r="FFB44" s="1044"/>
      <c r="FFC44" s="1044"/>
      <c r="FFD44" s="1044"/>
      <c r="FFE44" s="1044"/>
      <c r="FFF44" s="1044"/>
      <c r="FFG44" s="1044"/>
      <c r="FFH44" s="1044"/>
      <c r="FFI44" s="1044"/>
      <c r="FFJ44" s="1044"/>
      <c r="FFK44" s="1044"/>
      <c r="FFL44" s="1044"/>
      <c r="FFM44" s="1044"/>
      <c r="FFN44" s="1044"/>
      <c r="FFO44" s="1044"/>
      <c r="FFP44" s="1044"/>
      <c r="FFQ44" s="1044"/>
      <c r="FFR44" s="1044"/>
      <c r="FFS44" s="1044"/>
      <c r="FFT44" s="1044"/>
      <c r="FFU44" s="1044"/>
      <c r="FFV44" s="1044"/>
      <c r="FFW44" s="1044"/>
      <c r="FFX44" s="1044"/>
      <c r="FFY44" s="1044"/>
      <c r="FFZ44" s="1044"/>
      <c r="FGA44" s="1044"/>
      <c r="FGB44" s="1044"/>
      <c r="FGC44" s="1044"/>
      <c r="FGD44" s="1044"/>
      <c r="FGE44" s="1044"/>
      <c r="FGF44" s="1044"/>
      <c r="FGG44" s="1044"/>
      <c r="FGH44" s="1044"/>
      <c r="FGI44" s="1044"/>
      <c r="FGJ44" s="1044"/>
      <c r="FGK44" s="1044"/>
      <c r="FGL44" s="1044"/>
      <c r="FGM44" s="1044"/>
      <c r="FGN44" s="1044"/>
      <c r="FGO44" s="1044"/>
      <c r="FGP44" s="1044"/>
      <c r="FGQ44" s="1044"/>
      <c r="FGR44" s="1044"/>
      <c r="FGS44" s="1044"/>
      <c r="FGT44" s="1044"/>
      <c r="FGU44" s="1044"/>
      <c r="FGV44" s="1044"/>
      <c r="FGW44" s="1044"/>
      <c r="FGX44" s="1044"/>
      <c r="FGY44" s="1044"/>
      <c r="FGZ44" s="1044"/>
      <c r="FHA44" s="1044"/>
      <c r="FHB44" s="1044"/>
      <c r="FHC44" s="1044"/>
      <c r="FHD44" s="1044"/>
      <c r="FHE44" s="1044"/>
      <c r="FHF44" s="1044"/>
      <c r="FHG44" s="1044"/>
      <c r="FHH44" s="1044"/>
      <c r="FHI44" s="1044"/>
      <c r="FHJ44" s="1044"/>
      <c r="FHK44" s="1044"/>
      <c r="FHL44" s="1044"/>
      <c r="FHM44" s="1044"/>
      <c r="FHN44" s="1044"/>
      <c r="FHO44" s="1044"/>
      <c r="FHP44" s="1044"/>
      <c r="FHQ44" s="1044"/>
      <c r="FHR44" s="1044"/>
      <c r="FHS44" s="1044"/>
      <c r="FHT44" s="1044"/>
      <c r="FHU44" s="1044"/>
      <c r="FHV44" s="1044"/>
      <c r="FHW44" s="1044"/>
      <c r="FHX44" s="1044"/>
      <c r="FHY44" s="1044"/>
      <c r="FHZ44" s="1044"/>
      <c r="FIA44" s="1044"/>
      <c r="FIB44" s="1044"/>
      <c r="FIC44" s="1044"/>
      <c r="FID44" s="1044"/>
      <c r="FIE44" s="1044"/>
      <c r="FIF44" s="1044"/>
      <c r="FIG44" s="1044"/>
      <c r="FIH44" s="1044"/>
      <c r="FII44" s="1044"/>
      <c r="FIJ44" s="1044"/>
      <c r="FIK44" s="1044"/>
      <c r="FIL44" s="1044"/>
      <c r="FIM44" s="1044"/>
      <c r="FIN44" s="1044"/>
      <c r="FIO44" s="1044"/>
      <c r="FIP44" s="1044"/>
      <c r="FIQ44" s="1044"/>
      <c r="FIR44" s="1044"/>
      <c r="FIS44" s="1044"/>
      <c r="FIT44" s="1044"/>
      <c r="FIU44" s="1044"/>
      <c r="FIV44" s="1044"/>
      <c r="FIW44" s="1044"/>
      <c r="FIX44" s="1044"/>
      <c r="FIY44" s="1044"/>
      <c r="FIZ44" s="1044"/>
      <c r="FJA44" s="1044"/>
      <c r="FJB44" s="1044"/>
      <c r="FJC44" s="1044"/>
      <c r="FJD44" s="1044"/>
      <c r="FJE44" s="1044"/>
      <c r="FJF44" s="1044"/>
      <c r="FJG44" s="1044"/>
      <c r="FJH44" s="1044"/>
      <c r="FJI44" s="1044"/>
      <c r="FJJ44" s="1044"/>
      <c r="FJK44" s="1044"/>
      <c r="FJL44" s="1044"/>
      <c r="FJM44" s="1044"/>
      <c r="FJN44" s="1044"/>
      <c r="FJO44" s="1044"/>
      <c r="FJP44" s="1044"/>
      <c r="FJQ44" s="1044"/>
      <c r="FJR44" s="1044"/>
      <c r="FJS44" s="1044"/>
      <c r="FJT44" s="1044"/>
      <c r="FJU44" s="1044"/>
      <c r="FJV44" s="1044"/>
      <c r="FJW44" s="1044"/>
      <c r="FJX44" s="1044"/>
      <c r="FJY44" s="1044"/>
      <c r="FJZ44" s="1044"/>
      <c r="FKA44" s="1044"/>
      <c r="FKB44" s="1044"/>
      <c r="FKC44" s="1044"/>
      <c r="FKD44" s="1044"/>
      <c r="FKE44" s="1044"/>
      <c r="FKF44" s="1044"/>
      <c r="FKG44" s="1044"/>
      <c r="FKH44" s="1044"/>
      <c r="FKI44" s="1044"/>
      <c r="FKJ44" s="1044"/>
      <c r="FKK44" s="1044"/>
      <c r="FKL44" s="1044"/>
      <c r="FKM44" s="1044"/>
      <c r="FKN44" s="1044"/>
      <c r="FKO44" s="1044"/>
      <c r="FKP44" s="1044"/>
      <c r="FKQ44" s="1044"/>
      <c r="FKR44" s="1044"/>
      <c r="FKS44" s="1044"/>
      <c r="FKT44" s="1044"/>
      <c r="FKU44" s="1044"/>
      <c r="FKV44" s="1044"/>
      <c r="FKW44" s="1044"/>
      <c r="FKX44" s="1044"/>
      <c r="FKY44" s="1044"/>
      <c r="FKZ44" s="1044"/>
      <c r="FLA44" s="1044"/>
      <c r="FLB44" s="1044"/>
      <c r="FLC44" s="1044"/>
      <c r="FLD44" s="1044"/>
      <c r="FLE44" s="1044"/>
      <c r="FLF44" s="1044"/>
      <c r="FLG44" s="1044"/>
      <c r="FLH44" s="1044"/>
      <c r="FLI44" s="1044"/>
      <c r="FLJ44" s="1044"/>
      <c r="FLK44" s="1044"/>
      <c r="FLL44" s="1044"/>
      <c r="FLM44" s="1044"/>
      <c r="FLN44" s="1044"/>
      <c r="FLO44" s="1044"/>
      <c r="FLP44" s="1044"/>
      <c r="FLQ44" s="1044"/>
      <c r="FLR44" s="1044"/>
      <c r="FLS44" s="1044"/>
      <c r="FLT44" s="1044"/>
      <c r="FLU44" s="1044"/>
      <c r="FLV44" s="1044"/>
      <c r="FLW44" s="1044"/>
      <c r="FLX44" s="1044"/>
      <c r="FLY44" s="1044"/>
      <c r="FLZ44" s="1044"/>
      <c r="FMA44" s="1044"/>
      <c r="FMB44" s="1044"/>
      <c r="FMC44" s="1044"/>
      <c r="FMD44" s="1044"/>
      <c r="FME44" s="1044"/>
      <c r="FMF44" s="1044"/>
      <c r="FMG44" s="1044"/>
      <c r="FMH44" s="1044"/>
      <c r="FMI44" s="1044"/>
      <c r="FMJ44" s="1044"/>
      <c r="FMK44" s="1044"/>
      <c r="FML44" s="1044"/>
      <c r="FMM44" s="1044"/>
      <c r="FMN44" s="1044"/>
      <c r="FMO44" s="1044"/>
      <c r="FMP44" s="1044"/>
      <c r="FMQ44" s="1044"/>
      <c r="FMR44" s="1044"/>
      <c r="FMS44" s="1044"/>
      <c r="FMT44" s="1044"/>
      <c r="FMU44" s="1044"/>
      <c r="FMV44" s="1044"/>
      <c r="FMW44" s="1044"/>
      <c r="FMX44" s="1044"/>
      <c r="FMY44" s="1044"/>
      <c r="FMZ44" s="1044"/>
      <c r="FNA44" s="1044"/>
      <c r="FNB44" s="1044"/>
      <c r="FNC44" s="1044"/>
      <c r="FND44" s="1044"/>
      <c r="FNE44" s="1044"/>
      <c r="FNF44" s="1044"/>
      <c r="FNG44" s="1044"/>
      <c r="FNH44" s="1044"/>
      <c r="FNI44" s="1044"/>
      <c r="FNJ44" s="1044"/>
      <c r="FNK44" s="1044"/>
      <c r="FNL44" s="1044"/>
      <c r="FNM44" s="1044"/>
      <c r="FNN44" s="1044"/>
      <c r="FNO44" s="1044"/>
      <c r="FNP44" s="1044"/>
      <c r="FNQ44" s="1044"/>
      <c r="FNR44" s="1044"/>
      <c r="FNS44" s="1044"/>
      <c r="FNT44" s="1044"/>
      <c r="FNU44" s="1044"/>
      <c r="FNV44" s="1044"/>
      <c r="FNW44" s="1044"/>
      <c r="FNX44" s="1044"/>
      <c r="FNY44" s="1044"/>
      <c r="FNZ44" s="1044"/>
      <c r="FOA44" s="1044"/>
      <c r="FOB44" s="1044"/>
      <c r="FOC44" s="1044"/>
      <c r="FOD44" s="1044"/>
      <c r="FOE44" s="1044"/>
      <c r="FOF44" s="1044"/>
      <c r="FOG44" s="1044"/>
      <c r="FOH44" s="1044"/>
      <c r="FOI44" s="1044"/>
      <c r="FOJ44" s="1044"/>
      <c r="FOK44" s="1044"/>
      <c r="FOL44" s="1044"/>
      <c r="FOM44" s="1044"/>
      <c r="FON44" s="1044"/>
      <c r="FOO44" s="1044"/>
      <c r="FOP44" s="1044"/>
      <c r="FOQ44" s="1044"/>
      <c r="FOR44" s="1044"/>
      <c r="FOS44" s="1044"/>
      <c r="FOT44" s="1044"/>
      <c r="FOU44" s="1044"/>
      <c r="FOV44" s="1044"/>
      <c r="FOW44" s="1044"/>
      <c r="FOX44" s="1044"/>
      <c r="FOY44" s="1044"/>
      <c r="FOZ44" s="1044"/>
      <c r="FPA44" s="1044"/>
      <c r="FPB44" s="1044"/>
      <c r="FPC44" s="1044"/>
      <c r="FPD44" s="1044"/>
      <c r="FPE44" s="1044"/>
      <c r="FPF44" s="1044"/>
      <c r="FPG44" s="1044"/>
      <c r="FPH44" s="1044"/>
      <c r="FPI44" s="1044"/>
      <c r="FPJ44" s="1044"/>
      <c r="FPK44" s="1044"/>
      <c r="FPL44" s="1044"/>
      <c r="FPM44" s="1044"/>
      <c r="FPN44" s="1044"/>
      <c r="FPO44" s="1044"/>
      <c r="FPP44" s="1044"/>
      <c r="FPQ44" s="1044"/>
      <c r="FPR44" s="1044"/>
      <c r="FPS44" s="1044"/>
      <c r="FPT44" s="1044"/>
      <c r="FPU44" s="1044"/>
      <c r="FPV44" s="1044"/>
      <c r="FPW44" s="1044"/>
      <c r="FPX44" s="1044"/>
      <c r="FPY44" s="1044"/>
      <c r="FPZ44" s="1044"/>
      <c r="FQA44" s="1044"/>
      <c r="FQB44" s="1044"/>
      <c r="FQC44" s="1044"/>
      <c r="FQD44" s="1044"/>
      <c r="FQE44" s="1044"/>
      <c r="FQF44" s="1044"/>
      <c r="FQG44" s="1044"/>
      <c r="FQH44" s="1044"/>
      <c r="FQI44" s="1044"/>
      <c r="FQJ44" s="1044"/>
      <c r="FQK44" s="1044"/>
      <c r="FQL44" s="1044"/>
      <c r="FQM44" s="1044"/>
      <c r="FQN44" s="1044"/>
      <c r="FQO44" s="1044"/>
      <c r="FQP44" s="1044"/>
      <c r="FQQ44" s="1044"/>
      <c r="FQR44" s="1044"/>
      <c r="FQS44" s="1044"/>
      <c r="FQT44" s="1044"/>
      <c r="FQU44" s="1044"/>
      <c r="FQV44" s="1044"/>
      <c r="FQW44" s="1044"/>
      <c r="FQX44" s="1044"/>
      <c r="FQY44" s="1044"/>
      <c r="FQZ44" s="1044"/>
      <c r="FRA44" s="1044"/>
      <c r="FRB44" s="1044"/>
      <c r="FRC44" s="1044"/>
      <c r="FRD44" s="1044"/>
      <c r="FRE44" s="1044"/>
      <c r="FRF44" s="1044"/>
      <c r="FRG44" s="1044"/>
      <c r="FRH44" s="1044"/>
      <c r="FRI44" s="1044"/>
      <c r="FRJ44" s="1044"/>
      <c r="FRK44" s="1044"/>
      <c r="FRL44" s="1044"/>
      <c r="FRM44" s="1044"/>
      <c r="FRN44" s="1044"/>
      <c r="FRO44" s="1044"/>
      <c r="FRP44" s="1044"/>
      <c r="FRQ44" s="1044"/>
      <c r="FRR44" s="1044"/>
      <c r="FRS44" s="1044"/>
      <c r="FRT44" s="1044"/>
      <c r="FRU44" s="1044"/>
      <c r="FRV44" s="1044"/>
      <c r="FRW44" s="1044"/>
      <c r="FRX44" s="1044"/>
      <c r="FRY44" s="1044"/>
      <c r="FRZ44" s="1044"/>
      <c r="FSA44" s="1044"/>
      <c r="FSB44" s="1044"/>
      <c r="FSC44" s="1044"/>
      <c r="FSD44" s="1044"/>
      <c r="FSE44" s="1044"/>
      <c r="FSF44" s="1044"/>
      <c r="FSG44" s="1044"/>
      <c r="FSH44" s="1044"/>
      <c r="FSI44" s="1044"/>
      <c r="FSJ44" s="1044"/>
      <c r="FSK44" s="1044"/>
      <c r="FSL44" s="1044"/>
      <c r="FSM44" s="1044"/>
      <c r="FSN44" s="1044"/>
      <c r="FSO44" s="1044"/>
      <c r="FSP44" s="1044"/>
      <c r="FSQ44" s="1044"/>
      <c r="FSR44" s="1044"/>
      <c r="FSS44" s="1044"/>
      <c r="FST44" s="1044"/>
      <c r="FSU44" s="1044"/>
      <c r="FSV44" s="1044"/>
      <c r="FSW44" s="1044"/>
      <c r="FSX44" s="1044"/>
      <c r="FSY44" s="1044"/>
      <c r="FSZ44" s="1044"/>
      <c r="FTA44" s="1044"/>
      <c r="FTB44" s="1044"/>
      <c r="FTC44" s="1044"/>
      <c r="FTD44" s="1044"/>
      <c r="FTE44" s="1044"/>
      <c r="FTF44" s="1044"/>
      <c r="FTG44" s="1044"/>
      <c r="FTH44" s="1044"/>
      <c r="FTI44" s="1044"/>
      <c r="FTJ44" s="1044"/>
      <c r="FTK44" s="1044"/>
      <c r="FTL44" s="1044"/>
      <c r="FTM44" s="1044"/>
      <c r="FTN44" s="1044"/>
      <c r="FTO44" s="1044"/>
      <c r="FTP44" s="1044"/>
      <c r="FTQ44" s="1044"/>
      <c r="FTR44" s="1044"/>
      <c r="FTS44" s="1044"/>
      <c r="FTT44" s="1044"/>
      <c r="FTU44" s="1044"/>
      <c r="FTV44" s="1044"/>
      <c r="FTW44" s="1044"/>
      <c r="FTX44" s="1044"/>
      <c r="FTY44" s="1044"/>
      <c r="FTZ44" s="1044"/>
      <c r="FUA44" s="1044"/>
      <c r="FUB44" s="1044"/>
      <c r="FUC44" s="1044"/>
      <c r="FUD44" s="1044"/>
      <c r="FUE44" s="1044"/>
      <c r="FUF44" s="1044"/>
      <c r="FUG44" s="1044"/>
      <c r="FUH44" s="1044"/>
      <c r="FUI44" s="1044"/>
      <c r="FUJ44" s="1044"/>
      <c r="FUK44" s="1044"/>
      <c r="FUL44" s="1044"/>
      <c r="FUM44" s="1044"/>
      <c r="FUN44" s="1044"/>
      <c r="FUO44" s="1044"/>
      <c r="FUP44" s="1044"/>
      <c r="FUQ44" s="1044"/>
      <c r="FUR44" s="1044"/>
      <c r="FUS44" s="1044"/>
      <c r="FUT44" s="1044"/>
      <c r="FUU44" s="1044"/>
      <c r="FUV44" s="1044"/>
      <c r="FUW44" s="1044"/>
      <c r="FUX44" s="1044"/>
      <c r="FUY44" s="1044"/>
      <c r="FUZ44" s="1044"/>
      <c r="FVA44" s="1044"/>
      <c r="FVB44" s="1044"/>
      <c r="FVC44" s="1044"/>
      <c r="FVD44" s="1044"/>
      <c r="FVE44" s="1044"/>
      <c r="FVF44" s="1044"/>
      <c r="FVG44" s="1044"/>
      <c r="FVH44" s="1044"/>
      <c r="FVI44" s="1044"/>
      <c r="FVJ44" s="1044"/>
      <c r="FVK44" s="1044"/>
      <c r="FVL44" s="1044"/>
      <c r="FVM44" s="1044"/>
      <c r="FVN44" s="1044"/>
      <c r="FVO44" s="1044"/>
      <c r="FVP44" s="1044"/>
      <c r="FVQ44" s="1044"/>
      <c r="FVR44" s="1044"/>
      <c r="FVS44" s="1044"/>
      <c r="FVT44" s="1044"/>
      <c r="FVU44" s="1044"/>
      <c r="FVV44" s="1044"/>
      <c r="FVW44" s="1044"/>
      <c r="FVX44" s="1044"/>
      <c r="FVY44" s="1044"/>
      <c r="FVZ44" s="1044"/>
      <c r="FWA44" s="1044"/>
      <c r="FWB44" s="1044"/>
      <c r="FWC44" s="1044"/>
      <c r="FWD44" s="1044"/>
      <c r="FWE44" s="1044"/>
      <c r="FWF44" s="1044"/>
      <c r="FWG44" s="1044"/>
      <c r="FWH44" s="1044"/>
      <c r="FWI44" s="1044"/>
      <c r="FWJ44" s="1044"/>
      <c r="FWK44" s="1044"/>
      <c r="FWL44" s="1044"/>
      <c r="FWM44" s="1044"/>
      <c r="FWN44" s="1044"/>
      <c r="FWO44" s="1044"/>
      <c r="FWP44" s="1044"/>
      <c r="FWQ44" s="1044"/>
      <c r="FWR44" s="1044"/>
      <c r="FWS44" s="1044"/>
      <c r="FWT44" s="1044"/>
      <c r="FWU44" s="1044"/>
      <c r="FWV44" s="1044"/>
      <c r="FWW44" s="1044"/>
      <c r="FWX44" s="1044"/>
      <c r="FWY44" s="1044"/>
      <c r="FWZ44" s="1044"/>
      <c r="FXA44" s="1044"/>
      <c r="FXB44" s="1044"/>
      <c r="FXC44" s="1044"/>
      <c r="FXD44" s="1044"/>
      <c r="FXE44" s="1044"/>
      <c r="FXF44" s="1044"/>
      <c r="FXG44" s="1044"/>
      <c r="FXH44" s="1044"/>
      <c r="FXI44" s="1044"/>
      <c r="FXJ44" s="1044"/>
      <c r="FXK44" s="1044"/>
      <c r="FXL44" s="1044"/>
      <c r="FXM44" s="1044"/>
      <c r="FXN44" s="1044"/>
      <c r="FXO44" s="1044"/>
      <c r="FXP44" s="1044"/>
      <c r="FXQ44" s="1044"/>
      <c r="FXR44" s="1044"/>
      <c r="FXS44" s="1044"/>
      <c r="FXT44" s="1044"/>
      <c r="FXU44" s="1044"/>
      <c r="FXV44" s="1044"/>
      <c r="FXW44" s="1044"/>
      <c r="FXX44" s="1044"/>
      <c r="FXY44" s="1044"/>
      <c r="FXZ44" s="1044"/>
      <c r="FYA44" s="1044"/>
      <c r="FYB44" s="1044"/>
      <c r="FYC44" s="1044"/>
      <c r="FYD44" s="1044"/>
      <c r="FYE44" s="1044"/>
      <c r="FYF44" s="1044"/>
      <c r="FYG44" s="1044"/>
      <c r="FYH44" s="1044"/>
      <c r="FYI44" s="1044"/>
      <c r="FYJ44" s="1044"/>
      <c r="FYK44" s="1044"/>
      <c r="FYL44" s="1044"/>
      <c r="FYM44" s="1044"/>
      <c r="FYN44" s="1044"/>
      <c r="FYO44" s="1044"/>
      <c r="FYP44" s="1044"/>
      <c r="FYQ44" s="1044"/>
      <c r="FYR44" s="1044"/>
      <c r="FYS44" s="1044"/>
      <c r="FYT44" s="1044"/>
      <c r="FYU44" s="1044"/>
      <c r="FYV44" s="1044"/>
      <c r="FYW44" s="1044"/>
      <c r="FYX44" s="1044"/>
      <c r="FYY44" s="1044"/>
      <c r="FYZ44" s="1044"/>
      <c r="FZA44" s="1044"/>
      <c r="FZB44" s="1044"/>
      <c r="FZC44" s="1044"/>
      <c r="FZD44" s="1044"/>
      <c r="FZE44" s="1044"/>
      <c r="FZF44" s="1044"/>
      <c r="FZG44" s="1044"/>
      <c r="FZH44" s="1044"/>
      <c r="FZI44" s="1044"/>
      <c r="FZJ44" s="1044"/>
      <c r="FZK44" s="1044"/>
      <c r="FZL44" s="1044"/>
      <c r="FZM44" s="1044"/>
      <c r="FZN44" s="1044"/>
      <c r="FZO44" s="1044"/>
      <c r="FZP44" s="1044"/>
      <c r="FZQ44" s="1044"/>
      <c r="FZR44" s="1044"/>
      <c r="FZS44" s="1044"/>
      <c r="FZT44" s="1044"/>
      <c r="FZU44" s="1044"/>
      <c r="FZV44" s="1044"/>
      <c r="FZW44" s="1044"/>
      <c r="FZX44" s="1044"/>
      <c r="FZY44" s="1044"/>
      <c r="FZZ44" s="1044"/>
      <c r="GAA44" s="1044"/>
      <c r="GAB44" s="1044"/>
      <c r="GAC44" s="1044"/>
      <c r="GAD44" s="1044"/>
      <c r="GAE44" s="1044"/>
      <c r="GAF44" s="1044"/>
      <c r="GAG44" s="1044"/>
      <c r="GAH44" s="1044"/>
      <c r="GAI44" s="1044"/>
      <c r="GAJ44" s="1044"/>
      <c r="GAK44" s="1044"/>
      <c r="GAL44" s="1044"/>
      <c r="GAM44" s="1044"/>
      <c r="GAN44" s="1044"/>
      <c r="GAO44" s="1044"/>
      <c r="GAP44" s="1044"/>
      <c r="GAQ44" s="1044"/>
      <c r="GAR44" s="1044"/>
      <c r="GAS44" s="1044"/>
      <c r="GAT44" s="1044"/>
      <c r="GAU44" s="1044"/>
      <c r="GAV44" s="1044"/>
      <c r="GAW44" s="1044"/>
      <c r="GAX44" s="1044"/>
      <c r="GAY44" s="1044"/>
      <c r="GAZ44" s="1044"/>
      <c r="GBA44" s="1044"/>
      <c r="GBB44" s="1044"/>
      <c r="GBC44" s="1044"/>
      <c r="GBD44" s="1044"/>
      <c r="GBE44" s="1044"/>
      <c r="GBF44" s="1044"/>
      <c r="GBG44" s="1044"/>
      <c r="GBH44" s="1044"/>
      <c r="GBI44" s="1044"/>
      <c r="GBJ44" s="1044"/>
      <c r="GBK44" s="1044"/>
      <c r="GBL44" s="1044"/>
      <c r="GBM44" s="1044"/>
      <c r="GBN44" s="1044"/>
      <c r="GBO44" s="1044"/>
      <c r="GBP44" s="1044"/>
      <c r="GBQ44" s="1044"/>
      <c r="GBR44" s="1044"/>
      <c r="GBS44" s="1044"/>
      <c r="GBT44" s="1044"/>
      <c r="GBU44" s="1044"/>
      <c r="GBV44" s="1044"/>
      <c r="GBW44" s="1044"/>
      <c r="GBX44" s="1044"/>
      <c r="GBY44" s="1044"/>
      <c r="GBZ44" s="1044"/>
      <c r="GCA44" s="1044"/>
      <c r="GCB44" s="1044"/>
      <c r="GCC44" s="1044"/>
      <c r="GCD44" s="1044"/>
      <c r="GCE44" s="1044"/>
      <c r="GCF44" s="1044"/>
      <c r="GCG44" s="1044"/>
      <c r="GCH44" s="1044"/>
      <c r="GCI44" s="1044"/>
      <c r="GCJ44" s="1044"/>
      <c r="GCK44" s="1044"/>
      <c r="GCL44" s="1044"/>
      <c r="GCM44" s="1044"/>
      <c r="GCN44" s="1044"/>
      <c r="GCO44" s="1044"/>
      <c r="GCP44" s="1044"/>
      <c r="GCQ44" s="1044"/>
      <c r="GCR44" s="1044"/>
      <c r="GCS44" s="1044"/>
      <c r="GCT44" s="1044"/>
      <c r="GCU44" s="1044"/>
      <c r="GCV44" s="1044"/>
      <c r="GCW44" s="1044"/>
      <c r="GCX44" s="1044"/>
      <c r="GCY44" s="1044"/>
      <c r="GCZ44" s="1044"/>
      <c r="GDA44" s="1044"/>
      <c r="GDB44" s="1044"/>
      <c r="GDC44" s="1044"/>
      <c r="GDD44" s="1044"/>
      <c r="GDE44" s="1044"/>
      <c r="GDF44" s="1044"/>
      <c r="GDG44" s="1044"/>
      <c r="GDH44" s="1044"/>
      <c r="GDI44" s="1044"/>
      <c r="GDJ44" s="1044"/>
      <c r="GDK44" s="1044"/>
      <c r="GDL44" s="1044"/>
      <c r="GDM44" s="1044"/>
      <c r="GDN44" s="1044"/>
      <c r="GDO44" s="1044"/>
      <c r="GDP44" s="1044"/>
      <c r="GDQ44" s="1044"/>
      <c r="GDR44" s="1044"/>
      <c r="GDS44" s="1044"/>
      <c r="GDT44" s="1044"/>
      <c r="GDU44" s="1044"/>
      <c r="GDV44" s="1044"/>
      <c r="GDW44" s="1044"/>
      <c r="GDX44" s="1044"/>
      <c r="GDY44" s="1044"/>
      <c r="GDZ44" s="1044"/>
      <c r="GEA44" s="1044"/>
      <c r="GEB44" s="1044"/>
      <c r="GEC44" s="1044"/>
      <c r="GED44" s="1044"/>
      <c r="GEE44" s="1044"/>
      <c r="GEF44" s="1044"/>
      <c r="GEG44" s="1044"/>
      <c r="GEH44" s="1044"/>
      <c r="GEI44" s="1044"/>
      <c r="GEJ44" s="1044"/>
      <c r="GEK44" s="1044"/>
      <c r="GEL44" s="1044"/>
      <c r="GEM44" s="1044"/>
      <c r="GEN44" s="1044"/>
      <c r="GEO44" s="1044"/>
      <c r="GEP44" s="1044"/>
      <c r="GEQ44" s="1044"/>
      <c r="GER44" s="1044"/>
      <c r="GES44" s="1044"/>
      <c r="GET44" s="1044"/>
      <c r="GEU44" s="1044"/>
      <c r="GEV44" s="1044"/>
      <c r="GEW44" s="1044"/>
      <c r="GEX44" s="1044"/>
      <c r="GEY44" s="1044"/>
      <c r="GEZ44" s="1044"/>
      <c r="GFA44" s="1044"/>
      <c r="GFB44" s="1044"/>
      <c r="GFC44" s="1044"/>
      <c r="GFD44" s="1044"/>
      <c r="GFE44" s="1044"/>
      <c r="GFF44" s="1044"/>
      <c r="GFG44" s="1044"/>
      <c r="GFH44" s="1044"/>
      <c r="GFI44" s="1044"/>
      <c r="GFJ44" s="1044"/>
      <c r="GFK44" s="1044"/>
      <c r="GFL44" s="1044"/>
      <c r="GFM44" s="1044"/>
      <c r="GFN44" s="1044"/>
      <c r="GFO44" s="1044"/>
      <c r="GFP44" s="1044"/>
      <c r="GFQ44" s="1044"/>
      <c r="GFR44" s="1044"/>
      <c r="GFS44" s="1044"/>
      <c r="GFT44" s="1044"/>
      <c r="GFU44" s="1044"/>
      <c r="GFV44" s="1044"/>
      <c r="GFW44" s="1044"/>
      <c r="GFX44" s="1044"/>
      <c r="GFY44" s="1044"/>
      <c r="GFZ44" s="1044"/>
      <c r="GGA44" s="1044"/>
      <c r="GGB44" s="1044"/>
      <c r="GGC44" s="1044"/>
      <c r="GGD44" s="1044"/>
      <c r="GGE44" s="1044"/>
      <c r="GGF44" s="1044"/>
      <c r="GGG44" s="1044"/>
      <c r="GGH44" s="1044"/>
      <c r="GGI44" s="1044"/>
      <c r="GGJ44" s="1044"/>
      <c r="GGK44" s="1044"/>
      <c r="GGL44" s="1044"/>
      <c r="GGM44" s="1044"/>
      <c r="GGN44" s="1044"/>
      <c r="GGO44" s="1044"/>
      <c r="GGP44" s="1044"/>
      <c r="GGQ44" s="1044"/>
      <c r="GGR44" s="1044"/>
      <c r="GGS44" s="1044"/>
      <c r="GGT44" s="1044"/>
      <c r="GGU44" s="1044"/>
      <c r="GGV44" s="1044"/>
      <c r="GGW44" s="1044"/>
      <c r="GGX44" s="1044"/>
      <c r="GGY44" s="1044"/>
      <c r="GGZ44" s="1044"/>
      <c r="GHA44" s="1044"/>
      <c r="GHB44" s="1044"/>
      <c r="GHC44" s="1044"/>
      <c r="GHD44" s="1044"/>
      <c r="GHE44" s="1044"/>
      <c r="GHF44" s="1044"/>
      <c r="GHG44" s="1044"/>
      <c r="GHH44" s="1044"/>
      <c r="GHI44" s="1044"/>
      <c r="GHJ44" s="1044"/>
      <c r="GHK44" s="1044"/>
      <c r="GHL44" s="1044"/>
      <c r="GHM44" s="1044"/>
      <c r="GHN44" s="1044"/>
      <c r="GHO44" s="1044"/>
      <c r="GHP44" s="1044"/>
      <c r="GHQ44" s="1044"/>
      <c r="GHR44" s="1044"/>
      <c r="GHS44" s="1044"/>
      <c r="GHT44" s="1044"/>
      <c r="GHU44" s="1044"/>
      <c r="GHV44" s="1044"/>
      <c r="GHW44" s="1044"/>
      <c r="GHX44" s="1044"/>
      <c r="GHY44" s="1044"/>
      <c r="GHZ44" s="1044"/>
      <c r="GIA44" s="1044"/>
      <c r="GIB44" s="1044"/>
      <c r="GIC44" s="1044"/>
      <c r="GID44" s="1044"/>
      <c r="GIE44" s="1044"/>
      <c r="GIF44" s="1044"/>
      <c r="GIG44" s="1044"/>
      <c r="GIH44" s="1044"/>
      <c r="GII44" s="1044"/>
      <c r="GIJ44" s="1044"/>
      <c r="GIK44" s="1044"/>
      <c r="GIL44" s="1044"/>
      <c r="GIM44" s="1044"/>
      <c r="GIN44" s="1044"/>
      <c r="GIO44" s="1044"/>
      <c r="GIP44" s="1044"/>
      <c r="GIQ44" s="1044"/>
      <c r="GIR44" s="1044"/>
      <c r="GIS44" s="1044"/>
      <c r="GIT44" s="1044"/>
      <c r="GIU44" s="1044"/>
      <c r="GIV44" s="1044"/>
      <c r="GIW44" s="1044"/>
      <c r="GIX44" s="1044"/>
      <c r="GIY44" s="1044"/>
      <c r="GIZ44" s="1044"/>
      <c r="GJA44" s="1044"/>
      <c r="GJB44" s="1044"/>
      <c r="GJC44" s="1044"/>
      <c r="GJD44" s="1044"/>
      <c r="GJE44" s="1044"/>
      <c r="GJF44" s="1044"/>
      <c r="GJG44" s="1044"/>
      <c r="GJH44" s="1044"/>
      <c r="GJI44" s="1044"/>
      <c r="GJJ44" s="1044"/>
      <c r="GJK44" s="1044"/>
      <c r="GJL44" s="1044"/>
      <c r="GJM44" s="1044"/>
      <c r="GJN44" s="1044"/>
      <c r="GJO44" s="1044"/>
      <c r="GJP44" s="1044"/>
      <c r="GJQ44" s="1044"/>
      <c r="GJR44" s="1044"/>
      <c r="GJS44" s="1044"/>
      <c r="GJT44" s="1044"/>
      <c r="GJU44" s="1044"/>
      <c r="GJV44" s="1044"/>
      <c r="GJW44" s="1044"/>
      <c r="GJX44" s="1044"/>
      <c r="GJY44" s="1044"/>
      <c r="GJZ44" s="1044"/>
      <c r="GKA44" s="1044"/>
      <c r="GKB44" s="1044"/>
      <c r="GKC44" s="1044"/>
      <c r="GKD44" s="1044"/>
      <c r="GKE44" s="1044"/>
      <c r="GKF44" s="1044"/>
      <c r="GKG44" s="1044"/>
      <c r="GKH44" s="1044"/>
      <c r="GKI44" s="1044"/>
      <c r="GKJ44" s="1044"/>
      <c r="GKK44" s="1044"/>
      <c r="GKL44" s="1044"/>
      <c r="GKM44" s="1044"/>
      <c r="GKN44" s="1044"/>
      <c r="GKO44" s="1044"/>
      <c r="GKP44" s="1044"/>
      <c r="GKQ44" s="1044"/>
      <c r="GKR44" s="1044"/>
      <c r="GKS44" s="1044"/>
      <c r="GKT44" s="1044"/>
      <c r="GKU44" s="1044"/>
      <c r="GKV44" s="1044"/>
      <c r="GKW44" s="1044"/>
      <c r="GKX44" s="1044"/>
      <c r="GKY44" s="1044"/>
      <c r="GKZ44" s="1044"/>
      <c r="GLA44" s="1044"/>
      <c r="GLB44" s="1044"/>
      <c r="GLC44" s="1044"/>
      <c r="GLD44" s="1044"/>
      <c r="GLE44" s="1044"/>
      <c r="GLF44" s="1044"/>
      <c r="GLG44" s="1044"/>
      <c r="GLH44" s="1044"/>
      <c r="GLI44" s="1044"/>
      <c r="GLJ44" s="1044"/>
      <c r="GLK44" s="1044"/>
      <c r="GLL44" s="1044"/>
      <c r="GLM44" s="1044"/>
      <c r="GLN44" s="1044"/>
      <c r="GLO44" s="1044"/>
      <c r="GLP44" s="1044"/>
      <c r="GLQ44" s="1044"/>
      <c r="GLR44" s="1044"/>
      <c r="GLS44" s="1044"/>
      <c r="GLT44" s="1044"/>
      <c r="GLU44" s="1044"/>
      <c r="GLV44" s="1044"/>
      <c r="GLW44" s="1044"/>
      <c r="GLX44" s="1044"/>
      <c r="GLY44" s="1044"/>
      <c r="GLZ44" s="1044"/>
      <c r="GMA44" s="1044"/>
      <c r="GMB44" s="1044"/>
      <c r="GMC44" s="1044"/>
      <c r="GMD44" s="1044"/>
      <c r="GME44" s="1044"/>
      <c r="GMF44" s="1044"/>
      <c r="GMG44" s="1044"/>
      <c r="GMH44" s="1044"/>
      <c r="GMI44" s="1044"/>
      <c r="GMJ44" s="1044"/>
      <c r="GMK44" s="1044"/>
      <c r="GML44" s="1044"/>
      <c r="GMM44" s="1044"/>
      <c r="GMN44" s="1044"/>
      <c r="GMO44" s="1044"/>
      <c r="GMP44" s="1044"/>
      <c r="GMQ44" s="1044"/>
      <c r="GMR44" s="1044"/>
      <c r="GMS44" s="1044"/>
      <c r="GMT44" s="1044"/>
      <c r="GMU44" s="1044"/>
      <c r="GMV44" s="1044"/>
      <c r="GMW44" s="1044"/>
      <c r="GMX44" s="1044"/>
      <c r="GMY44" s="1044"/>
      <c r="GMZ44" s="1044"/>
      <c r="GNA44" s="1044"/>
      <c r="GNB44" s="1044"/>
      <c r="GNC44" s="1044"/>
      <c r="GND44" s="1044"/>
      <c r="GNE44" s="1044"/>
      <c r="GNF44" s="1044"/>
      <c r="GNG44" s="1044"/>
      <c r="GNH44" s="1044"/>
      <c r="GNI44" s="1044"/>
      <c r="GNJ44" s="1044"/>
      <c r="GNK44" s="1044"/>
      <c r="GNL44" s="1044"/>
      <c r="GNM44" s="1044"/>
      <c r="GNN44" s="1044"/>
      <c r="GNO44" s="1044"/>
      <c r="GNP44" s="1044"/>
      <c r="GNQ44" s="1044"/>
      <c r="GNR44" s="1044"/>
      <c r="GNS44" s="1044"/>
      <c r="GNT44" s="1044"/>
      <c r="GNU44" s="1044"/>
      <c r="GNV44" s="1044"/>
      <c r="GNW44" s="1044"/>
      <c r="GNX44" s="1044"/>
      <c r="GNY44" s="1044"/>
      <c r="GNZ44" s="1044"/>
      <c r="GOA44" s="1044"/>
      <c r="GOB44" s="1044"/>
      <c r="GOC44" s="1044"/>
      <c r="GOD44" s="1044"/>
      <c r="GOE44" s="1044"/>
      <c r="GOF44" s="1044"/>
      <c r="GOG44" s="1044"/>
      <c r="GOH44" s="1044"/>
      <c r="GOI44" s="1044"/>
      <c r="GOJ44" s="1044"/>
      <c r="GOK44" s="1044"/>
      <c r="GOL44" s="1044"/>
      <c r="GOM44" s="1044"/>
      <c r="GON44" s="1044"/>
      <c r="GOO44" s="1044"/>
      <c r="GOP44" s="1044"/>
      <c r="GOQ44" s="1044"/>
      <c r="GOR44" s="1044"/>
      <c r="GOS44" s="1044"/>
      <c r="GOT44" s="1044"/>
      <c r="GOU44" s="1044"/>
      <c r="GOV44" s="1044"/>
      <c r="GOW44" s="1044"/>
      <c r="GOX44" s="1044"/>
      <c r="GOY44" s="1044"/>
      <c r="GOZ44" s="1044"/>
      <c r="GPA44" s="1044"/>
      <c r="GPB44" s="1044"/>
      <c r="GPC44" s="1044"/>
      <c r="GPD44" s="1044"/>
      <c r="GPE44" s="1044"/>
      <c r="GPF44" s="1044"/>
      <c r="GPG44" s="1044"/>
      <c r="GPH44" s="1044"/>
      <c r="GPI44" s="1044"/>
      <c r="GPJ44" s="1044"/>
      <c r="GPK44" s="1044"/>
      <c r="GPL44" s="1044"/>
      <c r="GPM44" s="1044"/>
      <c r="GPN44" s="1044"/>
      <c r="GPO44" s="1044"/>
      <c r="GPP44" s="1044"/>
      <c r="GPQ44" s="1044"/>
      <c r="GPR44" s="1044"/>
      <c r="GPS44" s="1044"/>
      <c r="GPT44" s="1044"/>
      <c r="GPU44" s="1044"/>
      <c r="GPV44" s="1044"/>
      <c r="GPW44" s="1044"/>
      <c r="GPX44" s="1044"/>
      <c r="GPY44" s="1044"/>
      <c r="GPZ44" s="1044"/>
      <c r="GQA44" s="1044"/>
      <c r="GQB44" s="1044"/>
      <c r="GQC44" s="1044"/>
      <c r="GQD44" s="1044"/>
      <c r="GQE44" s="1044"/>
      <c r="GQF44" s="1044"/>
      <c r="GQG44" s="1044"/>
      <c r="GQH44" s="1044"/>
      <c r="GQI44" s="1044"/>
      <c r="GQJ44" s="1044"/>
      <c r="GQK44" s="1044"/>
      <c r="GQL44" s="1044"/>
      <c r="GQM44" s="1044"/>
      <c r="GQN44" s="1044"/>
      <c r="GQO44" s="1044"/>
      <c r="GQP44" s="1044"/>
      <c r="GQQ44" s="1044"/>
      <c r="GQR44" s="1044"/>
      <c r="GQS44" s="1044"/>
      <c r="GQT44" s="1044"/>
      <c r="GQU44" s="1044"/>
      <c r="GQV44" s="1044"/>
      <c r="GQW44" s="1044"/>
      <c r="GQX44" s="1044"/>
      <c r="GQY44" s="1044"/>
      <c r="GQZ44" s="1044"/>
      <c r="GRA44" s="1044"/>
      <c r="GRB44" s="1044"/>
      <c r="GRC44" s="1044"/>
      <c r="GRD44" s="1044"/>
      <c r="GRE44" s="1044"/>
      <c r="GRF44" s="1044"/>
      <c r="GRG44" s="1044"/>
      <c r="GRH44" s="1044"/>
      <c r="GRI44" s="1044"/>
      <c r="GRJ44" s="1044"/>
      <c r="GRK44" s="1044"/>
      <c r="GRL44" s="1044"/>
      <c r="GRM44" s="1044"/>
      <c r="GRN44" s="1044"/>
      <c r="GRO44" s="1044"/>
      <c r="GRP44" s="1044"/>
      <c r="GRQ44" s="1044"/>
      <c r="GRR44" s="1044"/>
      <c r="GRS44" s="1044"/>
      <c r="GRT44" s="1044"/>
      <c r="GRU44" s="1044"/>
      <c r="GRV44" s="1044"/>
      <c r="GRW44" s="1044"/>
      <c r="GRX44" s="1044"/>
      <c r="GRY44" s="1044"/>
      <c r="GRZ44" s="1044"/>
      <c r="GSA44" s="1044"/>
      <c r="GSB44" s="1044"/>
      <c r="GSC44" s="1044"/>
      <c r="GSD44" s="1044"/>
      <c r="GSE44" s="1044"/>
      <c r="GSF44" s="1044"/>
      <c r="GSG44" s="1044"/>
      <c r="GSH44" s="1044"/>
      <c r="GSI44" s="1044"/>
      <c r="GSJ44" s="1044"/>
      <c r="GSK44" s="1044"/>
      <c r="GSL44" s="1044"/>
      <c r="GSM44" s="1044"/>
      <c r="GSN44" s="1044"/>
      <c r="GSO44" s="1044"/>
      <c r="GSP44" s="1044"/>
      <c r="GSQ44" s="1044"/>
      <c r="GSR44" s="1044"/>
      <c r="GSS44" s="1044"/>
      <c r="GST44" s="1044"/>
      <c r="GSU44" s="1044"/>
      <c r="GSV44" s="1044"/>
      <c r="GSW44" s="1044"/>
      <c r="GSX44" s="1044"/>
      <c r="GSY44" s="1044"/>
      <c r="GSZ44" s="1044"/>
      <c r="GTA44" s="1044"/>
      <c r="GTB44" s="1044"/>
      <c r="GTC44" s="1044"/>
      <c r="GTD44" s="1044"/>
      <c r="GTE44" s="1044"/>
      <c r="GTF44" s="1044"/>
      <c r="GTG44" s="1044"/>
      <c r="GTH44" s="1044"/>
      <c r="GTI44" s="1044"/>
      <c r="GTJ44" s="1044"/>
      <c r="GTK44" s="1044"/>
      <c r="GTL44" s="1044"/>
      <c r="GTM44" s="1044"/>
      <c r="GTN44" s="1044"/>
      <c r="GTO44" s="1044"/>
      <c r="GTP44" s="1044"/>
      <c r="GTQ44" s="1044"/>
      <c r="GTR44" s="1044"/>
      <c r="GTS44" s="1044"/>
      <c r="GTT44" s="1044"/>
      <c r="GTU44" s="1044"/>
      <c r="GTV44" s="1044"/>
      <c r="GTW44" s="1044"/>
      <c r="GTX44" s="1044"/>
      <c r="GTY44" s="1044"/>
      <c r="GTZ44" s="1044"/>
      <c r="GUA44" s="1044"/>
      <c r="GUB44" s="1044"/>
      <c r="GUC44" s="1044"/>
      <c r="GUD44" s="1044"/>
      <c r="GUE44" s="1044"/>
      <c r="GUF44" s="1044"/>
      <c r="GUG44" s="1044"/>
      <c r="GUH44" s="1044"/>
      <c r="GUI44" s="1044"/>
      <c r="GUJ44" s="1044"/>
      <c r="GUK44" s="1044"/>
      <c r="GUL44" s="1044"/>
      <c r="GUM44" s="1044"/>
      <c r="GUN44" s="1044"/>
      <c r="GUO44" s="1044"/>
      <c r="GUP44" s="1044"/>
      <c r="GUQ44" s="1044"/>
      <c r="GUR44" s="1044"/>
      <c r="GUS44" s="1044"/>
      <c r="GUT44" s="1044"/>
      <c r="GUU44" s="1044"/>
      <c r="GUV44" s="1044"/>
      <c r="GUW44" s="1044"/>
      <c r="GUX44" s="1044"/>
      <c r="GUY44" s="1044"/>
      <c r="GUZ44" s="1044"/>
      <c r="GVA44" s="1044"/>
      <c r="GVB44" s="1044"/>
      <c r="GVC44" s="1044"/>
      <c r="GVD44" s="1044"/>
      <c r="GVE44" s="1044"/>
      <c r="GVF44" s="1044"/>
      <c r="GVG44" s="1044"/>
      <c r="GVH44" s="1044"/>
      <c r="GVI44" s="1044"/>
      <c r="GVJ44" s="1044"/>
      <c r="GVK44" s="1044"/>
      <c r="GVL44" s="1044"/>
      <c r="GVM44" s="1044"/>
      <c r="GVN44" s="1044"/>
      <c r="GVO44" s="1044"/>
      <c r="GVP44" s="1044"/>
      <c r="GVQ44" s="1044"/>
      <c r="GVR44" s="1044"/>
      <c r="GVS44" s="1044"/>
      <c r="GVT44" s="1044"/>
      <c r="GVU44" s="1044"/>
      <c r="GVV44" s="1044"/>
      <c r="GVW44" s="1044"/>
      <c r="GVX44" s="1044"/>
      <c r="GVY44" s="1044"/>
      <c r="GVZ44" s="1044"/>
      <c r="GWA44" s="1044"/>
      <c r="GWB44" s="1044"/>
      <c r="GWC44" s="1044"/>
      <c r="GWD44" s="1044"/>
      <c r="GWE44" s="1044"/>
      <c r="GWF44" s="1044"/>
      <c r="GWG44" s="1044"/>
      <c r="GWH44" s="1044"/>
      <c r="GWI44" s="1044"/>
      <c r="GWJ44" s="1044"/>
      <c r="GWK44" s="1044"/>
      <c r="GWL44" s="1044"/>
      <c r="GWM44" s="1044"/>
      <c r="GWN44" s="1044"/>
      <c r="GWO44" s="1044"/>
      <c r="GWP44" s="1044"/>
      <c r="GWQ44" s="1044"/>
      <c r="GWR44" s="1044"/>
      <c r="GWS44" s="1044"/>
      <c r="GWT44" s="1044"/>
      <c r="GWU44" s="1044"/>
      <c r="GWV44" s="1044"/>
      <c r="GWW44" s="1044"/>
      <c r="GWX44" s="1044"/>
      <c r="GWY44" s="1044"/>
      <c r="GWZ44" s="1044"/>
      <c r="GXA44" s="1044"/>
      <c r="GXB44" s="1044"/>
      <c r="GXC44" s="1044"/>
      <c r="GXD44" s="1044"/>
      <c r="GXE44" s="1044"/>
      <c r="GXF44" s="1044"/>
      <c r="GXG44" s="1044"/>
      <c r="GXH44" s="1044"/>
      <c r="GXI44" s="1044"/>
      <c r="GXJ44" s="1044"/>
      <c r="GXK44" s="1044"/>
      <c r="GXL44" s="1044"/>
      <c r="GXM44" s="1044"/>
      <c r="GXN44" s="1044"/>
      <c r="GXO44" s="1044"/>
      <c r="GXP44" s="1044"/>
      <c r="GXQ44" s="1044"/>
      <c r="GXR44" s="1044"/>
      <c r="GXS44" s="1044"/>
      <c r="GXT44" s="1044"/>
      <c r="GXU44" s="1044"/>
      <c r="GXV44" s="1044"/>
      <c r="GXW44" s="1044"/>
      <c r="GXX44" s="1044"/>
      <c r="GXY44" s="1044"/>
      <c r="GXZ44" s="1044"/>
      <c r="GYA44" s="1044"/>
      <c r="GYB44" s="1044"/>
      <c r="GYC44" s="1044"/>
      <c r="GYD44" s="1044"/>
      <c r="GYE44" s="1044"/>
      <c r="GYF44" s="1044"/>
      <c r="GYG44" s="1044"/>
      <c r="GYH44" s="1044"/>
      <c r="GYI44" s="1044"/>
      <c r="GYJ44" s="1044"/>
      <c r="GYK44" s="1044"/>
      <c r="GYL44" s="1044"/>
      <c r="GYM44" s="1044"/>
      <c r="GYN44" s="1044"/>
      <c r="GYO44" s="1044"/>
      <c r="GYP44" s="1044"/>
      <c r="GYQ44" s="1044"/>
      <c r="GYR44" s="1044"/>
      <c r="GYS44" s="1044"/>
      <c r="GYT44" s="1044"/>
      <c r="GYU44" s="1044"/>
      <c r="GYV44" s="1044"/>
      <c r="GYW44" s="1044"/>
      <c r="GYX44" s="1044"/>
      <c r="GYY44" s="1044"/>
      <c r="GYZ44" s="1044"/>
      <c r="GZA44" s="1044"/>
      <c r="GZB44" s="1044"/>
      <c r="GZC44" s="1044"/>
      <c r="GZD44" s="1044"/>
      <c r="GZE44" s="1044"/>
      <c r="GZF44" s="1044"/>
      <c r="GZG44" s="1044"/>
      <c r="GZH44" s="1044"/>
      <c r="GZI44" s="1044"/>
      <c r="GZJ44" s="1044"/>
      <c r="GZK44" s="1044"/>
      <c r="GZL44" s="1044"/>
      <c r="GZM44" s="1044"/>
      <c r="GZN44" s="1044"/>
      <c r="GZO44" s="1044"/>
      <c r="GZP44" s="1044"/>
      <c r="GZQ44" s="1044"/>
      <c r="GZR44" s="1044"/>
      <c r="GZS44" s="1044"/>
      <c r="GZT44" s="1044"/>
      <c r="GZU44" s="1044"/>
      <c r="GZV44" s="1044"/>
      <c r="GZW44" s="1044"/>
      <c r="GZX44" s="1044"/>
      <c r="GZY44" s="1044"/>
      <c r="GZZ44" s="1044"/>
      <c r="HAA44" s="1044"/>
      <c r="HAB44" s="1044"/>
      <c r="HAC44" s="1044"/>
      <c r="HAD44" s="1044"/>
      <c r="HAE44" s="1044"/>
      <c r="HAF44" s="1044"/>
      <c r="HAG44" s="1044"/>
      <c r="HAH44" s="1044"/>
      <c r="HAI44" s="1044"/>
      <c r="HAJ44" s="1044"/>
      <c r="HAK44" s="1044"/>
      <c r="HAL44" s="1044"/>
      <c r="HAM44" s="1044"/>
      <c r="HAN44" s="1044"/>
      <c r="HAO44" s="1044"/>
      <c r="HAP44" s="1044"/>
      <c r="HAQ44" s="1044"/>
      <c r="HAR44" s="1044"/>
      <c r="HAS44" s="1044"/>
      <c r="HAT44" s="1044"/>
      <c r="HAU44" s="1044"/>
      <c r="HAV44" s="1044"/>
      <c r="HAW44" s="1044"/>
      <c r="HAX44" s="1044"/>
      <c r="HAY44" s="1044"/>
      <c r="HAZ44" s="1044"/>
      <c r="HBA44" s="1044"/>
      <c r="HBB44" s="1044"/>
      <c r="HBC44" s="1044"/>
      <c r="HBD44" s="1044"/>
      <c r="HBE44" s="1044"/>
      <c r="HBF44" s="1044"/>
      <c r="HBG44" s="1044"/>
      <c r="HBH44" s="1044"/>
      <c r="HBI44" s="1044"/>
      <c r="HBJ44" s="1044"/>
      <c r="HBK44" s="1044"/>
      <c r="HBL44" s="1044"/>
      <c r="HBM44" s="1044"/>
      <c r="HBN44" s="1044"/>
      <c r="HBO44" s="1044"/>
      <c r="HBP44" s="1044"/>
      <c r="HBQ44" s="1044"/>
      <c r="HBR44" s="1044"/>
      <c r="HBS44" s="1044"/>
      <c r="HBT44" s="1044"/>
      <c r="HBU44" s="1044"/>
      <c r="HBV44" s="1044"/>
      <c r="HBW44" s="1044"/>
      <c r="HBX44" s="1044"/>
      <c r="HBY44" s="1044"/>
      <c r="HBZ44" s="1044"/>
      <c r="HCA44" s="1044"/>
      <c r="HCB44" s="1044"/>
      <c r="HCC44" s="1044"/>
      <c r="HCD44" s="1044"/>
      <c r="HCE44" s="1044"/>
      <c r="HCF44" s="1044"/>
      <c r="HCG44" s="1044"/>
      <c r="HCH44" s="1044"/>
      <c r="HCI44" s="1044"/>
      <c r="HCJ44" s="1044"/>
      <c r="HCK44" s="1044"/>
      <c r="HCL44" s="1044"/>
      <c r="HCM44" s="1044"/>
      <c r="HCN44" s="1044"/>
      <c r="HCO44" s="1044"/>
      <c r="HCP44" s="1044"/>
      <c r="HCQ44" s="1044"/>
      <c r="HCR44" s="1044"/>
      <c r="HCS44" s="1044"/>
      <c r="HCT44" s="1044"/>
      <c r="HCU44" s="1044"/>
      <c r="HCV44" s="1044"/>
      <c r="HCW44" s="1044"/>
      <c r="HCX44" s="1044"/>
      <c r="HCY44" s="1044"/>
      <c r="HCZ44" s="1044"/>
      <c r="HDA44" s="1044"/>
      <c r="HDB44" s="1044"/>
      <c r="HDC44" s="1044"/>
      <c r="HDD44" s="1044"/>
      <c r="HDE44" s="1044"/>
      <c r="HDF44" s="1044"/>
      <c r="HDG44" s="1044"/>
      <c r="HDH44" s="1044"/>
      <c r="HDI44" s="1044"/>
      <c r="HDJ44" s="1044"/>
      <c r="HDK44" s="1044"/>
      <c r="HDL44" s="1044"/>
      <c r="HDM44" s="1044"/>
      <c r="HDN44" s="1044"/>
      <c r="HDO44" s="1044"/>
      <c r="HDP44" s="1044"/>
      <c r="HDQ44" s="1044"/>
      <c r="HDR44" s="1044"/>
      <c r="HDS44" s="1044"/>
      <c r="HDT44" s="1044"/>
      <c r="HDU44" s="1044"/>
      <c r="HDV44" s="1044"/>
      <c r="HDW44" s="1044"/>
      <c r="HDX44" s="1044"/>
      <c r="HDY44" s="1044"/>
      <c r="HDZ44" s="1044"/>
      <c r="HEA44" s="1044"/>
      <c r="HEB44" s="1044"/>
      <c r="HEC44" s="1044"/>
      <c r="HED44" s="1044"/>
      <c r="HEE44" s="1044"/>
      <c r="HEF44" s="1044"/>
      <c r="HEG44" s="1044"/>
      <c r="HEH44" s="1044"/>
      <c r="HEI44" s="1044"/>
      <c r="HEJ44" s="1044"/>
      <c r="HEK44" s="1044"/>
      <c r="HEL44" s="1044"/>
      <c r="HEM44" s="1044"/>
      <c r="HEN44" s="1044"/>
      <c r="HEO44" s="1044"/>
      <c r="HEP44" s="1044"/>
      <c r="HEQ44" s="1044"/>
      <c r="HER44" s="1044"/>
      <c r="HES44" s="1044"/>
      <c r="HET44" s="1044"/>
      <c r="HEU44" s="1044"/>
      <c r="HEV44" s="1044"/>
      <c r="HEW44" s="1044"/>
      <c r="HEX44" s="1044"/>
      <c r="HEY44" s="1044"/>
      <c r="HEZ44" s="1044"/>
      <c r="HFA44" s="1044"/>
      <c r="HFB44" s="1044"/>
      <c r="HFC44" s="1044"/>
      <c r="HFD44" s="1044"/>
      <c r="HFE44" s="1044"/>
      <c r="HFF44" s="1044"/>
      <c r="HFG44" s="1044"/>
      <c r="HFH44" s="1044"/>
      <c r="HFI44" s="1044"/>
      <c r="HFJ44" s="1044"/>
      <c r="HFK44" s="1044"/>
      <c r="HFL44" s="1044"/>
      <c r="HFM44" s="1044"/>
      <c r="HFN44" s="1044"/>
      <c r="HFO44" s="1044"/>
      <c r="HFP44" s="1044"/>
      <c r="HFQ44" s="1044"/>
      <c r="HFR44" s="1044"/>
      <c r="HFS44" s="1044"/>
      <c r="HFT44" s="1044"/>
      <c r="HFU44" s="1044"/>
      <c r="HFV44" s="1044"/>
      <c r="HFW44" s="1044"/>
      <c r="HFX44" s="1044"/>
      <c r="HFY44" s="1044"/>
      <c r="HFZ44" s="1044"/>
      <c r="HGA44" s="1044"/>
      <c r="HGB44" s="1044"/>
      <c r="HGC44" s="1044"/>
      <c r="HGD44" s="1044"/>
      <c r="HGE44" s="1044"/>
      <c r="HGF44" s="1044"/>
      <c r="HGG44" s="1044"/>
      <c r="HGH44" s="1044"/>
      <c r="HGI44" s="1044"/>
      <c r="HGJ44" s="1044"/>
      <c r="HGK44" s="1044"/>
      <c r="HGL44" s="1044"/>
      <c r="HGM44" s="1044"/>
      <c r="HGN44" s="1044"/>
      <c r="HGO44" s="1044"/>
      <c r="HGP44" s="1044"/>
      <c r="HGQ44" s="1044"/>
      <c r="HGR44" s="1044"/>
      <c r="HGS44" s="1044"/>
      <c r="HGT44" s="1044"/>
      <c r="HGU44" s="1044"/>
      <c r="HGV44" s="1044"/>
      <c r="HGW44" s="1044"/>
      <c r="HGX44" s="1044"/>
      <c r="HGY44" s="1044"/>
      <c r="HGZ44" s="1044"/>
      <c r="HHA44" s="1044"/>
      <c r="HHB44" s="1044"/>
      <c r="HHC44" s="1044"/>
      <c r="HHD44" s="1044"/>
      <c r="HHE44" s="1044"/>
      <c r="HHF44" s="1044"/>
      <c r="HHG44" s="1044"/>
      <c r="HHH44" s="1044"/>
      <c r="HHI44" s="1044"/>
      <c r="HHJ44" s="1044"/>
      <c r="HHK44" s="1044"/>
      <c r="HHL44" s="1044"/>
      <c r="HHM44" s="1044"/>
      <c r="HHN44" s="1044"/>
      <c r="HHO44" s="1044"/>
      <c r="HHP44" s="1044"/>
      <c r="HHQ44" s="1044"/>
      <c r="HHR44" s="1044"/>
      <c r="HHS44" s="1044"/>
      <c r="HHT44" s="1044"/>
      <c r="HHU44" s="1044"/>
      <c r="HHV44" s="1044"/>
      <c r="HHW44" s="1044"/>
      <c r="HHX44" s="1044"/>
      <c r="HHY44" s="1044"/>
      <c r="HHZ44" s="1044"/>
      <c r="HIA44" s="1044"/>
      <c r="HIB44" s="1044"/>
      <c r="HIC44" s="1044"/>
      <c r="HID44" s="1044"/>
      <c r="HIE44" s="1044"/>
      <c r="HIF44" s="1044"/>
      <c r="HIG44" s="1044"/>
      <c r="HIH44" s="1044"/>
      <c r="HII44" s="1044"/>
      <c r="HIJ44" s="1044"/>
      <c r="HIK44" s="1044"/>
      <c r="HIL44" s="1044"/>
      <c r="HIM44" s="1044"/>
      <c r="HIN44" s="1044"/>
      <c r="HIO44" s="1044"/>
      <c r="HIP44" s="1044"/>
      <c r="HIQ44" s="1044"/>
      <c r="HIR44" s="1044"/>
      <c r="HIS44" s="1044"/>
      <c r="HIT44" s="1044"/>
      <c r="HIU44" s="1044"/>
      <c r="HIV44" s="1044"/>
      <c r="HIW44" s="1044"/>
      <c r="HIX44" s="1044"/>
      <c r="HIY44" s="1044"/>
      <c r="HIZ44" s="1044"/>
      <c r="HJA44" s="1044"/>
      <c r="HJB44" s="1044"/>
      <c r="HJC44" s="1044"/>
      <c r="HJD44" s="1044"/>
      <c r="HJE44" s="1044"/>
      <c r="HJF44" s="1044"/>
      <c r="HJG44" s="1044"/>
      <c r="HJH44" s="1044"/>
      <c r="HJI44" s="1044"/>
      <c r="HJJ44" s="1044"/>
      <c r="HJK44" s="1044"/>
      <c r="HJL44" s="1044"/>
      <c r="HJM44" s="1044"/>
      <c r="HJN44" s="1044"/>
      <c r="HJO44" s="1044"/>
      <c r="HJP44" s="1044"/>
      <c r="HJQ44" s="1044"/>
      <c r="HJR44" s="1044"/>
      <c r="HJS44" s="1044"/>
      <c r="HJT44" s="1044"/>
      <c r="HJU44" s="1044"/>
      <c r="HJV44" s="1044"/>
      <c r="HJW44" s="1044"/>
      <c r="HJX44" s="1044"/>
      <c r="HJY44" s="1044"/>
      <c r="HJZ44" s="1044"/>
      <c r="HKA44" s="1044"/>
      <c r="HKB44" s="1044"/>
      <c r="HKC44" s="1044"/>
      <c r="HKD44" s="1044"/>
      <c r="HKE44" s="1044"/>
      <c r="HKF44" s="1044"/>
      <c r="HKG44" s="1044"/>
      <c r="HKH44" s="1044"/>
      <c r="HKI44" s="1044"/>
      <c r="HKJ44" s="1044"/>
      <c r="HKK44" s="1044"/>
      <c r="HKL44" s="1044"/>
      <c r="HKM44" s="1044"/>
      <c r="HKN44" s="1044"/>
      <c r="HKO44" s="1044"/>
      <c r="HKP44" s="1044"/>
      <c r="HKQ44" s="1044"/>
      <c r="HKR44" s="1044"/>
      <c r="HKS44" s="1044"/>
      <c r="HKT44" s="1044"/>
      <c r="HKU44" s="1044"/>
      <c r="HKV44" s="1044"/>
      <c r="HKW44" s="1044"/>
      <c r="HKX44" s="1044"/>
      <c r="HKY44" s="1044"/>
      <c r="HKZ44" s="1044"/>
      <c r="HLA44" s="1044"/>
      <c r="HLB44" s="1044"/>
      <c r="HLC44" s="1044"/>
      <c r="HLD44" s="1044"/>
      <c r="HLE44" s="1044"/>
      <c r="HLF44" s="1044"/>
      <c r="HLG44" s="1044"/>
      <c r="HLH44" s="1044"/>
      <c r="HLI44" s="1044"/>
      <c r="HLJ44" s="1044"/>
      <c r="HLK44" s="1044"/>
      <c r="HLL44" s="1044"/>
      <c r="HLM44" s="1044"/>
      <c r="HLN44" s="1044"/>
      <c r="HLO44" s="1044"/>
      <c r="HLP44" s="1044"/>
      <c r="HLQ44" s="1044"/>
      <c r="HLR44" s="1044"/>
      <c r="HLS44" s="1044"/>
      <c r="HLT44" s="1044"/>
      <c r="HLU44" s="1044"/>
      <c r="HLV44" s="1044"/>
      <c r="HLW44" s="1044"/>
      <c r="HLX44" s="1044"/>
      <c r="HLY44" s="1044"/>
      <c r="HLZ44" s="1044"/>
      <c r="HMA44" s="1044"/>
      <c r="HMB44" s="1044"/>
      <c r="HMC44" s="1044"/>
      <c r="HMD44" s="1044"/>
      <c r="HME44" s="1044"/>
      <c r="HMF44" s="1044"/>
      <c r="HMG44" s="1044"/>
      <c r="HMH44" s="1044"/>
      <c r="HMI44" s="1044"/>
      <c r="HMJ44" s="1044"/>
      <c r="HMK44" s="1044"/>
      <c r="HML44" s="1044"/>
      <c r="HMM44" s="1044"/>
      <c r="HMN44" s="1044"/>
      <c r="HMO44" s="1044"/>
      <c r="HMP44" s="1044"/>
      <c r="HMQ44" s="1044"/>
      <c r="HMR44" s="1044"/>
      <c r="HMS44" s="1044"/>
      <c r="HMT44" s="1044"/>
      <c r="HMU44" s="1044"/>
      <c r="HMV44" s="1044"/>
      <c r="HMW44" s="1044"/>
      <c r="HMX44" s="1044"/>
      <c r="HMY44" s="1044"/>
      <c r="HMZ44" s="1044"/>
      <c r="HNA44" s="1044"/>
      <c r="HNB44" s="1044"/>
      <c r="HNC44" s="1044"/>
      <c r="HND44" s="1044"/>
      <c r="HNE44" s="1044"/>
      <c r="HNF44" s="1044"/>
      <c r="HNG44" s="1044"/>
      <c r="HNH44" s="1044"/>
      <c r="HNI44" s="1044"/>
      <c r="HNJ44" s="1044"/>
      <c r="HNK44" s="1044"/>
      <c r="HNL44" s="1044"/>
      <c r="HNM44" s="1044"/>
      <c r="HNN44" s="1044"/>
      <c r="HNO44" s="1044"/>
      <c r="HNP44" s="1044"/>
      <c r="HNQ44" s="1044"/>
      <c r="HNR44" s="1044"/>
      <c r="HNS44" s="1044"/>
      <c r="HNT44" s="1044"/>
      <c r="HNU44" s="1044"/>
      <c r="HNV44" s="1044"/>
      <c r="HNW44" s="1044"/>
      <c r="HNX44" s="1044"/>
      <c r="HNY44" s="1044"/>
      <c r="HNZ44" s="1044"/>
      <c r="HOA44" s="1044"/>
      <c r="HOB44" s="1044"/>
      <c r="HOC44" s="1044"/>
      <c r="HOD44" s="1044"/>
      <c r="HOE44" s="1044"/>
      <c r="HOF44" s="1044"/>
      <c r="HOG44" s="1044"/>
      <c r="HOH44" s="1044"/>
      <c r="HOI44" s="1044"/>
      <c r="HOJ44" s="1044"/>
      <c r="HOK44" s="1044"/>
      <c r="HOL44" s="1044"/>
      <c r="HOM44" s="1044"/>
      <c r="HON44" s="1044"/>
      <c r="HOO44" s="1044"/>
      <c r="HOP44" s="1044"/>
      <c r="HOQ44" s="1044"/>
      <c r="HOR44" s="1044"/>
      <c r="HOS44" s="1044"/>
      <c r="HOT44" s="1044"/>
      <c r="HOU44" s="1044"/>
      <c r="HOV44" s="1044"/>
      <c r="HOW44" s="1044"/>
      <c r="HOX44" s="1044"/>
      <c r="HOY44" s="1044"/>
      <c r="HOZ44" s="1044"/>
      <c r="HPA44" s="1044"/>
      <c r="HPB44" s="1044"/>
      <c r="HPC44" s="1044"/>
      <c r="HPD44" s="1044"/>
      <c r="HPE44" s="1044"/>
      <c r="HPF44" s="1044"/>
      <c r="HPG44" s="1044"/>
      <c r="HPH44" s="1044"/>
      <c r="HPI44" s="1044"/>
      <c r="HPJ44" s="1044"/>
      <c r="HPK44" s="1044"/>
      <c r="HPL44" s="1044"/>
      <c r="HPM44" s="1044"/>
      <c r="HPN44" s="1044"/>
      <c r="HPO44" s="1044"/>
      <c r="HPP44" s="1044"/>
      <c r="HPQ44" s="1044"/>
      <c r="HPR44" s="1044"/>
      <c r="HPS44" s="1044"/>
      <c r="HPT44" s="1044"/>
      <c r="HPU44" s="1044"/>
      <c r="HPV44" s="1044"/>
      <c r="HPW44" s="1044"/>
      <c r="HPX44" s="1044"/>
      <c r="HPY44" s="1044"/>
      <c r="HPZ44" s="1044"/>
      <c r="HQA44" s="1044"/>
      <c r="HQB44" s="1044"/>
      <c r="HQC44" s="1044"/>
      <c r="HQD44" s="1044"/>
      <c r="HQE44" s="1044"/>
      <c r="HQF44" s="1044"/>
      <c r="HQG44" s="1044"/>
      <c r="HQH44" s="1044"/>
      <c r="HQI44" s="1044"/>
      <c r="HQJ44" s="1044"/>
      <c r="HQK44" s="1044"/>
      <c r="HQL44" s="1044"/>
      <c r="HQM44" s="1044"/>
      <c r="HQN44" s="1044"/>
      <c r="HQO44" s="1044"/>
      <c r="HQP44" s="1044"/>
      <c r="HQQ44" s="1044"/>
      <c r="HQR44" s="1044"/>
      <c r="HQS44" s="1044"/>
      <c r="HQT44" s="1044"/>
      <c r="HQU44" s="1044"/>
      <c r="HQV44" s="1044"/>
      <c r="HQW44" s="1044"/>
      <c r="HQX44" s="1044"/>
      <c r="HQY44" s="1044"/>
      <c r="HQZ44" s="1044"/>
      <c r="HRA44" s="1044"/>
      <c r="HRB44" s="1044"/>
      <c r="HRC44" s="1044"/>
      <c r="HRD44" s="1044"/>
      <c r="HRE44" s="1044"/>
      <c r="HRF44" s="1044"/>
      <c r="HRG44" s="1044"/>
      <c r="HRH44" s="1044"/>
      <c r="HRI44" s="1044"/>
      <c r="HRJ44" s="1044"/>
      <c r="HRK44" s="1044"/>
      <c r="HRL44" s="1044"/>
      <c r="HRM44" s="1044"/>
      <c r="HRN44" s="1044"/>
      <c r="HRO44" s="1044"/>
      <c r="HRP44" s="1044"/>
      <c r="HRQ44" s="1044"/>
      <c r="HRR44" s="1044"/>
      <c r="HRS44" s="1044"/>
      <c r="HRT44" s="1044"/>
      <c r="HRU44" s="1044"/>
      <c r="HRV44" s="1044"/>
      <c r="HRW44" s="1044"/>
      <c r="HRX44" s="1044"/>
      <c r="HRY44" s="1044"/>
      <c r="HRZ44" s="1044"/>
      <c r="HSA44" s="1044"/>
      <c r="HSB44" s="1044"/>
      <c r="HSC44" s="1044"/>
      <c r="HSD44" s="1044"/>
      <c r="HSE44" s="1044"/>
      <c r="HSF44" s="1044"/>
      <c r="HSG44" s="1044"/>
      <c r="HSH44" s="1044"/>
      <c r="HSI44" s="1044"/>
      <c r="HSJ44" s="1044"/>
      <c r="HSK44" s="1044"/>
      <c r="HSL44" s="1044"/>
      <c r="HSM44" s="1044"/>
      <c r="HSN44" s="1044"/>
      <c r="HSO44" s="1044"/>
      <c r="HSP44" s="1044"/>
      <c r="HSQ44" s="1044"/>
      <c r="HSR44" s="1044"/>
      <c r="HSS44" s="1044"/>
      <c r="HST44" s="1044"/>
      <c r="HSU44" s="1044"/>
      <c r="HSV44" s="1044"/>
      <c r="HSW44" s="1044"/>
      <c r="HSX44" s="1044"/>
      <c r="HSY44" s="1044"/>
      <c r="HSZ44" s="1044"/>
      <c r="HTA44" s="1044"/>
      <c r="HTB44" s="1044"/>
      <c r="HTC44" s="1044"/>
      <c r="HTD44" s="1044"/>
      <c r="HTE44" s="1044"/>
      <c r="HTF44" s="1044"/>
      <c r="HTG44" s="1044"/>
      <c r="HTH44" s="1044"/>
      <c r="HTI44" s="1044"/>
      <c r="HTJ44" s="1044"/>
      <c r="HTK44" s="1044"/>
      <c r="HTL44" s="1044"/>
      <c r="HTM44" s="1044"/>
      <c r="HTN44" s="1044"/>
      <c r="HTO44" s="1044"/>
      <c r="HTP44" s="1044"/>
      <c r="HTQ44" s="1044"/>
      <c r="HTR44" s="1044"/>
      <c r="HTS44" s="1044"/>
      <c r="HTT44" s="1044"/>
      <c r="HTU44" s="1044"/>
      <c r="HTV44" s="1044"/>
      <c r="HTW44" s="1044"/>
      <c r="HTX44" s="1044"/>
      <c r="HTY44" s="1044"/>
      <c r="HTZ44" s="1044"/>
      <c r="HUA44" s="1044"/>
      <c r="HUB44" s="1044"/>
      <c r="HUC44" s="1044"/>
      <c r="HUD44" s="1044"/>
      <c r="HUE44" s="1044"/>
      <c r="HUF44" s="1044"/>
      <c r="HUG44" s="1044"/>
      <c r="HUH44" s="1044"/>
      <c r="HUI44" s="1044"/>
      <c r="HUJ44" s="1044"/>
      <c r="HUK44" s="1044"/>
      <c r="HUL44" s="1044"/>
      <c r="HUM44" s="1044"/>
      <c r="HUN44" s="1044"/>
      <c r="HUO44" s="1044"/>
      <c r="HUP44" s="1044"/>
      <c r="HUQ44" s="1044"/>
      <c r="HUR44" s="1044"/>
      <c r="HUS44" s="1044"/>
      <c r="HUT44" s="1044"/>
      <c r="HUU44" s="1044"/>
      <c r="HUV44" s="1044"/>
      <c r="HUW44" s="1044"/>
      <c r="HUX44" s="1044"/>
      <c r="HUY44" s="1044"/>
      <c r="HUZ44" s="1044"/>
      <c r="HVA44" s="1044"/>
      <c r="HVB44" s="1044"/>
      <c r="HVC44" s="1044"/>
      <c r="HVD44" s="1044"/>
      <c r="HVE44" s="1044"/>
      <c r="HVF44" s="1044"/>
      <c r="HVG44" s="1044"/>
      <c r="HVH44" s="1044"/>
      <c r="HVI44" s="1044"/>
      <c r="HVJ44" s="1044"/>
      <c r="HVK44" s="1044"/>
      <c r="HVL44" s="1044"/>
      <c r="HVM44" s="1044"/>
      <c r="HVN44" s="1044"/>
      <c r="HVO44" s="1044"/>
      <c r="HVP44" s="1044"/>
      <c r="HVQ44" s="1044"/>
      <c r="HVR44" s="1044"/>
      <c r="HVS44" s="1044"/>
      <c r="HVT44" s="1044"/>
      <c r="HVU44" s="1044"/>
      <c r="HVV44" s="1044"/>
      <c r="HVW44" s="1044"/>
      <c r="HVX44" s="1044"/>
      <c r="HVY44" s="1044"/>
      <c r="HVZ44" s="1044"/>
      <c r="HWA44" s="1044"/>
      <c r="HWB44" s="1044"/>
      <c r="HWC44" s="1044"/>
      <c r="HWD44" s="1044"/>
      <c r="HWE44" s="1044"/>
      <c r="HWF44" s="1044"/>
      <c r="HWG44" s="1044"/>
      <c r="HWH44" s="1044"/>
      <c r="HWI44" s="1044"/>
      <c r="HWJ44" s="1044"/>
      <c r="HWK44" s="1044"/>
      <c r="HWL44" s="1044"/>
      <c r="HWM44" s="1044"/>
      <c r="HWN44" s="1044"/>
      <c r="HWO44" s="1044"/>
      <c r="HWP44" s="1044"/>
      <c r="HWQ44" s="1044"/>
      <c r="HWR44" s="1044"/>
      <c r="HWS44" s="1044"/>
      <c r="HWT44" s="1044"/>
      <c r="HWU44" s="1044"/>
      <c r="HWV44" s="1044"/>
      <c r="HWW44" s="1044"/>
      <c r="HWX44" s="1044"/>
      <c r="HWY44" s="1044"/>
      <c r="HWZ44" s="1044"/>
      <c r="HXA44" s="1044"/>
      <c r="HXB44" s="1044"/>
      <c r="HXC44" s="1044"/>
      <c r="HXD44" s="1044"/>
      <c r="HXE44" s="1044"/>
      <c r="HXF44" s="1044"/>
      <c r="HXG44" s="1044"/>
      <c r="HXH44" s="1044"/>
      <c r="HXI44" s="1044"/>
      <c r="HXJ44" s="1044"/>
      <c r="HXK44" s="1044"/>
      <c r="HXL44" s="1044"/>
      <c r="HXM44" s="1044"/>
      <c r="HXN44" s="1044"/>
      <c r="HXO44" s="1044"/>
      <c r="HXP44" s="1044"/>
      <c r="HXQ44" s="1044"/>
      <c r="HXR44" s="1044"/>
      <c r="HXS44" s="1044"/>
      <c r="HXT44" s="1044"/>
      <c r="HXU44" s="1044"/>
      <c r="HXV44" s="1044"/>
      <c r="HXW44" s="1044"/>
      <c r="HXX44" s="1044"/>
      <c r="HXY44" s="1044"/>
      <c r="HXZ44" s="1044"/>
      <c r="HYA44" s="1044"/>
      <c r="HYB44" s="1044"/>
      <c r="HYC44" s="1044"/>
      <c r="HYD44" s="1044"/>
      <c r="HYE44" s="1044"/>
      <c r="HYF44" s="1044"/>
      <c r="HYG44" s="1044"/>
      <c r="HYH44" s="1044"/>
      <c r="HYI44" s="1044"/>
      <c r="HYJ44" s="1044"/>
      <c r="HYK44" s="1044"/>
      <c r="HYL44" s="1044"/>
      <c r="HYM44" s="1044"/>
      <c r="HYN44" s="1044"/>
      <c r="HYO44" s="1044"/>
      <c r="HYP44" s="1044"/>
      <c r="HYQ44" s="1044"/>
      <c r="HYR44" s="1044"/>
      <c r="HYS44" s="1044"/>
      <c r="HYT44" s="1044"/>
      <c r="HYU44" s="1044"/>
      <c r="HYV44" s="1044"/>
      <c r="HYW44" s="1044"/>
      <c r="HYX44" s="1044"/>
      <c r="HYY44" s="1044"/>
      <c r="HYZ44" s="1044"/>
      <c r="HZA44" s="1044"/>
      <c r="HZB44" s="1044"/>
      <c r="HZC44" s="1044"/>
      <c r="HZD44" s="1044"/>
      <c r="HZE44" s="1044"/>
      <c r="HZF44" s="1044"/>
      <c r="HZG44" s="1044"/>
      <c r="HZH44" s="1044"/>
      <c r="HZI44" s="1044"/>
      <c r="HZJ44" s="1044"/>
      <c r="HZK44" s="1044"/>
      <c r="HZL44" s="1044"/>
      <c r="HZM44" s="1044"/>
      <c r="HZN44" s="1044"/>
      <c r="HZO44" s="1044"/>
      <c r="HZP44" s="1044"/>
      <c r="HZQ44" s="1044"/>
      <c r="HZR44" s="1044"/>
      <c r="HZS44" s="1044"/>
      <c r="HZT44" s="1044"/>
      <c r="HZU44" s="1044"/>
      <c r="HZV44" s="1044"/>
      <c r="HZW44" s="1044"/>
      <c r="HZX44" s="1044"/>
      <c r="HZY44" s="1044"/>
      <c r="HZZ44" s="1044"/>
      <c r="IAA44" s="1044"/>
      <c r="IAB44" s="1044"/>
      <c r="IAC44" s="1044"/>
      <c r="IAD44" s="1044"/>
      <c r="IAE44" s="1044"/>
      <c r="IAF44" s="1044"/>
      <c r="IAG44" s="1044"/>
      <c r="IAH44" s="1044"/>
      <c r="IAI44" s="1044"/>
      <c r="IAJ44" s="1044"/>
      <c r="IAK44" s="1044"/>
      <c r="IAL44" s="1044"/>
      <c r="IAM44" s="1044"/>
      <c r="IAN44" s="1044"/>
      <c r="IAO44" s="1044"/>
      <c r="IAP44" s="1044"/>
      <c r="IAQ44" s="1044"/>
      <c r="IAR44" s="1044"/>
      <c r="IAS44" s="1044"/>
      <c r="IAT44" s="1044"/>
      <c r="IAU44" s="1044"/>
      <c r="IAV44" s="1044"/>
      <c r="IAW44" s="1044"/>
      <c r="IAX44" s="1044"/>
      <c r="IAY44" s="1044"/>
      <c r="IAZ44" s="1044"/>
      <c r="IBA44" s="1044"/>
      <c r="IBB44" s="1044"/>
      <c r="IBC44" s="1044"/>
      <c r="IBD44" s="1044"/>
      <c r="IBE44" s="1044"/>
      <c r="IBF44" s="1044"/>
      <c r="IBG44" s="1044"/>
      <c r="IBH44" s="1044"/>
      <c r="IBI44" s="1044"/>
      <c r="IBJ44" s="1044"/>
      <c r="IBK44" s="1044"/>
      <c r="IBL44" s="1044"/>
      <c r="IBM44" s="1044"/>
      <c r="IBN44" s="1044"/>
      <c r="IBO44" s="1044"/>
      <c r="IBP44" s="1044"/>
      <c r="IBQ44" s="1044"/>
      <c r="IBR44" s="1044"/>
      <c r="IBS44" s="1044"/>
      <c r="IBT44" s="1044"/>
      <c r="IBU44" s="1044"/>
      <c r="IBV44" s="1044"/>
      <c r="IBW44" s="1044"/>
      <c r="IBX44" s="1044"/>
      <c r="IBY44" s="1044"/>
      <c r="IBZ44" s="1044"/>
      <c r="ICA44" s="1044"/>
      <c r="ICB44" s="1044"/>
      <c r="ICC44" s="1044"/>
      <c r="ICD44" s="1044"/>
      <c r="ICE44" s="1044"/>
      <c r="ICF44" s="1044"/>
      <c r="ICG44" s="1044"/>
      <c r="ICH44" s="1044"/>
      <c r="ICI44" s="1044"/>
      <c r="ICJ44" s="1044"/>
      <c r="ICK44" s="1044"/>
      <c r="ICL44" s="1044"/>
      <c r="ICM44" s="1044"/>
      <c r="ICN44" s="1044"/>
      <c r="ICO44" s="1044"/>
      <c r="ICP44" s="1044"/>
      <c r="ICQ44" s="1044"/>
      <c r="ICR44" s="1044"/>
      <c r="ICS44" s="1044"/>
      <c r="ICT44" s="1044"/>
      <c r="ICU44" s="1044"/>
      <c r="ICV44" s="1044"/>
      <c r="ICW44" s="1044"/>
      <c r="ICX44" s="1044"/>
      <c r="ICY44" s="1044"/>
      <c r="ICZ44" s="1044"/>
      <c r="IDA44" s="1044"/>
      <c r="IDB44" s="1044"/>
      <c r="IDC44" s="1044"/>
      <c r="IDD44" s="1044"/>
      <c r="IDE44" s="1044"/>
      <c r="IDF44" s="1044"/>
      <c r="IDG44" s="1044"/>
      <c r="IDH44" s="1044"/>
      <c r="IDI44" s="1044"/>
      <c r="IDJ44" s="1044"/>
      <c r="IDK44" s="1044"/>
      <c r="IDL44" s="1044"/>
      <c r="IDM44" s="1044"/>
      <c r="IDN44" s="1044"/>
      <c r="IDO44" s="1044"/>
      <c r="IDP44" s="1044"/>
      <c r="IDQ44" s="1044"/>
      <c r="IDR44" s="1044"/>
      <c r="IDS44" s="1044"/>
      <c r="IDT44" s="1044"/>
      <c r="IDU44" s="1044"/>
      <c r="IDV44" s="1044"/>
      <c r="IDW44" s="1044"/>
      <c r="IDX44" s="1044"/>
      <c r="IDY44" s="1044"/>
      <c r="IDZ44" s="1044"/>
      <c r="IEA44" s="1044"/>
      <c r="IEB44" s="1044"/>
      <c r="IEC44" s="1044"/>
      <c r="IED44" s="1044"/>
      <c r="IEE44" s="1044"/>
      <c r="IEF44" s="1044"/>
      <c r="IEG44" s="1044"/>
      <c r="IEH44" s="1044"/>
      <c r="IEI44" s="1044"/>
      <c r="IEJ44" s="1044"/>
      <c r="IEK44" s="1044"/>
      <c r="IEL44" s="1044"/>
      <c r="IEM44" s="1044"/>
      <c r="IEN44" s="1044"/>
      <c r="IEO44" s="1044"/>
      <c r="IEP44" s="1044"/>
      <c r="IEQ44" s="1044"/>
      <c r="IER44" s="1044"/>
      <c r="IES44" s="1044"/>
      <c r="IET44" s="1044"/>
      <c r="IEU44" s="1044"/>
      <c r="IEV44" s="1044"/>
      <c r="IEW44" s="1044"/>
      <c r="IEX44" s="1044"/>
      <c r="IEY44" s="1044"/>
      <c r="IEZ44" s="1044"/>
      <c r="IFA44" s="1044"/>
      <c r="IFB44" s="1044"/>
      <c r="IFC44" s="1044"/>
      <c r="IFD44" s="1044"/>
      <c r="IFE44" s="1044"/>
      <c r="IFF44" s="1044"/>
      <c r="IFG44" s="1044"/>
      <c r="IFH44" s="1044"/>
      <c r="IFI44" s="1044"/>
      <c r="IFJ44" s="1044"/>
      <c r="IFK44" s="1044"/>
      <c r="IFL44" s="1044"/>
      <c r="IFM44" s="1044"/>
      <c r="IFN44" s="1044"/>
      <c r="IFO44" s="1044"/>
      <c r="IFP44" s="1044"/>
      <c r="IFQ44" s="1044"/>
      <c r="IFR44" s="1044"/>
      <c r="IFS44" s="1044"/>
      <c r="IFT44" s="1044"/>
      <c r="IFU44" s="1044"/>
      <c r="IFV44" s="1044"/>
      <c r="IFW44" s="1044"/>
      <c r="IFX44" s="1044"/>
      <c r="IFY44" s="1044"/>
      <c r="IFZ44" s="1044"/>
      <c r="IGA44" s="1044"/>
      <c r="IGB44" s="1044"/>
      <c r="IGC44" s="1044"/>
      <c r="IGD44" s="1044"/>
      <c r="IGE44" s="1044"/>
      <c r="IGF44" s="1044"/>
      <c r="IGG44" s="1044"/>
      <c r="IGH44" s="1044"/>
      <c r="IGI44" s="1044"/>
      <c r="IGJ44" s="1044"/>
      <c r="IGK44" s="1044"/>
      <c r="IGL44" s="1044"/>
      <c r="IGM44" s="1044"/>
      <c r="IGN44" s="1044"/>
      <c r="IGO44" s="1044"/>
      <c r="IGP44" s="1044"/>
      <c r="IGQ44" s="1044"/>
      <c r="IGR44" s="1044"/>
      <c r="IGS44" s="1044"/>
      <c r="IGT44" s="1044"/>
      <c r="IGU44" s="1044"/>
      <c r="IGV44" s="1044"/>
      <c r="IGW44" s="1044"/>
      <c r="IGX44" s="1044"/>
      <c r="IGY44" s="1044"/>
      <c r="IGZ44" s="1044"/>
      <c r="IHA44" s="1044"/>
      <c r="IHB44" s="1044"/>
      <c r="IHC44" s="1044"/>
      <c r="IHD44" s="1044"/>
      <c r="IHE44" s="1044"/>
      <c r="IHF44" s="1044"/>
      <c r="IHG44" s="1044"/>
      <c r="IHH44" s="1044"/>
      <c r="IHI44" s="1044"/>
      <c r="IHJ44" s="1044"/>
      <c r="IHK44" s="1044"/>
      <c r="IHL44" s="1044"/>
      <c r="IHM44" s="1044"/>
      <c r="IHN44" s="1044"/>
      <c r="IHO44" s="1044"/>
      <c r="IHP44" s="1044"/>
      <c r="IHQ44" s="1044"/>
      <c r="IHR44" s="1044"/>
      <c r="IHS44" s="1044"/>
      <c r="IHT44" s="1044"/>
      <c r="IHU44" s="1044"/>
      <c r="IHV44" s="1044"/>
      <c r="IHW44" s="1044"/>
      <c r="IHX44" s="1044"/>
      <c r="IHY44" s="1044"/>
      <c r="IHZ44" s="1044"/>
      <c r="IIA44" s="1044"/>
      <c r="IIB44" s="1044"/>
      <c r="IIC44" s="1044"/>
      <c r="IID44" s="1044"/>
      <c r="IIE44" s="1044"/>
      <c r="IIF44" s="1044"/>
      <c r="IIG44" s="1044"/>
      <c r="IIH44" s="1044"/>
      <c r="III44" s="1044"/>
      <c r="IIJ44" s="1044"/>
      <c r="IIK44" s="1044"/>
      <c r="IIL44" s="1044"/>
      <c r="IIM44" s="1044"/>
      <c r="IIN44" s="1044"/>
      <c r="IIO44" s="1044"/>
      <c r="IIP44" s="1044"/>
      <c r="IIQ44" s="1044"/>
      <c r="IIR44" s="1044"/>
      <c r="IIS44" s="1044"/>
      <c r="IIT44" s="1044"/>
      <c r="IIU44" s="1044"/>
      <c r="IIV44" s="1044"/>
      <c r="IIW44" s="1044"/>
      <c r="IIX44" s="1044"/>
      <c r="IIY44" s="1044"/>
      <c r="IIZ44" s="1044"/>
      <c r="IJA44" s="1044"/>
      <c r="IJB44" s="1044"/>
      <c r="IJC44" s="1044"/>
      <c r="IJD44" s="1044"/>
      <c r="IJE44" s="1044"/>
      <c r="IJF44" s="1044"/>
      <c r="IJG44" s="1044"/>
      <c r="IJH44" s="1044"/>
      <c r="IJI44" s="1044"/>
      <c r="IJJ44" s="1044"/>
      <c r="IJK44" s="1044"/>
      <c r="IJL44" s="1044"/>
      <c r="IJM44" s="1044"/>
      <c r="IJN44" s="1044"/>
      <c r="IJO44" s="1044"/>
      <c r="IJP44" s="1044"/>
      <c r="IJQ44" s="1044"/>
      <c r="IJR44" s="1044"/>
      <c r="IJS44" s="1044"/>
      <c r="IJT44" s="1044"/>
      <c r="IJU44" s="1044"/>
      <c r="IJV44" s="1044"/>
      <c r="IJW44" s="1044"/>
      <c r="IJX44" s="1044"/>
      <c r="IJY44" s="1044"/>
      <c r="IJZ44" s="1044"/>
      <c r="IKA44" s="1044"/>
      <c r="IKB44" s="1044"/>
      <c r="IKC44" s="1044"/>
      <c r="IKD44" s="1044"/>
      <c r="IKE44" s="1044"/>
      <c r="IKF44" s="1044"/>
      <c r="IKG44" s="1044"/>
      <c r="IKH44" s="1044"/>
      <c r="IKI44" s="1044"/>
      <c r="IKJ44" s="1044"/>
      <c r="IKK44" s="1044"/>
      <c r="IKL44" s="1044"/>
      <c r="IKM44" s="1044"/>
      <c r="IKN44" s="1044"/>
      <c r="IKO44" s="1044"/>
      <c r="IKP44" s="1044"/>
      <c r="IKQ44" s="1044"/>
      <c r="IKR44" s="1044"/>
      <c r="IKS44" s="1044"/>
      <c r="IKT44" s="1044"/>
      <c r="IKU44" s="1044"/>
      <c r="IKV44" s="1044"/>
      <c r="IKW44" s="1044"/>
      <c r="IKX44" s="1044"/>
      <c r="IKY44" s="1044"/>
      <c r="IKZ44" s="1044"/>
      <c r="ILA44" s="1044"/>
      <c r="ILB44" s="1044"/>
      <c r="ILC44" s="1044"/>
      <c r="ILD44" s="1044"/>
      <c r="ILE44" s="1044"/>
      <c r="ILF44" s="1044"/>
      <c r="ILG44" s="1044"/>
      <c r="ILH44" s="1044"/>
      <c r="ILI44" s="1044"/>
      <c r="ILJ44" s="1044"/>
      <c r="ILK44" s="1044"/>
      <c r="ILL44" s="1044"/>
      <c r="ILM44" s="1044"/>
      <c r="ILN44" s="1044"/>
      <c r="ILO44" s="1044"/>
      <c r="ILP44" s="1044"/>
      <c r="ILQ44" s="1044"/>
      <c r="ILR44" s="1044"/>
      <c r="ILS44" s="1044"/>
      <c r="ILT44" s="1044"/>
      <c r="ILU44" s="1044"/>
      <c r="ILV44" s="1044"/>
      <c r="ILW44" s="1044"/>
      <c r="ILX44" s="1044"/>
      <c r="ILY44" s="1044"/>
      <c r="ILZ44" s="1044"/>
      <c r="IMA44" s="1044"/>
      <c r="IMB44" s="1044"/>
      <c r="IMC44" s="1044"/>
      <c r="IMD44" s="1044"/>
      <c r="IME44" s="1044"/>
      <c r="IMF44" s="1044"/>
      <c r="IMG44" s="1044"/>
      <c r="IMH44" s="1044"/>
      <c r="IMI44" s="1044"/>
      <c r="IMJ44" s="1044"/>
      <c r="IMK44" s="1044"/>
      <c r="IML44" s="1044"/>
      <c r="IMM44" s="1044"/>
      <c r="IMN44" s="1044"/>
      <c r="IMO44" s="1044"/>
      <c r="IMP44" s="1044"/>
      <c r="IMQ44" s="1044"/>
      <c r="IMR44" s="1044"/>
      <c r="IMS44" s="1044"/>
      <c r="IMT44" s="1044"/>
      <c r="IMU44" s="1044"/>
      <c r="IMV44" s="1044"/>
      <c r="IMW44" s="1044"/>
      <c r="IMX44" s="1044"/>
      <c r="IMY44" s="1044"/>
      <c r="IMZ44" s="1044"/>
      <c r="INA44" s="1044"/>
      <c r="INB44" s="1044"/>
      <c r="INC44" s="1044"/>
      <c r="IND44" s="1044"/>
      <c r="INE44" s="1044"/>
      <c r="INF44" s="1044"/>
      <c r="ING44" s="1044"/>
      <c r="INH44" s="1044"/>
      <c r="INI44" s="1044"/>
      <c r="INJ44" s="1044"/>
      <c r="INK44" s="1044"/>
      <c r="INL44" s="1044"/>
      <c r="INM44" s="1044"/>
      <c r="INN44" s="1044"/>
      <c r="INO44" s="1044"/>
      <c r="INP44" s="1044"/>
      <c r="INQ44" s="1044"/>
      <c r="INR44" s="1044"/>
      <c r="INS44" s="1044"/>
      <c r="INT44" s="1044"/>
      <c r="INU44" s="1044"/>
      <c r="INV44" s="1044"/>
      <c r="INW44" s="1044"/>
      <c r="INX44" s="1044"/>
      <c r="INY44" s="1044"/>
      <c r="INZ44" s="1044"/>
      <c r="IOA44" s="1044"/>
      <c r="IOB44" s="1044"/>
      <c r="IOC44" s="1044"/>
      <c r="IOD44" s="1044"/>
      <c r="IOE44" s="1044"/>
      <c r="IOF44" s="1044"/>
      <c r="IOG44" s="1044"/>
      <c r="IOH44" s="1044"/>
      <c r="IOI44" s="1044"/>
      <c r="IOJ44" s="1044"/>
      <c r="IOK44" s="1044"/>
      <c r="IOL44" s="1044"/>
      <c r="IOM44" s="1044"/>
      <c r="ION44" s="1044"/>
      <c r="IOO44" s="1044"/>
      <c r="IOP44" s="1044"/>
      <c r="IOQ44" s="1044"/>
      <c r="IOR44" s="1044"/>
      <c r="IOS44" s="1044"/>
      <c r="IOT44" s="1044"/>
      <c r="IOU44" s="1044"/>
      <c r="IOV44" s="1044"/>
      <c r="IOW44" s="1044"/>
      <c r="IOX44" s="1044"/>
      <c r="IOY44" s="1044"/>
      <c r="IOZ44" s="1044"/>
      <c r="IPA44" s="1044"/>
      <c r="IPB44" s="1044"/>
      <c r="IPC44" s="1044"/>
      <c r="IPD44" s="1044"/>
      <c r="IPE44" s="1044"/>
      <c r="IPF44" s="1044"/>
      <c r="IPG44" s="1044"/>
      <c r="IPH44" s="1044"/>
      <c r="IPI44" s="1044"/>
      <c r="IPJ44" s="1044"/>
      <c r="IPK44" s="1044"/>
      <c r="IPL44" s="1044"/>
      <c r="IPM44" s="1044"/>
      <c r="IPN44" s="1044"/>
      <c r="IPO44" s="1044"/>
      <c r="IPP44" s="1044"/>
      <c r="IPQ44" s="1044"/>
      <c r="IPR44" s="1044"/>
      <c r="IPS44" s="1044"/>
      <c r="IPT44" s="1044"/>
      <c r="IPU44" s="1044"/>
      <c r="IPV44" s="1044"/>
      <c r="IPW44" s="1044"/>
      <c r="IPX44" s="1044"/>
      <c r="IPY44" s="1044"/>
      <c r="IPZ44" s="1044"/>
      <c r="IQA44" s="1044"/>
      <c r="IQB44" s="1044"/>
      <c r="IQC44" s="1044"/>
      <c r="IQD44" s="1044"/>
      <c r="IQE44" s="1044"/>
      <c r="IQF44" s="1044"/>
      <c r="IQG44" s="1044"/>
      <c r="IQH44" s="1044"/>
      <c r="IQI44" s="1044"/>
      <c r="IQJ44" s="1044"/>
      <c r="IQK44" s="1044"/>
      <c r="IQL44" s="1044"/>
      <c r="IQM44" s="1044"/>
      <c r="IQN44" s="1044"/>
      <c r="IQO44" s="1044"/>
      <c r="IQP44" s="1044"/>
      <c r="IQQ44" s="1044"/>
      <c r="IQR44" s="1044"/>
      <c r="IQS44" s="1044"/>
      <c r="IQT44" s="1044"/>
      <c r="IQU44" s="1044"/>
      <c r="IQV44" s="1044"/>
      <c r="IQW44" s="1044"/>
      <c r="IQX44" s="1044"/>
      <c r="IQY44" s="1044"/>
      <c r="IQZ44" s="1044"/>
      <c r="IRA44" s="1044"/>
      <c r="IRB44" s="1044"/>
      <c r="IRC44" s="1044"/>
      <c r="IRD44" s="1044"/>
      <c r="IRE44" s="1044"/>
      <c r="IRF44" s="1044"/>
      <c r="IRG44" s="1044"/>
      <c r="IRH44" s="1044"/>
      <c r="IRI44" s="1044"/>
      <c r="IRJ44" s="1044"/>
      <c r="IRK44" s="1044"/>
      <c r="IRL44" s="1044"/>
      <c r="IRM44" s="1044"/>
      <c r="IRN44" s="1044"/>
      <c r="IRO44" s="1044"/>
      <c r="IRP44" s="1044"/>
      <c r="IRQ44" s="1044"/>
      <c r="IRR44" s="1044"/>
      <c r="IRS44" s="1044"/>
      <c r="IRT44" s="1044"/>
      <c r="IRU44" s="1044"/>
      <c r="IRV44" s="1044"/>
      <c r="IRW44" s="1044"/>
      <c r="IRX44" s="1044"/>
      <c r="IRY44" s="1044"/>
      <c r="IRZ44" s="1044"/>
      <c r="ISA44" s="1044"/>
      <c r="ISB44" s="1044"/>
      <c r="ISC44" s="1044"/>
      <c r="ISD44" s="1044"/>
      <c r="ISE44" s="1044"/>
      <c r="ISF44" s="1044"/>
      <c r="ISG44" s="1044"/>
      <c r="ISH44" s="1044"/>
      <c r="ISI44" s="1044"/>
      <c r="ISJ44" s="1044"/>
      <c r="ISK44" s="1044"/>
      <c r="ISL44" s="1044"/>
      <c r="ISM44" s="1044"/>
      <c r="ISN44" s="1044"/>
      <c r="ISO44" s="1044"/>
      <c r="ISP44" s="1044"/>
      <c r="ISQ44" s="1044"/>
      <c r="ISR44" s="1044"/>
      <c r="ISS44" s="1044"/>
      <c r="IST44" s="1044"/>
      <c r="ISU44" s="1044"/>
      <c r="ISV44" s="1044"/>
      <c r="ISW44" s="1044"/>
      <c r="ISX44" s="1044"/>
      <c r="ISY44" s="1044"/>
      <c r="ISZ44" s="1044"/>
      <c r="ITA44" s="1044"/>
      <c r="ITB44" s="1044"/>
      <c r="ITC44" s="1044"/>
      <c r="ITD44" s="1044"/>
      <c r="ITE44" s="1044"/>
      <c r="ITF44" s="1044"/>
      <c r="ITG44" s="1044"/>
      <c r="ITH44" s="1044"/>
      <c r="ITI44" s="1044"/>
      <c r="ITJ44" s="1044"/>
      <c r="ITK44" s="1044"/>
      <c r="ITL44" s="1044"/>
      <c r="ITM44" s="1044"/>
      <c r="ITN44" s="1044"/>
      <c r="ITO44" s="1044"/>
      <c r="ITP44" s="1044"/>
      <c r="ITQ44" s="1044"/>
      <c r="ITR44" s="1044"/>
      <c r="ITS44" s="1044"/>
      <c r="ITT44" s="1044"/>
      <c r="ITU44" s="1044"/>
      <c r="ITV44" s="1044"/>
      <c r="ITW44" s="1044"/>
      <c r="ITX44" s="1044"/>
      <c r="ITY44" s="1044"/>
      <c r="ITZ44" s="1044"/>
      <c r="IUA44" s="1044"/>
      <c r="IUB44" s="1044"/>
      <c r="IUC44" s="1044"/>
      <c r="IUD44" s="1044"/>
      <c r="IUE44" s="1044"/>
      <c r="IUF44" s="1044"/>
      <c r="IUG44" s="1044"/>
      <c r="IUH44" s="1044"/>
      <c r="IUI44" s="1044"/>
      <c r="IUJ44" s="1044"/>
      <c r="IUK44" s="1044"/>
      <c r="IUL44" s="1044"/>
      <c r="IUM44" s="1044"/>
      <c r="IUN44" s="1044"/>
      <c r="IUO44" s="1044"/>
      <c r="IUP44" s="1044"/>
      <c r="IUQ44" s="1044"/>
      <c r="IUR44" s="1044"/>
      <c r="IUS44" s="1044"/>
      <c r="IUT44" s="1044"/>
      <c r="IUU44" s="1044"/>
      <c r="IUV44" s="1044"/>
      <c r="IUW44" s="1044"/>
      <c r="IUX44" s="1044"/>
      <c r="IUY44" s="1044"/>
      <c r="IUZ44" s="1044"/>
      <c r="IVA44" s="1044"/>
      <c r="IVB44" s="1044"/>
      <c r="IVC44" s="1044"/>
      <c r="IVD44" s="1044"/>
      <c r="IVE44" s="1044"/>
      <c r="IVF44" s="1044"/>
      <c r="IVG44" s="1044"/>
      <c r="IVH44" s="1044"/>
      <c r="IVI44" s="1044"/>
      <c r="IVJ44" s="1044"/>
      <c r="IVK44" s="1044"/>
      <c r="IVL44" s="1044"/>
      <c r="IVM44" s="1044"/>
      <c r="IVN44" s="1044"/>
      <c r="IVO44" s="1044"/>
      <c r="IVP44" s="1044"/>
      <c r="IVQ44" s="1044"/>
      <c r="IVR44" s="1044"/>
      <c r="IVS44" s="1044"/>
      <c r="IVT44" s="1044"/>
      <c r="IVU44" s="1044"/>
      <c r="IVV44" s="1044"/>
      <c r="IVW44" s="1044"/>
      <c r="IVX44" s="1044"/>
      <c r="IVY44" s="1044"/>
      <c r="IVZ44" s="1044"/>
      <c r="IWA44" s="1044"/>
      <c r="IWB44" s="1044"/>
      <c r="IWC44" s="1044"/>
      <c r="IWD44" s="1044"/>
      <c r="IWE44" s="1044"/>
      <c r="IWF44" s="1044"/>
      <c r="IWG44" s="1044"/>
      <c r="IWH44" s="1044"/>
      <c r="IWI44" s="1044"/>
      <c r="IWJ44" s="1044"/>
      <c r="IWK44" s="1044"/>
      <c r="IWL44" s="1044"/>
      <c r="IWM44" s="1044"/>
      <c r="IWN44" s="1044"/>
      <c r="IWO44" s="1044"/>
      <c r="IWP44" s="1044"/>
      <c r="IWQ44" s="1044"/>
      <c r="IWR44" s="1044"/>
      <c r="IWS44" s="1044"/>
      <c r="IWT44" s="1044"/>
      <c r="IWU44" s="1044"/>
      <c r="IWV44" s="1044"/>
      <c r="IWW44" s="1044"/>
      <c r="IWX44" s="1044"/>
      <c r="IWY44" s="1044"/>
      <c r="IWZ44" s="1044"/>
      <c r="IXA44" s="1044"/>
      <c r="IXB44" s="1044"/>
      <c r="IXC44" s="1044"/>
      <c r="IXD44" s="1044"/>
      <c r="IXE44" s="1044"/>
      <c r="IXF44" s="1044"/>
      <c r="IXG44" s="1044"/>
      <c r="IXH44" s="1044"/>
      <c r="IXI44" s="1044"/>
      <c r="IXJ44" s="1044"/>
      <c r="IXK44" s="1044"/>
      <c r="IXL44" s="1044"/>
      <c r="IXM44" s="1044"/>
      <c r="IXN44" s="1044"/>
      <c r="IXO44" s="1044"/>
      <c r="IXP44" s="1044"/>
      <c r="IXQ44" s="1044"/>
      <c r="IXR44" s="1044"/>
      <c r="IXS44" s="1044"/>
      <c r="IXT44" s="1044"/>
      <c r="IXU44" s="1044"/>
      <c r="IXV44" s="1044"/>
      <c r="IXW44" s="1044"/>
      <c r="IXX44" s="1044"/>
      <c r="IXY44" s="1044"/>
      <c r="IXZ44" s="1044"/>
      <c r="IYA44" s="1044"/>
      <c r="IYB44" s="1044"/>
      <c r="IYC44" s="1044"/>
      <c r="IYD44" s="1044"/>
      <c r="IYE44" s="1044"/>
      <c r="IYF44" s="1044"/>
      <c r="IYG44" s="1044"/>
      <c r="IYH44" s="1044"/>
      <c r="IYI44" s="1044"/>
      <c r="IYJ44" s="1044"/>
      <c r="IYK44" s="1044"/>
      <c r="IYL44" s="1044"/>
      <c r="IYM44" s="1044"/>
      <c r="IYN44" s="1044"/>
      <c r="IYO44" s="1044"/>
      <c r="IYP44" s="1044"/>
      <c r="IYQ44" s="1044"/>
      <c r="IYR44" s="1044"/>
      <c r="IYS44" s="1044"/>
      <c r="IYT44" s="1044"/>
      <c r="IYU44" s="1044"/>
      <c r="IYV44" s="1044"/>
      <c r="IYW44" s="1044"/>
      <c r="IYX44" s="1044"/>
      <c r="IYY44" s="1044"/>
      <c r="IYZ44" s="1044"/>
      <c r="IZA44" s="1044"/>
      <c r="IZB44" s="1044"/>
      <c r="IZC44" s="1044"/>
      <c r="IZD44" s="1044"/>
      <c r="IZE44" s="1044"/>
      <c r="IZF44" s="1044"/>
      <c r="IZG44" s="1044"/>
      <c r="IZH44" s="1044"/>
      <c r="IZI44" s="1044"/>
      <c r="IZJ44" s="1044"/>
      <c r="IZK44" s="1044"/>
      <c r="IZL44" s="1044"/>
      <c r="IZM44" s="1044"/>
      <c r="IZN44" s="1044"/>
      <c r="IZO44" s="1044"/>
      <c r="IZP44" s="1044"/>
      <c r="IZQ44" s="1044"/>
      <c r="IZR44" s="1044"/>
      <c r="IZS44" s="1044"/>
      <c r="IZT44" s="1044"/>
      <c r="IZU44" s="1044"/>
      <c r="IZV44" s="1044"/>
      <c r="IZW44" s="1044"/>
      <c r="IZX44" s="1044"/>
      <c r="IZY44" s="1044"/>
      <c r="IZZ44" s="1044"/>
      <c r="JAA44" s="1044"/>
      <c r="JAB44" s="1044"/>
      <c r="JAC44" s="1044"/>
      <c r="JAD44" s="1044"/>
      <c r="JAE44" s="1044"/>
      <c r="JAF44" s="1044"/>
      <c r="JAG44" s="1044"/>
      <c r="JAH44" s="1044"/>
      <c r="JAI44" s="1044"/>
      <c r="JAJ44" s="1044"/>
      <c r="JAK44" s="1044"/>
      <c r="JAL44" s="1044"/>
      <c r="JAM44" s="1044"/>
      <c r="JAN44" s="1044"/>
      <c r="JAO44" s="1044"/>
      <c r="JAP44" s="1044"/>
      <c r="JAQ44" s="1044"/>
      <c r="JAR44" s="1044"/>
      <c r="JAS44" s="1044"/>
      <c r="JAT44" s="1044"/>
      <c r="JAU44" s="1044"/>
      <c r="JAV44" s="1044"/>
      <c r="JAW44" s="1044"/>
      <c r="JAX44" s="1044"/>
      <c r="JAY44" s="1044"/>
      <c r="JAZ44" s="1044"/>
      <c r="JBA44" s="1044"/>
      <c r="JBB44" s="1044"/>
      <c r="JBC44" s="1044"/>
      <c r="JBD44" s="1044"/>
      <c r="JBE44" s="1044"/>
      <c r="JBF44" s="1044"/>
      <c r="JBG44" s="1044"/>
      <c r="JBH44" s="1044"/>
      <c r="JBI44" s="1044"/>
      <c r="JBJ44" s="1044"/>
      <c r="JBK44" s="1044"/>
      <c r="JBL44" s="1044"/>
      <c r="JBM44" s="1044"/>
      <c r="JBN44" s="1044"/>
      <c r="JBO44" s="1044"/>
      <c r="JBP44" s="1044"/>
      <c r="JBQ44" s="1044"/>
      <c r="JBR44" s="1044"/>
      <c r="JBS44" s="1044"/>
      <c r="JBT44" s="1044"/>
      <c r="JBU44" s="1044"/>
      <c r="JBV44" s="1044"/>
      <c r="JBW44" s="1044"/>
      <c r="JBX44" s="1044"/>
      <c r="JBY44" s="1044"/>
      <c r="JBZ44" s="1044"/>
      <c r="JCA44" s="1044"/>
      <c r="JCB44" s="1044"/>
      <c r="JCC44" s="1044"/>
      <c r="JCD44" s="1044"/>
      <c r="JCE44" s="1044"/>
      <c r="JCF44" s="1044"/>
      <c r="JCG44" s="1044"/>
      <c r="JCH44" s="1044"/>
      <c r="JCI44" s="1044"/>
      <c r="JCJ44" s="1044"/>
      <c r="JCK44" s="1044"/>
      <c r="JCL44" s="1044"/>
      <c r="JCM44" s="1044"/>
      <c r="JCN44" s="1044"/>
      <c r="JCO44" s="1044"/>
      <c r="JCP44" s="1044"/>
      <c r="JCQ44" s="1044"/>
      <c r="JCR44" s="1044"/>
      <c r="JCS44" s="1044"/>
      <c r="JCT44" s="1044"/>
      <c r="JCU44" s="1044"/>
      <c r="JCV44" s="1044"/>
      <c r="JCW44" s="1044"/>
      <c r="JCX44" s="1044"/>
      <c r="JCY44" s="1044"/>
      <c r="JCZ44" s="1044"/>
      <c r="JDA44" s="1044"/>
      <c r="JDB44" s="1044"/>
      <c r="JDC44" s="1044"/>
      <c r="JDD44" s="1044"/>
      <c r="JDE44" s="1044"/>
      <c r="JDF44" s="1044"/>
      <c r="JDG44" s="1044"/>
      <c r="JDH44" s="1044"/>
      <c r="JDI44" s="1044"/>
      <c r="JDJ44" s="1044"/>
      <c r="JDK44" s="1044"/>
      <c r="JDL44" s="1044"/>
      <c r="JDM44" s="1044"/>
      <c r="JDN44" s="1044"/>
      <c r="JDO44" s="1044"/>
      <c r="JDP44" s="1044"/>
      <c r="JDQ44" s="1044"/>
      <c r="JDR44" s="1044"/>
      <c r="JDS44" s="1044"/>
      <c r="JDT44" s="1044"/>
      <c r="JDU44" s="1044"/>
      <c r="JDV44" s="1044"/>
      <c r="JDW44" s="1044"/>
      <c r="JDX44" s="1044"/>
      <c r="JDY44" s="1044"/>
      <c r="JDZ44" s="1044"/>
      <c r="JEA44" s="1044"/>
      <c r="JEB44" s="1044"/>
      <c r="JEC44" s="1044"/>
      <c r="JED44" s="1044"/>
      <c r="JEE44" s="1044"/>
      <c r="JEF44" s="1044"/>
      <c r="JEG44" s="1044"/>
      <c r="JEH44" s="1044"/>
      <c r="JEI44" s="1044"/>
      <c r="JEJ44" s="1044"/>
      <c r="JEK44" s="1044"/>
      <c r="JEL44" s="1044"/>
      <c r="JEM44" s="1044"/>
      <c r="JEN44" s="1044"/>
      <c r="JEO44" s="1044"/>
      <c r="JEP44" s="1044"/>
      <c r="JEQ44" s="1044"/>
      <c r="JER44" s="1044"/>
      <c r="JES44" s="1044"/>
      <c r="JET44" s="1044"/>
      <c r="JEU44" s="1044"/>
      <c r="JEV44" s="1044"/>
      <c r="JEW44" s="1044"/>
      <c r="JEX44" s="1044"/>
      <c r="JEY44" s="1044"/>
      <c r="JEZ44" s="1044"/>
      <c r="JFA44" s="1044"/>
      <c r="JFB44" s="1044"/>
      <c r="JFC44" s="1044"/>
      <c r="JFD44" s="1044"/>
      <c r="JFE44" s="1044"/>
      <c r="JFF44" s="1044"/>
      <c r="JFG44" s="1044"/>
      <c r="JFH44" s="1044"/>
      <c r="JFI44" s="1044"/>
      <c r="JFJ44" s="1044"/>
      <c r="JFK44" s="1044"/>
      <c r="JFL44" s="1044"/>
      <c r="JFM44" s="1044"/>
      <c r="JFN44" s="1044"/>
      <c r="JFO44" s="1044"/>
      <c r="JFP44" s="1044"/>
      <c r="JFQ44" s="1044"/>
      <c r="JFR44" s="1044"/>
      <c r="JFS44" s="1044"/>
      <c r="JFT44" s="1044"/>
      <c r="JFU44" s="1044"/>
      <c r="JFV44" s="1044"/>
      <c r="JFW44" s="1044"/>
      <c r="JFX44" s="1044"/>
      <c r="JFY44" s="1044"/>
      <c r="JFZ44" s="1044"/>
      <c r="JGA44" s="1044"/>
      <c r="JGB44" s="1044"/>
      <c r="JGC44" s="1044"/>
      <c r="JGD44" s="1044"/>
      <c r="JGE44" s="1044"/>
      <c r="JGF44" s="1044"/>
      <c r="JGG44" s="1044"/>
      <c r="JGH44" s="1044"/>
      <c r="JGI44" s="1044"/>
      <c r="JGJ44" s="1044"/>
      <c r="JGK44" s="1044"/>
      <c r="JGL44" s="1044"/>
      <c r="JGM44" s="1044"/>
      <c r="JGN44" s="1044"/>
      <c r="JGO44" s="1044"/>
      <c r="JGP44" s="1044"/>
      <c r="JGQ44" s="1044"/>
      <c r="JGR44" s="1044"/>
      <c r="JGS44" s="1044"/>
      <c r="JGT44" s="1044"/>
      <c r="JGU44" s="1044"/>
      <c r="JGV44" s="1044"/>
      <c r="JGW44" s="1044"/>
      <c r="JGX44" s="1044"/>
      <c r="JGY44" s="1044"/>
      <c r="JGZ44" s="1044"/>
      <c r="JHA44" s="1044"/>
      <c r="JHB44" s="1044"/>
      <c r="JHC44" s="1044"/>
      <c r="JHD44" s="1044"/>
      <c r="JHE44" s="1044"/>
      <c r="JHF44" s="1044"/>
      <c r="JHG44" s="1044"/>
      <c r="JHH44" s="1044"/>
      <c r="JHI44" s="1044"/>
      <c r="JHJ44" s="1044"/>
      <c r="JHK44" s="1044"/>
      <c r="JHL44" s="1044"/>
      <c r="JHM44" s="1044"/>
      <c r="JHN44" s="1044"/>
      <c r="JHO44" s="1044"/>
      <c r="JHP44" s="1044"/>
      <c r="JHQ44" s="1044"/>
      <c r="JHR44" s="1044"/>
      <c r="JHS44" s="1044"/>
      <c r="JHT44" s="1044"/>
      <c r="JHU44" s="1044"/>
      <c r="JHV44" s="1044"/>
      <c r="JHW44" s="1044"/>
      <c r="JHX44" s="1044"/>
      <c r="JHY44" s="1044"/>
      <c r="JHZ44" s="1044"/>
      <c r="JIA44" s="1044"/>
      <c r="JIB44" s="1044"/>
      <c r="JIC44" s="1044"/>
      <c r="JID44" s="1044"/>
      <c r="JIE44" s="1044"/>
      <c r="JIF44" s="1044"/>
      <c r="JIG44" s="1044"/>
      <c r="JIH44" s="1044"/>
      <c r="JII44" s="1044"/>
      <c r="JIJ44" s="1044"/>
      <c r="JIK44" s="1044"/>
      <c r="JIL44" s="1044"/>
      <c r="JIM44" s="1044"/>
      <c r="JIN44" s="1044"/>
      <c r="JIO44" s="1044"/>
      <c r="JIP44" s="1044"/>
      <c r="JIQ44" s="1044"/>
      <c r="JIR44" s="1044"/>
      <c r="JIS44" s="1044"/>
      <c r="JIT44" s="1044"/>
      <c r="JIU44" s="1044"/>
      <c r="JIV44" s="1044"/>
      <c r="JIW44" s="1044"/>
      <c r="JIX44" s="1044"/>
      <c r="JIY44" s="1044"/>
      <c r="JIZ44" s="1044"/>
      <c r="JJA44" s="1044"/>
      <c r="JJB44" s="1044"/>
      <c r="JJC44" s="1044"/>
      <c r="JJD44" s="1044"/>
      <c r="JJE44" s="1044"/>
      <c r="JJF44" s="1044"/>
      <c r="JJG44" s="1044"/>
      <c r="JJH44" s="1044"/>
      <c r="JJI44" s="1044"/>
      <c r="JJJ44" s="1044"/>
      <c r="JJK44" s="1044"/>
      <c r="JJL44" s="1044"/>
      <c r="JJM44" s="1044"/>
      <c r="JJN44" s="1044"/>
      <c r="JJO44" s="1044"/>
      <c r="JJP44" s="1044"/>
      <c r="JJQ44" s="1044"/>
      <c r="JJR44" s="1044"/>
      <c r="JJS44" s="1044"/>
      <c r="JJT44" s="1044"/>
      <c r="JJU44" s="1044"/>
      <c r="JJV44" s="1044"/>
      <c r="JJW44" s="1044"/>
      <c r="JJX44" s="1044"/>
      <c r="JJY44" s="1044"/>
      <c r="JJZ44" s="1044"/>
      <c r="JKA44" s="1044"/>
      <c r="JKB44" s="1044"/>
      <c r="JKC44" s="1044"/>
      <c r="JKD44" s="1044"/>
      <c r="JKE44" s="1044"/>
      <c r="JKF44" s="1044"/>
      <c r="JKG44" s="1044"/>
      <c r="JKH44" s="1044"/>
      <c r="JKI44" s="1044"/>
      <c r="JKJ44" s="1044"/>
      <c r="JKK44" s="1044"/>
      <c r="JKL44" s="1044"/>
      <c r="JKM44" s="1044"/>
      <c r="JKN44" s="1044"/>
      <c r="JKO44" s="1044"/>
      <c r="JKP44" s="1044"/>
      <c r="JKQ44" s="1044"/>
      <c r="JKR44" s="1044"/>
      <c r="JKS44" s="1044"/>
      <c r="JKT44" s="1044"/>
      <c r="JKU44" s="1044"/>
      <c r="JKV44" s="1044"/>
      <c r="JKW44" s="1044"/>
      <c r="JKX44" s="1044"/>
      <c r="JKY44" s="1044"/>
      <c r="JKZ44" s="1044"/>
      <c r="JLA44" s="1044"/>
      <c r="JLB44" s="1044"/>
      <c r="JLC44" s="1044"/>
      <c r="JLD44" s="1044"/>
      <c r="JLE44" s="1044"/>
      <c r="JLF44" s="1044"/>
      <c r="JLG44" s="1044"/>
      <c r="JLH44" s="1044"/>
      <c r="JLI44" s="1044"/>
      <c r="JLJ44" s="1044"/>
      <c r="JLK44" s="1044"/>
      <c r="JLL44" s="1044"/>
      <c r="JLM44" s="1044"/>
      <c r="JLN44" s="1044"/>
      <c r="JLO44" s="1044"/>
      <c r="JLP44" s="1044"/>
      <c r="JLQ44" s="1044"/>
      <c r="JLR44" s="1044"/>
      <c r="JLS44" s="1044"/>
      <c r="JLT44" s="1044"/>
      <c r="JLU44" s="1044"/>
      <c r="JLV44" s="1044"/>
      <c r="JLW44" s="1044"/>
      <c r="JLX44" s="1044"/>
      <c r="JLY44" s="1044"/>
      <c r="JLZ44" s="1044"/>
      <c r="JMA44" s="1044"/>
      <c r="JMB44" s="1044"/>
      <c r="JMC44" s="1044"/>
      <c r="JMD44" s="1044"/>
      <c r="JME44" s="1044"/>
      <c r="JMF44" s="1044"/>
      <c r="JMG44" s="1044"/>
      <c r="JMH44" s="1044"/>
      <c r="JMI44" s="1044"/>
      <c r="JMJ44" s="1044"/>
      <c r="JMK44" s="1044"/>
      <c r="JML44" s="1044"/>
      <c r="JMM44" s="1044"/>
      <c r="JMN44" s="1044"/>
      <c r="JMO44" s="1044"/>
      <c r="JMP44" s="1044"/>
      <c r="JMQ44" s="1044"/>
      <c r="JMR44" s="1044"/>
      <c r="JMS44" s="1044"/>
      <c r="JMT44" s="1044"/>
      <c r="JMU44" s="1044"/>
      <c r="JMV44" s="1044"/>
      <c r="JMW44" s="1044"/>
      <c r="JMX44" s="1044"/>
      <c r="JMY44" s="1044"/>
      <c r="JMZ44" s="1044"/>
      <c r="JNA44" s="1044"/>
      <c r="JNB44" s="1044"/>
      <c r="JNC44" s="1044"/>
      <c r="JND44" s="1044"/>
      <c r="JNE44" s="1044"/>
      <c r="JNF44" s="1044"/>
      <c r="JNG44" s="1044"/>
      <c r="JNH44" s="1044"/>
      <c r="JNI44" s="1044"/>
      <c r="JNJ44" s="1044"/>
      <c r="JNK44" s="1044"/>
      <c r="JNL44" s="1044"/>
      <c r="JNM44" s="1044"/>
      <c r="JNN44" s="1044"/>
      <c r="JNO44" s="1044"/>
      <c r="JNP44" s="1044"/>
      <c r="JNQ44" s="1044"/>
      <c r="JNR44" s="1044"/>
      <c r="JNS44" s="1044"/>
      <c r="JNT44" s="1044"/>
      <c r="JNU44" s="1044"/>
      <c r="JNV44" s="1044"/>
      <c r="JNW44" s="1044"/>
      <c r="JNX44" s="1044"/>
      <c r="JNY44" s="1044"/>
      <c r="JNZ44" s="1044"/>
      <c r="JOA44" s="1044"/>
      <c r="JOB44" s="1044"/>
      <c r="JOC44" s="1044"/>
      <c r="JOD44" s="1044"/>
      <c r="JOE44" s="1044"/>
      <c r="JOF44" s="1044"/>
      <c r="JOG44" s="1044"/>
      <c r="JOH44" s="1044"/>
      <c r="JOI44" s="1044"/>
      <c r="JOJ44" s="1044"/>
      <c r="JOK44" s="1044"/>
      <c r="JOL44" s="1044"/>
      <c r="JOM44" s="1044"/>
      <c r="JON44" s="1044"/>
      <c r="JOO44" s="1044"/>
      <c r="JOP44" s="1044"/>
      <c r="JOQ44" s="1044"/>
      <c r="JOR44" s="1044"/>
      <c r="JOS44" s="1044"/>
      <c r="JOT44" s="1044"/>
      <c r="JOU44" s="1044"/>
      <c r="JOV44" s="1044"/>
      <c r="JOW44" s="1044"/>
      <c r="JOX44" s="1044"/>
      <c r="JOY44" s="1044"/>
      <c r="JOZ44" s="1044"/>
      <c r="JPA44" s="1044"/>
      <c r="JPB44" s="1044"/>
      <c r="JPC44" s="1044"/>
      <c r="JPD44" s="1044"/>
      <c r="JPE44" s="1044"/>
      <c r="JPF44" s="1044"/>
      <c r="JPG44" s="1044"/>
      <c r="JPH44" s="1044"/>
      <c r="JPI44" s="1044"/>
      <c r="JPJ44" s="1044"/>
      <c r="JPK44" s="1044"/>
      <c r="JPL44" s="1044"/>
      <c r="JPM44" s="1044"/>
      <c r="JPN44" s="1044"/>
      <c r="JPO44" s="1044"/>
      <c r="JPP44" s="1044"/>
      <c r="JPQ44" s="1044"/>
      <c r="JPR44" s="1044"/>
      <c r="JPS44" s="1044"/>
      <c r="JPT44" s="1044"/>
      <c r="JPU44" s="1044"/>
      <c r="JPV44" s="1044"/>
      <c r="JPW44" s="1044"/>
      <c r="JPX44" s="1044"/>
      <c r="JPY44" s="1044"/>
      <c r="JPZ44" s="1044"/>
      <c r="JQA44" s="1044"/>
      <c r="JQB44" s="1044"/>
      <c r="JQC44" s="1044"/>
      <c r="JQD44" s="1044"/>
      <c r="JQE44" s="1044"/>
      <c r="JQF44" s="1044"/>
      <c r="JQG44" s="1044"/>
      <c r="JQH44" s="1044"/>
      <c r="JQI44" s="1044"/>
      <c r="JQJ44" s="1044"/>
      <c r="JQK44" s="1044"/>
      <c r="JQL44" s="1044"/>
      <c r="JQM44" s="1044"/>
      <c r="JQN44" s="1044"/>
      <c r="JQO44" s="1044"/>
      <c r="JQP44" s="1044"/>
      <c r="JQQ44" s="1044"/>
      <c r="JQR44" s="1044"/>
      <c r="JQS44" s="1044"/>
      <c r="JQT44" s="1044"/>
      <c r="JQU44" s="1044"/>
      <c r="JQV44" s="1044"/>
      <c r="JQW44" s="1044"/>
      <c r="JQX44" s="1044"/>
      <c r="JQY44" s="1044"/>
      <c r="JQZ44" s="1044"/>
      <c r="JRA44" s="1044"/>
      <c r="JRB44" s="1044"/>
      <c r="JRC44" s="1044"/>
      <c r="JRD44" s="1044"/>
      <c r="JRE44" s="1044"/>
      <c r="JRF44" s="1044"/>
      <c r="JRG44" s="1044"/>
      <c r="JRH44" s="1044"/>
      <c r="JRI44" s="1044"/>
      <c r="JRJ44" s="1044"/>
      <c r="JRK44" s="1044"/>
      <c r="JRL44" s="1044"/>
      <c r="JRM44" s="1044"/>
      <c r="JRN44" s="1044"/>
      <c r="JRO44" s="1044"/>
      <c r="JRP44" s="1044"/>
      <c r="JRQ44" s="1044"/>
      <c r="JRR44" s="1044"/>
      <c r="JRS44" s="1044"/>
      <c r="JRT44" s="1044"/>
      <c r="JRU44" s="1044"/>
      <c r="JRV44" s="1044"/>
      <c r="JRW44" s="1044"/>
      <c r="JRX44" s="1044"/>
      <c r="JRY44" s="1044"/>
      <c r="JRZ44" s="1044"/>
      <c r="JSA44" s="1044"/>
      <c r="JSB44" s="1044"/>
      <c r="JSC44" s="1044"/>
      <c r="JSD44" s="1044"/>
      <c r="JSE44" s="1044"/>
      <c r="JSF44" s="1044"/>
      <c r="JSG44" s="1044"/>
      <c r="JSH44" s="1044"/>
      <c r="JSI44" s="1044"/>
      <c r="JSJ44" s="1044"/>
      <c r="JSK44" s="1044"/>
      <c r="JSL44" s="1044"/>
      <c r="JSM44" s="1044"/>
      <c r="JSN44" s="1044"/>
      <c r="JSO44" s="1044"/>
      <c r="JSP44" s="1044"/>
      <c r="JSQ44" s="1044"/>
      <c r="JSR44" s="1044"/>
      <c r="JSS44" s="1044"/>
      <c r="JST44" s="1044"/>
      <c r="JSU44" s="1044"/>
      <c r="JSV44" s="1044"/>
      <c r="JSW44" s="1044"/>
      <c r="JSX44" s="1044"/>
      <c r="JSY44" s="1044"/>
      <c r="JSZ44" s="1044"/>
      <c r="JTA44" s="1044"/>
      <c r="JTB44" s="1044"/>
      <c r="JTC44" s="1044"/>
      <c r="JTD44" s="1044"/>
      <c r="JTE44" s="1044"/>
      <c r="JTF44" s="1044"/>
      <c r="JTG44" s="1044"/>
      <c r="JTH44" s="1044"/>
      <c r="JTI44" s="1044"/>
      <c r="JTJ44" s="1044"/>
      <c r="JTK44" s="1044"/>
      <c r="JTL44" s="1044"/>
      <c r="JTM44" s="1044"/>
      <c r="JTN44" s="1044"/>
      <c r="JTO44" s="1044"/>
      <c r="JTP44" s="1044"/>
      <c r="JTQ44" s="1044"/>
      <c r="JTR44" s="1044"/>
      <c r="JTS44" s="1044"/>
      <c r="JTT44" s="1044"/>
      <c r="JTU44" s="1044"/>
      <c r="JTV44" s="1044"/>
      <c r="JTW44" s="1044"/>
      <c r="JTX44" s="1044"/>
      <c r="JTY44" s="1044"/>
      <c r="JTZ44" s="1044"/>
      <c r="JUA44" s="1044"/>
      <c r="JUB44" s="1044"/>
      <c r="JUC44" s="1044"/>
      <c r="JUD44" s="1044"/>
      <c r="JUE44" s="1044"/>
      <c r="JUF44" s="1044"/>
      <c r="JUG44" s="1044"/>
      <c r="JUH44" s="1044"/>
      <c r="JUI44" s="1044"/>
      <c r="JUJ44" s="1044"/>
      <c r="JUK44" s="1044"/>
      <c r="JUL44" s="1044"/>
      <c r="JUM44" s="1044"/>
      <c r="JUN44" s="1044"/>
      <c r="JUO44" s="1044"/>
      <c r="JUP44" s="1044"/>
      <c r="JUQ44" s="1044"/>
      <c r="JUR44" s="1044"/>
      <c r="JUS44" s="1044"/>
      <c r="JUT44" s="1044"/>
      <c r="JUU44" s="1044"/>
      <c r="JUV44" s="1044"/>
      <c r="JUW44" s="1044"/>
      <c r="JUX44" s="1044"/>
      <c r="JUY44" s="1044"/>
      <c r="JUZ44" s="1044"/>
      <c r="JVA44" s="1044"/>
      <c r="JVB44" s="1044"/>
      <c r="JVC44" s="1044"/>
      <c r="JVD44" s="1044"/>
      <c r="JVE44" s="1044"/>
      <c r="JVF44" s="1044"/>
      <c r="JVG44" s="1044"/>
      <c r="JVH44" s="1044"/>
      <c r="JVI44" s="1044"/>
      <c r="JVJ44" s="1044"/>
      <c r="JVK44" s="1044"/>
      <c r="JVL44" s="1044"/>
      <c r="JVM44" s="1044"/>
      <c r="JVN44" s="1044"/>
      <c r="JVO44" s="1044"/>
      <c r="JVP44" s="1044"/>
      <c r="JVQ44" s="1044"/>
      <c r="JVR44" s="1044"/>
      <c r="JVS44" s="1044"/>
      <c r="JVT44" s="1044"/>
      <c r="JVU44" s="1044"/>
      <c r="JVV44" s="1044"/>
      <c r="JVW44" s="1044"/>
      <c r="JVX44" s="1044"/>
      <c r="JVY44" s="1044"/>
      <c r="JVZ44" s="1044"/>
      <c r="JWA44" s="1044"/>
      <c r="JWB44" s="1044"/>
      <c r="JWC44" s="1044"/>
      <c r="JWD44" s="1044"/>
      <c r="JWE44" s="1044"/>
      <c r="JWF44" s="1044"/>
      <c r="JWG44" s="1044"/>
      <c r="JWH44" s="1044"/>
      <c r="JWI44" s="1044"/>
      <c r="JWJ44" s="1044"/>
      <c r="JWK44" s="1044"/>
      <c r="JWL44" s="1044"/>
      <c r="JWM44" s="1044"/>
      <c r="JWN44" s="1044"/>
      <c r="JWO44" s="1044"/>
      <c r="JWP44" s="1044"/>
      <c r="JWQ44" s="1044"/>
      <c r="JWR44" s="1044"/>
      <c r="JWS44" s="1044"/>
      <c r="JWT44" s="1044"/>
      <c r="JWU44" s="1044"/>
      <c r="JWV44" s="1044"/>
      <c r="JWW44" s="1044"/>
      <c r="JWX44" s="1044"/>
      <c r="JWY44" s="1044"/>
      <c r="JWZ44" s="1044"/>
      <c r="JXA44" s="1044"/>
      <c r="JXB44" s="1044"/>
      <c r="JXC44" s="1044"/>
      <c r="JXD44" s="1044"/>
      <c r="JXE44" s="1044"/>
      <c r="JXF44" s="1044"/>
      <c r="JXG44" s="1044"/>
      <c r="JXH44" s="1044"/>
      <c r="JXI44" s="1044"/>
      <c r="JXJ44" s="1044"/>
      <c r="JXK44" s="1044"/>
      <c r="JXL44" s="1044"/>
      <c r="JXM44" s="1044"/>
      <c r="JXN44" s="1044"/>
      <c r="JXO44" s="1044"/>
      <c r="JXP44" s="1044"/>
      <c r="JXQ44" s="1044"/>
      <c r="JXR44" s="1044"/>
      <c r="JXS44" s="1044"/>
      <c r="JXT44" s="1044"/>
      <c r="JXU44" s="1044"/>
      <c r="JXV44" s="1044"/>
      <c r="JXW44" s="1044"/>
      <c r="JXX44" s="1044"/>
      <c r="JXY44" s="1044"/>
      <c r="JXZ44" s="1044"/>
      <c r="JYA44" s="1044"/>
      <c r="JYB44" s="1044"/>
      <c r="JYC44" s="1044"/>
      <c r="JYD44" s="1044"/>
      <c r="JYE44" s="1044"/>
      <c r="JYF44" s="1044"/>
      <c r="JYG44" s="1044"/>
      <c r="JYH44" s="1044"/>
      <c r="JYI44" s="1044"/>
      <c r="JYJ44" s="1044"/>
      <c r="JYK44" s="1044"/>
      <c r="JYL44" s="1044"/>
      <c r="JYM44" s="1044"/>
      <c r="JYN44" s="1044"/>
      <c r="JYO44" s="1044"/>
      <c r="JYP44" s="1044"/>
      <c r="JYQ44" s="1044"/>
      <c r="JYR44" s="1044"/>
      <c r="JYS44" s="1044"/>
      <c r="JYT44" s="1044"/>
      <c r="JYU44" s="1044"/>
      <c r="JYV44" s="1044"/>
      <c r="JYW44" s="1044"/>
      <c r="JYX44" s="1044"/>
      <c r="JYY44" s="1044"/>
      <c r="JYZ44" s="1044"/>
      <c r="JZA44" s="1044"/>
      <c r="JZB44" s="1044"/>
      <c r="JZC44" s="1044"/>
      <c r="JZD44" s="1044"/>
      <c r="JZE44" s="1044"/>
      <c r="JZF44" s="1044"/>
      <c r="JZG44" s="1044"/>
      <c r="JZH44" s="1044"/>
      <c r="JZI44" s="1044"/>
      <c r="JZJ44" s="1044"/>
      <c r="JZK44" s="1044"/>
      <c r="JZL44" s="1044"/>
      <c r="JZM44" s="1044"/>
      <c r="JZN44" s="1044"/>
      <c r="JZO44" s="1044"/>
      <c r="JZP44" s="1044"/>
      <c r="JZQ44" s="1044"/>
      <c r="JZR44" s="1044"/>
      <c r="JZS44" s="1044"/>
      <c r="JZT44" s="1044"/>
      <c r="JZU44" s="1044"/>
      <c r="JZV44" s="1044"/>
      <c r="JZW44" s="1044"/>
      <c r="JZX44" s="1044"/>
      <c r="JZY44" s="1044"/>
      <c r="JZZ44" s="1044"/>
      <c r="KAA44" s="1044"/>
      <c r="KAB44" s="1044"/>
      <c r="KAC44" s="1044"/>
      <c r="KAD44" s="1044"/>
      <c r="KAE44" s="1044"/>
      <c r="KAF44" s="1044"/>
      <c r="KAG44" s="1044"/>
      <c r="KAH44" s="1044"/>
      <c r="KAI44" s="1044"/>
      <c r="KAJ44" s="1044"/>
      <c r="KAK44" s="1044"/>
      <c r="KAL44" s="1044"/>
      <c r="KAM44" s="1044"/>
      <c r="KAN44" s="1044"/>
      <c r="KAO44" s="1044"/>
      <c r="KAP44" s="1044"/>
      <c r="KAQ44" s="1044"/>
      <c r="KAR44" s="1044"/>
      <c r="KAS44" s="1044"/>
      <c r="KAT44" s="1044"/>
      <c r="KAU44" s="1044"/>
      <c r="KAV44" s="1044"/>
      <c r="KAW44" s="1044"/>
      <c r="KAX44" s="1044"/>
      <c r="KAY44" s="1044"/>
      <c r="KAZ44" s="1044"/>
      <c r="KBA44" s="1044"/>
      <c r="KBB44" s="1044"/>
      <c r="KBC44" s="1044"/>
      <c r="KBD44" s="1044"/>
      <c r="KBE44" s="1044"/>
      <c r="KBF44" s="1044"/>
      <c r="KBG44" s="1044"/>
      <c r="KBH44" s="1044"/>
      <c r="KBI44" s="1044"/>
      <c r="KBJ44" s="1044"/>
      <c r="KBK44" s="1044"/>
      <c r="KBL44" s="1044"/>
      <c r="KBM44" s="1044"/>
      <c r="KBN44" s="1044"/>
      <c r="KBO44" s="1044"/>
      <c r="KBP44" s="1044"/>
      <c r="KBQ44" s="1044"/>
      <c r="KBR44" s="1044"/>
      <c r="KBS44" s="1044"/>
      <c r="KBT44" s="1044"/>
      <c r="KBU44" s="1044"/>
      <c r="KBV44" s="1044"/>
      <c r="KBW44" s="1044"/>
      <c r="KBX44" s="1044"/>
      <c r="KBY44" s="1044"/>
      <c r="KBZ44" s="1044"/>
      <c r="KCA44" s="1044"/>
      <c r="KCB44" s="1044"/>
      <c r="KCC44" s="1044"/>
      <c r="KCD44" s="1044"/>
      <c r="KCE44" s="1044"/>
      <c r="KCF44" s="1044"/>
      <c r="KCG44" s="1044"/>
      <c r="KCH44" s="1044"/>
      <c r="KCI44" s="1044"/>
      <c r="KCJ44" s="1044"/>
      <c r="KCK44" s="1044"/>
      <c r="KCL44" s="1044"/>
      <c r="KCM44" s="1044"/>
      <c r="KCN44" s="1044"/>
      <c r="KCO44" s="1044"/>
      <c r="KCP44" s="1044"/>
      <c r="KCQ44" s="1044"/>
      <c r="KCR44" s="1044"/>
      <c r="KCS44" s="1044"/>
      <c r="KCT44" s="1044"/>
      <c r="KCU44" s="1044"/>
      <c r="KCV44" s="1044"/>
      <c r="KCW44" s="1044"/>
      <c r="KCX44" s="1044"/>
      <c r="KCY44" s="1044"/>
      <c r="KCZ44" s="1044"/>
      <c r="KDA44" s="1044"/>
      <c r="KDB44" s="1044"/>
      <c r="KDC44" s="1044"/>
      <c r="KDD44" s="1044"/>
      <c r="KDE44" s="1044"/>
      <c r="KDF44" s="1044"/>
      <c r="KDG44" s="1044"/>
      <c r="KDH44" s="1044"/>
      <c r="KDI44" s="1044"/>
      <c r="KDJ44" s="1044"/>
      <c r="KDK44" s="1044"/>
      <c r="KDL44" s="1044"/>
      <c r="KDM44" s="1044"/>
      <c r="KDN44" s="1044"/>
      <c r="KDO44" s="1044"/>
      <c r="KDP44" s="1044"/>
      <c r="KDQ44" s="1044"/>
      <c r="KDR44" s="1044"/>
      <c r="KDS44" s="1044"/>
      <c r="KDT44" s="1044"/>
      <c r="KDU44" s="1044"/>
      <c r="KDV44" s="1044"/>
      <c r="KDW44" s="1044"/>
      <c r="KDX44" s="1044"/>
      <c r="KDY44" s="1044"/>
      <c r="KDZ44" s="1044"/>
      <c r="KEA44" s="1044"/>
      <c r="KEB44" s="1044"/>
      <c r="KEC44" s="1044"/>
      <c r="KED44" s="1044"/>
      <c r="KEE44" s="1044"/>
      <c r="KEF44" s="1044"/>
      <c r="KEG44" s="1044"/>
      <c r="KEH44" s="1044"/>
      <c r="KEI44" s="1044"/>
      <c r="KEJ44" s="1044"/>
      <c r="KEK44" s="1044"/>
      <c r="KEL44" s="1044"/>
      <c r="KEM44" s="1044"/>
      <c r="KEN44" s="1044"/>
      <c r="KEO44" s="1044"/>
      <c r="KEP44" s="1044"/>
      <c r="KEQ44" s="1044"/>
      <c r="KER44" s="1044"/>
      <c r="KES44" s="1044"/>
      <c r="KET44" s="1044"/>
      <c r="KEU44" s="1044"/>
      <c r="KEV44" s="1044"/>
      <c r="KEW44" s="1044"/>
      <c r="KEX44" s="1044"/>
      <c r="KEY44" s="1044"/>
      <c r="KEZ44" s="1044"/>
      <c r="KFA44" s="1044"/>
      <c r="KFB44" s="1044"/>
      <c r="KFC44" s="1044"/>
      <c r="KFD44" s="1044"/>
      <c r="KFE44" s="1044"/>
      <c r="KFF44" s="1044"/>
      <c r="KFG44" s="1044"/>
      <c r="KFH44" s="1044"/>
      <c r="KFI44" s="1044"/>
      <c r="KFJ44" s="1044"/>
      <c r="KFK44" s="1044"/>
      <c r="KFL44" s="1044"/>
      <c r="KFM44" s="1044"/>
      <c r="KFN44" s="1044"/>
      <c r="KFO44" s="1044"/>
      <c r="KFP44" s="1044"/>
      <c r="KFQ44" s="1044"/>
      <c r="KFR44" s="1044"/>
      <c r="KFS44" s="1044"/>
      <c r="KFT44" s="1044"/>
      <c r="KFU44" s="1044"/>
      <c r="KFV44" s="1044"/>
      <c r="KFW44" s="1044"/>
      <c r="KFX44" s="1044"/>
      <c r="KFY44" s="1044"/>
      <c r="KFZ44" s="1044"/>
      <c r="KGA44" s="1044"/>
      <c r="KGB44" s="1044"/>
      <c r="KGC44" s="1044"/>
      <c r="KGD44" s="1044"/>
      <c r="KGE44" s="1044"/>
      <c r="KGF44" s="1044"/>
      <c r="KGG44" s="1044"/>
      <c r="KGH44" s="1044"/>
      <c r="KGI44" s="1044"/>
      <c r="KGJ44" s="1044"/>
      <c r="KGK44" s="1044"/>
      <c r="KGL44" s="1044"/>
      <c r="KGM44" s="1044"/>
      <c r="KGN44" s="1044"/>
      <c r="KGO44" s="1044"/>
      <c r="KGP44" s="1044"/>
      <c r="KGQ44" s="1044"/>
      <c r="KGR44" s="1044"/>
      <c r="KGS44" s="1044"/>
      <c r="KGT44" s="1044"/>
      <c r="KGU44" s="1044"/>
      <c r="KGV44" s="1044"/>
      <c r="KGW44" s="1044"/>
      <c r="KGX44" s="1044"/>
      <c r="KGY44" s="1044"/>
      <c r="KGZ44" s="1044"/>
      <c r="KHA44" s="1044"/>
      <c r="KHB44" s="1044"/>
      <c r="KHC44" s="1044"/>
      <c r="KHD44" s="1044"/>
      <c r="KHE44" s="1044"/>
      <c r="KHF44" s="1044"/>
      <c r="KHG44" s="1044"/>
      <c r="KHH44" s="1044"/>
      <c r="KHI44" s="1044"/>
      <c r="KHJ44" s="1044"/>
      <c r="KHK44" s="1044"/>
      <c r="KHL44" s="1044"/>
      <c r="KHM44" s="1044"/>
      <c r="KHN44" s="1044"/>
      <c r="KHO44" s="1044"/>
      <c r="KHP44" s="1044"/>
      <c r="KHQ44" s="1044"/>
      <c r="KHR44" s="1044"/>
      <c r="KHS44" s="1044"/>
      <c r="KHT44" s="1044"/>
      <c r="KHU44" s="1044"/>
      <c r="KHV44" s="1044"/>
      <c r="KHW44" s="1044"/>
      <c r="KHX44" s="1044"/>
      <c r="KHY44" s="1044"/>
      <c r="KHZ44" s="1044"/>
      <c r="KIA44" s="1044"/>
      <c r="KIB44" s="1044"/>
      <c r="KIC44" s="1044"/>
      <c r="KID44" s="1044"/>
      <c r="KIE44" s="1044"/>
      <c r="KIF44" s="1044"/>
      <c r="KIG44" s="1044"/>
      <c r="KIH44" s="1044"/>
      <c r="KII44" s="1044"/>
      <c r="KIJ44" s="1044"/>
      <c r="KIK44" s="1044"/>
      <c r="KIL44" s="1044"/>
      <c r="KIM44" s="1044"/>
      <c r="KIN44" s="1044"/>
      <c r="KIO44" s="1044"/>
      <c r="KIP44" s="1044"/>
      <c r="KIQ44" s="1044"/>
      <c r="KIR44" s="1044"/>
      <c r="KIS44" s="1044"/>
      <c r="KIT44" s="1044"/>
      <c r="KIU44" s="1044"/>
      <c r="KIV44" s="1044"/>
      <c r="KIW44" s="1044"/>
      <c r="KIX44" s="1044"/>
      <c r="KIY44" s="1044"/>
      <c r="KIZ44" s="1044"/>
      <c r="KJA44" s="1044"/>
      <c r="KJB44" s="1044"/>
      <c r="KJC44" s="1044"/>
      <c r="KJD44" s="1044"/>
      <c r="KJE44" s="1044"/>
      <c r="KJF44" s="1044"/>
      <c r="KJG44" s="1044"/>
      <c r="KJH44" s="1044"/>
      <c r="KJI44" s="1044"/>
      <c r="KJJ44" s="1044"/>
      <c r="KJK44" s="1044"/>
      <c r="KJL44" s="1044"/>
      <c r="KJM44" s="1044"/>
      <c r="KJN44" s="1044"/>
      <c r="KJO44" s="1044"/>
      <c r="KJP44" s="1044"/>
      <c r="KJQ44" s="1044"/>
      <c r="KJR44" s="1044"/>
      <c r="KJS44" s="1044"/>
      <c r="KJT44" s="1044"/>
      <c r="KJU44" s="1044"/>
      <c r="KJV44" s="1044"/>
      <c r="KJW44" s="1044"/>
      <c r="KJX44" s="1044"/>
      <c r="KJY44" s="1044"/>
      <c r="KJZ44" s="1044"/>
      <c r="KKA44" s="1044"/>
      <c r="KKB44" s="1044"/>
      <c r="KKC44" s="1044"/>
      <c r="KKD44" s="1044"/>
      <c r="KKE44" s="1044"/>
      <c r="KKF44" s="1044"/>
      <c r="KKG44" s="1044"/>
      <c r="KKH44" s="1044"/>
      <c r="KKI44" s="1044"/>
      <c r="KKJ44" s="1044"/>
      <c r="KKK44" s="1044"/>
      <c r="KKL44" s="1044"/>
      <c r="KKM44" s="1044"/>
      <c r="KKN44" s="1044"/>
      <c r="KKO44" s="1044"/>
      <c r="KKP44" s="1044"/>
      <c r="KKQ44" s="1044"/>
      <c r="KKR44" s="1044"/>
      <c r="KKS44" s="1044"/>
      <c r="KKT44" s="1044"/>
      <c r="KKU44" s="1044"/>
      <c r="KKV44" s="1044"/>
      <c r="KKW44" s="1044"/>
      <c r="KKX44" s="1044"/>
      <c r="KKY44" s="1044"/>
      <c r="KKZ44" s="1044"/>
      <c r="KLA44" s="1044"/>
      <c r="KLB44" s="1044"/>
      <c r="KLC44" s="1044"/>
      <c r="KLD44" s="1044"/>
      <c r="KLE44" s="1044"/>
      <c r="KLF44" s="1044"/>
      <c r="KLG44" s="1044"/>
      <c r="KLH44" s="1044"/>
      <c r="KLI44" s="1044"/>
      <c r="KLJ44" s="1044"/>
      <c r="KLK44" s="1044"/>
      <c r="KLL44" s="1044"/>
      <c r="KLM44" s="1044"/>
      <c r="KLN44" s="1044"/>
      <c r="KLO44" s="1044"/>
      <c r="KLP44" s="1044"/>
      <c r="KLQ44" s="1044"/>
      <c r="KLR44" s="1044"/>
      <c r="KLS44" s="1044"/>
      <c r="KLT44" s="1044"/>
      <c r="KLU44" s="1044"/>
      <c r="KLV44" s="1044"/>
      <c r="KLW44" s="1044"/>
      <c r="KLX44" s="1044"/>
      <c r="KLY44" s="1044"/>
      <c r="KLZ44" s="1044"/>
      <c r="KMA44" s="1044"/>
      <c r="KMB44" s="1044"/>
      <c r="KMC44" s="1044"/>
      <c r="KMD44" s="1044"/>
      <c r="KME44" s="1044"/>
      <c r="KMF44" s="1044"/>
      <c r="KMG44" s="1044"/>
      <c r="KMH44" s="1044"/>
      <c r="KMI44" s="1044"/>
      <c r="KMJ44" s="1044"/>
      <c r="KMK44" s="1044"/>
      <c r="KML44" s="1044"/>
      <c r="KMM44" s="1044"/>
      <c r="KMN44" s="1044"/>
      <c r="KMO44" s="1044"/>
      <c r="KMP44" s="1044"/>
      <c r="KMQ44" s="1044"/>
      <c r="KMR44" s="1044"/>
      <c r="KMS44" s="1044"/>
      <c r="KMT44" s="1044"/>
      <c r="KMU44" s="1044"/>
      <c r="KMV44" s="1044"/>
      <c r="KMW44" s="1044"/>
      <c r="KMX44" s="1044"/>
      <c r="KMY44" s="1044"/>
      <c r="KMZ44" s="1044"/>
      <c r="KNA44" s="1044"/>
      <c r="KNB44" s="1044"/>
      <c r="KNC44" s="1044"/>
      <c r="KND44" s="1044"/>
      <c r="KNE44" s="1044"/>
      <c r="KNF44" s="1044"/>
      <c r="KNG44" s="1044"/>
      <c r="KNH44" s="1044"/>
      <c r="KNI44" s="1044"/>
      <c r="KNJ44" s="1044"/>
      <c r="KNK44" s="1044"/>
      <c r="KNL44" s="1044"/>
      <c r="KNM44" s="1044"/>
      <c r="KNN44" s="1044"/>
      <c r="KNO44" s="1044"/>
      <c r="KNP44" s="1044"/>
      <c r="KNQ44" s="1044"/>
      <c r="KNR44" s="1044"/>
      <c r="KNS44" s="1044"/>
      <c r="KNT44" s="1044"/>
      <c r="KNU44" s="1044"/>
      <c r="KNV44" s="1044"/>
      <c r="KNW44" s="1044"/>
      <c r="KNX44" s="1044"/>
      <c r="KNY44" s="1044"/>
      <c r="KNZ44" s="1044"/>
      <c r="KOA44" s="1044"/>
      <c r="KOB44" s="1044"/>
      <c r="KOC44" s="1044"/>
      <c r="KOD44" s="1044"/>
      <c r="KOE44" s="1044"/>
      <c r="KOF44" s="1044"/>
      <c r="KOG44" s="1044"/>
      <c r="KOH44" s="1044"/>
      <c r="KOI44" s="1044"/>
      <c r="KOJ44" s="1044"/>
      <c r="KOK44" s="1044"/>
      <c r="KOL44" s="1044"/>
      <c r="KOM44" s="1044"/>
      <c r="KON44" s="1044"/>
      <c r="KOO44" s="1044"/>
      <c r="KOP44" s="1044"/>
      <c r="KOQ44" s="1044"/>
      <c r="KOR44" s="1044"/>
      <c r="KOS44" s="1044"/>
      <c r="KOT44" s="1044"/>
      <c r="KOU44" s="1044"/>
      <c r="KOV44" s="1044"/>
      <c r="KOW44" s="1044"/>
      <c r="KOX44" s="1044"/>
      <c r="KOY44" s="1044"/>
      <c r="KOZ44" s="1044"/>
      <c r="KPA44" s="1044"/>
      <c r="KPB44" s="1044"/>
      <c r="KPC44" s="1044"/>
      <c r="KPD44" s="1044"/>
      <c r="KPE44" s="1044"/>
      <c r="KPF44" s="1044"/>
      <c r="KPG44" s="1044"/>
      <c r="KPH44" s="1044"/>
      <c r="KPI44" s="1044"/>
      <c r="KPJ44" s="1044"/>
      <c r="KPK44" s="1044"/>
      <c r="KPL44" s="1044"/>
      <c r="KPM44" s="1044"/>
      <c r="KPN44" s="1044"/>
      <c r="KPO44" s="1044"/>
      <c r="KPP44" s="1044"/>
      <c r="KPQ44" s="1044"/>
      <c r="KPR44" s="1044"/>
      <c r="KPS44" s="1044"/>
      <c r="KPT44" s="1044"/>
      <c r="KPU44" s="1044"/>
      <c r="KPV44" s="1044"/>
      <c r="KPW44" s="1044"/>
      <c r="KPX44" s="1044"/>
      <c r="KPY44" s="1044"/>
      <c r="KPZ44" s="1044"/>
      <c r="KQA44" s="1044"/>
      <c r="KQB44" s="1044"/>
      <c r="KQC44" s="1044"/>
      <c r="KQD44" s="1044"/>
      <c r="KQE44" s="1044"/>
      <c r="KQF44" s="1044"/>
      <c r="KQG44" s="1044"/>
      <c r="KQH44" s="1044"/>
      <c r="KQI44" s="1044"/>
      <c r="KQJ44" s="1044"/>
      <c r="KQK44" s="1044"/>
      <c r="KQL44" s="1044"/>
      <c r="KQM44" s="1044"/>
      <c r="KQN44" s="1044"/>
      <c r="KQO44" s="1044"/>
      <c r="KQP44" s="1044"/>
      <c r="KQQ44" s="1044"/>
      <c r="KQR44" s="1044"/>
      <c r="KQS44" s="1044"/>
      <c r="KQT44" s="1044"/>
      <c r="KQU44" s="1044"/>
      <c r="KQV44" s="1044"/>
      <c r="KQW44" s="1044"/>
      <c r="KQX44" s="1044"/>
      <c r="KQY44" s="1044"/>
      <c r="KQZ44" s="1044"/>
      <c r="KRA44" s="1044"/>
      <c r="KRB44" s="1044"/>
      <c r="KRC44" s="1044"/>
      <c r="KRD44" s="1044"/>
      <c r="KRE44" s="1044"/>
      <c r="KRF44" s="1044"/>
      <c r="KRG44" s="1044"/>
      <c r="KRH44" s="1044"/>
      <c r="KRI44" s="1044"/>
      <c r="KRJ44" s="1044"/>
      <c r="KRK44" s="1044"/>
      <c r="KRL44" s="1044"/>
      <c r="KRM44" s="1044"/>
      <c r="KRN44" s="1044"/>
      <c r="KRO44" s="1044"/>
      <c r="KRP44" s="1044"/>
      <c r="KRQ44" s="1044"/>
      <c r="KRR44" s="1044"/>
      <c r="KRS44" s="1044"/>
      <c r="KRT44" s="1044"/>
      <c r="KRU44" s="1044"/>
      <c r="KRV44" s="1044"/>
      <c r="KRW44" s="1044"/>
      <c r="KRX44" s="1044"/>
      <c r="KRY44" s="1044"/>
      <c r="KRZ44" s="1044"/>
      <c r="KSA44" s="1044"/>
      <c r="KSB44" s="1044"/>
      <c r="KSC44" s="1044"/>
      <c r="KSD44" s="1044"/>
      <c r="KSE44" s="1044"/>
      <c r="KSF44" s="1044"/>
      <c r="KSG44" s="1044"/>
      <c r="KSH44" s="1044"/>
      <c r="KSI44" s="1044"/>
      <c r="KSJ44" s="1044"/>
      <c r="KSK44" s="1044"/>
      <c r="KSL44" s="1044"/>
      <c r="KSM44" s="1044"/>
      <c r="KSN44" s="1044"/>
      <c r="KSO44" s="1044"/>
      <c r="KSP44" s="1044"/>
      <c r="KSQ44" s="1044"/>
      <c r="KSR44" s="1044"/>
      <c r="KSS44" s="1044"/>
      <c r="KST44" s="1044"/>
      <c r="KSU44" s="1044"/>
      <c r="KSV44" s="1044"/>
      <c r="KSW44" s="1044"/>
      <c r="KSX44" s="1044"/>
      <c r="KSY44" s="1044"/>
      <c r="KSZ44" s="1044"/>
      <c r="KTA44" s="1044"/>
      <c r="KTB44" s="1044"/>
      <c r="KTC44" s="1044"/>
      <c r="KTD44" s="1044"/>
      <c r="KTE44" s="1044"/>
      <c r="KTF44" s="1044"/>
      <c r="KTG44" s="1044"/>
      <c r="KTH44" s="1044"/>
      <c r="KTI44" s="1044"/>
      <c r="KTJ44" s="1044"/>
      <c r="KTK44" s="1044"/>
      <c r="KTL44" s="1044"/>
      <c r="KTM44" s="1044"/>
      <c r="KTN44" s="1044"/>
      <c r="KTO44" s="1044"/>
      <c r="KTP44" s="1044"/>
      <c r="KTQ44" s="1044"/>
      <c r="KTR44" s="1044"/>
      <c r="KTS44" s="1044"/>
      <c r="KTT44" s="1044"/>
      <c r="KTU44" s="1044"/>
      <c r="KTV44" s="1044"/>
      <c r="KTW44" s="1044"/>
      <c r="KTX44" s="1044"/>
      <c r="KTY44" s="1044"/>
      <c r="KTZ44" s="1044"/>
      <c r="KUA44" s="1044"/>
      <c r="KUB44" s="1044"/>
      <c r="KUC44" s="1044"/>
      <c r="KUD44" s="1044"/>
      <c r="KUE44" s="1044"/>
      <c r="KUF44" s="1044"/>
      <c r="KUG44" s="1044"/>
      <c r="KUH44" s="1044"/>
      <c r="KUI44" s="1044"/>
      <c r="KUJ44" s="1044"/>
      <c r="KUK44" s="1044"/>
      <c r="KUL44" s="1044"/>
      <c r="KUM44" s="1044"/>
      <c r="KUN44" s="1044"/>
      <c r="KUO44" s="1044"/>
      <c r="KUP44" s="1044"/>
      <c r="KUQ44" s="1044"/>
      <c r="KUR44" s="1044"/>
      <c r="KUS44" s="1044"/>
      <c r="KUT44" s="1044"/>
      <c r="KUU44" s="1044"/>
      <c r="KUV44" s="1044"/>
      <c r="KUW44" s="1044"/>
      <c r="KUX44" s="1044"/>
      <c r="KUY44" s="1044"/>
      <c r="KUZ44" s="1044"/>
      <c r="KVA44" s="1044"/>
      <c r="KVB44" s="1044"/>
      <c r="KVC44" s="1044"/>
      <c r="KVD44" s="1044"/>
      <c r="KVE44" s="1044"/>
      <c r="KVF44" s="1044"/>
      <c r="KVG44" s="1044"/>
      <c r="KVH44" s="1044"/>
      <c r="KVI44" s="1044"/>
      <c r="KVJ44" s="1044"/>
      <c r="KVK44" s="1044"/>
      <c r="KVL44" s="1044"/>
      <c r="KVM44" s="1044"/>
      <c r="KVN44" s="1044"/>
      <c r="KVO44" s="1044"/>
      <c r="KVP44" s="1044"/>
      <c r="KVQ44" s="1044"/>
      <c r="KVR44" s="1044"/>
      <c r="KVS44" s="1044"/>
      <c r="KVT44" s="1044"/>
      <c r="KVU44" s="1044"/>
      <c r="KVV44" s="1044"/>
      <c r="KVW44" s="1044"/>
      <c r="KVX44" s="1044"/>
      <c r="KVY44" s="1044"/>
      <c r="KVZ44" s="1044"/>
      <c r="KWA44" s="1044"/>
      <c r="KWB44" s="1044"/>
      <c r="KWC44" s="1044"/>
      <c r="KWD44" s="1044"/>
      <c r="KWE44" s="1044"/>
      <c r="KWF44" s="1044"/>
      <c r="KWG44" s="1044"/>
      <c r="KWH44" s="1044"/>
      <c r="KWI44" s="1044"/>
      <c r="KWJ44" s="1044"/>
      <c r="KWK44" s="1044"/>
      <c r="KWL44" s="1044"/>
      <c r="KWM44" s="1044"/>
      <c r="KWN44" s="1044"/>
      <c r="KWO44" s="1044"/>
      <c r="KWP44" s="1044"/>
      <c r="KWQ44" s="1044"/>
      <c r="KWR44" s="1044"/>
      <c r="KWS44" s="1044"/>
      <c r="KWT44" s="1044"/>
      <c r="KWU44" s="1044"/>
      <c r="KWV44" s="1044"/>
      <c r="KWW44" s="1044"/>
      <c r="KWX44" s="1044"/>
      <c r="KWY44" s="1044"/>
      <c r="KWZ44" s="1044"/>
      <c r="KXA44" s="1044"/>
      <c r="KXB44" s="1044"/>
      <c r="KXC44" s="1044"/>
      <c r="KXD44" s="1044"/>
      <c r="KXE44" s="1044"/>
      <c r="KXF44" s="1044"/>
      <c r="KXG44" s="1044"/>
      <c r="KXH44" s="1044"/>
      <c r="KXI44" s="1044"/>
      <c r="KXJ44" s="1044"/>
      <c r="KXK44" s="1044"/>
      <c r="KXL44" s="1044"/>
      <c r="KXM44" s="1044"/>
      <c r="KXN44" s="1044"/>
      <c r="KXO44" s="1044"/>
      <c r="KXP44" s="1044"/>
      <c r="KXQ44" s="1044"/>
      <c r="KXR44" s="1044"/>
      <c r="KXS44" s="1044"/>
      <c r="KXT44" s="1044"/>
      <c r="KXU44" s="1044"/>
      <c r="KXV44" s="1044"/>
      <c r="KXW44" s="1044"/>
      <c r="KXX44" s="1044"/>
      <c r="KXY44" s="1044"/>
      <c r="KXZ44" s="1044"/>
      <c r="KYA44" s="1044"/>
      <c r="KYB44" s="1044"/>
      <c r="KYC44" s="1044"/>
      <c r="KYD44" s="1044"/>
      <c r="KYE44" s="1044"/>
      <c r="KYF44" s="1044"/>
      <c r="KYG44" s="1044"/>
      <c r="KYH44" s="1044"/>
      <c r="KYI44" s="1044"/>
      <c r="KYJ44" s="1044"/>
      <c r="KYK44" s="1044"/>
      <c r="KYL44" s="1044"/>
      <c r="KYM44" s="1044"/>
      <c r="KYN44" s="1044"/>
      <c r="KYO44" s="1044"/>
      <c r="KYP44" s="1044"/>
      <c r="KYQ44" s="1044"/>
      <c r="KYR44" s="1044"/>
      <c r="KYS44" s="1044"/>
      <c r="KYT44" s="1044"/>
      <c r="KYU44" s="1044"/>
      <c r="KYV44" s="1044"/>
      <c r="KYW44" s="1044"/>
      <c r="KYX44" s="1044"/>
      <c r="KYY44" s="1044"/>
      <c r="KYZ44" s="1044"/>
      <c r="KZA44" s="1044"/>
      <c r="KZB44" s="1044"/>
      <c r="KZC44" s="1044"/>
      <c r="KZD44" s="1044"/>
      <c r="KZE44" s="1044"/>
      <c r="KZF44" s="1044"/>
      <c r="KZG44" s="1044"/>
      <c r="KZH44" s="1044"/>
      <c r="KZI44" s="1044"/>
      <c r="KZJ44" s="1044"/>
      <c r="KZK44" s="1044"/>
      <c r="KZL44" s="1044"/>
      <c r="KZM44" s="1044"/>
      <c r="KZN44" s="1044"/>
      <c r="KZO44" s="1044"/>
      <c r="KZP44" s="1044"/>
      <c r="KZQ44" s="1044"/>
      <c r="KZR44" s="1044"/>
      <c r="KZS44" s="1044"/>
      <c r="KZT44" s="1044"/>
      <c r="KZU44" s="1044"/>
      <c r="KZV44" s="1044"/>
      <c r="KZW44" s="1044"/>
      <c r="KZX44" s="1044"/>
      <c r="KZY44" s="1044"/>
      <c r="KZZ44" s="1044"/>
      <c r="LAA44" s="1044"/>
      <c r="LAB44" s="1044"/>
      <c r="LAC44" s="1044"/>
      <c r="LAD44" s="1044"/>
      <c r="LAE44" s="1044"/>
      <c r="LAF44" s="1044"/>
      <c r="LAG44" s="1044"/>
      <c r="LAH44" s="1044"/>
      <c r="LAI44" s="1044"/>
      <c r="LAJ44" s="1044"/>
      <c r="LAK44" s="1044"/>
      <c r="LAL44" s="1044"/>
      <c r="LAM44" s="1044"/>
      <c r="LAN44" s="1044"/>
      <c r="LAO44" s="1044"/>
      <c r="LAP44" s="1044"/>
      <c r="LAQ44" s="1044"/>
      <c r="LAR44" s="1044"/>
      <c r="LAS44" s="1044"/>
      <c r="LAT44" s="1044"/>
      <c r="LAU44" s="1044"/>
      <c r="LAV44" s="1044"/>
      <c r="LAW44" s="1044"/>
      <c r="LAX44" s="1044"/>
      <c r="LAY44" s="1044"/>
      <c r="LAZ44" s="1044"/>
      <c r="LBA44" s="1044"/>
      <c r="LBB44" s="1044"/>
      <c r="LBC44" s="1044"/>
      <c r="LBD44" s="1044"/>
      <c r="LBE44" s="1044"/>
      <c r="LBF44" s="1044"/>
      <c r="LBG44" s="1044"/>
      <c r="LBH44" s="1044"/>
      <c r="LBI44" s="1044"/>
      <c r="LBJ44" s="1044"/>
      <c r="LBK44" s="1044"/>
      <c r="LBL44" s="1044"/>
      <c r="LBM44" s="1044"/>
      <c r="LBN44" s="1044"/>
      <c r="LBO44" s="1044"/>
      <c r="LBP44" s="1044"/>
      <c r="LBQ44" s="1044"/>
      <c r="LBR44" s="1044"/>
      <c r="LBS44" s="1044"/>
      <c r="LBT44" s="1044"/>
      <c r="LBU44" s="1044"/>
      <c r="LBV44" s="1044"/>
      <c r="LBW44" s="1044"/>
      <c r="LBX44" s="1044"/>
      <c r="LBY44" s="1044"/>
      <c r="LBZ44" s="1044"/>
      <c r="LCA44" s="1044"/>
      <c r="LCB44" s="1044"/>
      <c r="LCC44" s="1044"/>
      <c r="LCD44" s="1044"/>
      <c r="LCE44" s="1044"/>
      <c r="LCF44" s="1044"/>
      <c r="LCG44" s="1044"/>
      <c r="LCH44" s="1044"/>
      <c r="LCI44" s="1044"/>
      <c r="LCJ44" s="1044"/>
      <c r="LCK44" s="1044"/>
      <c r="LCL44" s="1044"/>
      <c r="LCM44" s="1044"/>
      <c r="LCN44" s="1044"/>
      <c r="LCO44" s="1044"/>
      <c r="LCP44" s="1044"/>
      <c r="LCQ44" s="1044"/>
      <c r="LCR44" s="1044"/>
      <c r="LCS44" s="1044"/>
      <c r="LCT44" s="1044"/>
      <c r="LCU44" s="1044"/>
      <c r="LCV44" s="1044"/>
      <c r="LCW44" s="1044"/>
      <c r="LCX44" s="1044"/>
      <c r="LCY44" s="1044"/>
      <c r="LCZ44" s="1044"/>
      <c r="LDA44" s="1044"/>
      <c r="LDB44" s="1044"/>
      <c r="LDC44" s="1044"/>
      <c r="LDD44" s="1044"/>
      <c r="LDE44" s="1044"/>
      <c r="LDF44" s="1044"/>
      <c r="LDG44" s="1044"/>
      <c r="LDH44" s="1044"/>
      <c r="LDI44" s="1044"/>
      <c r="LDJ44" s="1044"/>
      <c r="LDK44" s="1044"/>
      <c r="LDL44" s="1044"/>
      <c r="LDM44" s="1044"/>
      <c r="LDN44" s="1044"/>
      <c r="LDO44" s="1044"/>
      <c r="LDP44" s="1044"/>
      <c r="LDQ44" s="1044"/>
      <c r="LDR44" s="1044"/>
      <c r="LDS44" s="1044"/>
      <c r="LDT44" s="1044"/>
      <c r="LDU44" s="1044"/>
      <c r="LDV44" s="1044"/>
      <c r="LDW44" s="1044"/>
      <c r="LDX44" s="1044"/>
      <c r="LDY44" s="1044"/>
      <c r="LDZ44" s="1044"/>
      <c r="LEA44" s="1044"/>
      <c r="LEB44" s="1044"/>
      <c r="LEC44" s="1044"/>
      <c r="LED44" s="1044"/>
      <c r="LEE44" s="1044"/>
      <c r="LEF44" s="1044"/>
      <c r="LEG44" s="1044"/>
      <c r="LEH44" s="1044"/>
      <c r="LEI44" s="1044"/>
      <c r="LEJ44" s="1044"/>
      <c r="LEK44" s="1044"/>
      <c r="LEL44" s="1044"/>
      <c r="LEM44" s="1044"/>
      <c r="LEN44" s="1044"/>
      <c r="LEO44" s="1044"/>
      <c r="LEP44" s="1044"/>
      <c r="LEQ44" s="1044"/>
      <c r="LER44" s="1044"/>
      <c r="LES44" s="1044"/>
      <c r="LET44" s="1044"/>
      <c r="LEU44" s="1044"/>
      <c r="LEV44" s="1044"/>
      <c r="LEW44" s="1044"/>
      <c r="LEX44" s="1044"/>
      <c r="LEY44" s="1044"/>
      <c r="LEZ44" s="1044"/>
      <c r="LFA44" s="1044"/>
      <c r="LFB44" s="1044"/>
      <c r="LFC44" s="1044"/>
      <c r="LFD44" s="1044"/>
      <c r="LFE44" s="1044"/>
      <c r="LFF44" s="1044"/>
      <c r="LFG44" s="1044"/>
      <c r="LFH44" s="1044"/>
      <c r="LFI44" s="1044"/>
      <c r="LFJ44" s="1044"/>
      <c r="LFK44" s="1044"/>
      <c r="LFL44" s="1044"/>
      <c r="LFM44" s="1044"/>
      <c r="LFN44" s="1044"/>
      <c r="LFO44" s="1044"/>
      <c r="LFP44" s="1044"/>
      <c r="LFQ44" s="1044"/>
      <c r="LFR44" s="1044"/>
      <c r="LFS44" s="1044"/>
      <c r="LFT44" s="1044"/>
      <c r="LFU44" s="1044"/>
      <c r="LFV44" s="1044"/>
      <c r="LFW44" s="1044"/>
      <c r="LFX44" s="1044"/>
      <c r="LFY44" s="1044"/>
      <c r="LFZ44" s="1044"/>
      <c r="LGA44" s="1044"/>
      <c r="LGB44" s="1044"/>
      <c r="LGC44" s="1044"/>
      <c r="LGD44" s="1044"/>
      <c r="LGE44" s="1044"/>
      <c r="LGF44" s="1044"/>
      <c r="LGG44" s="1044"/>
      <c r="LGH44" s="1044"/>
      <c r="LGI44" s="1044"/>
      <c r="LGJ44" s="1044"/>
      <c r="LGK44" s="1044"/>
      <c r="LGL44" s="1044"/>
      <c r="LGM44" s="1044"/>
      <c r="LGN44" s="1044"/>
      <c r="LGO44" s="1044"/>
      <c r="LGP44" s="1044"/>
      <c r="LGQ44" s="1044"/>
      <c r="LGR44" s="1044"/>
      <c r="LGS44" s="1044"/>
      <c r="LGT44" s="1044"/>
      <c r="LGU44" s="1044"/>
      <c r="LGV44" s="1044"/>
      <c r="LGW44" s="1044"/>
      <c r="LGX44" s="1044"/>
      <c r="LGY44" s="1044"/>
      <c r="LGZ44" s="1044"/>
      <c r="LHA44" s="1044"/>
      <c r="LHB44" s="1044"/>
      <c r="LHC44" s="1044"/>
      <c r="LHD44" s="1044"/>
      <c r="LHE44" s="1044"/>
      <c r="LHF44" s="1044"/>
      <c r="LHG44" s="1044"/>
      <c r="LHH44" s="1044"/>
      <c r="LHI44" s="1044"/>
      <c r="LHJ44" s="1044"/>
      <c r="LHK44" s="1044"/>
      <c r="LHL44" s="1044"/>
      <c r="LHM44" s="1044"/>
      <c r="LHN44" s="1044"/>
      <c r="LHO44" s="1044"/>
      <c r="LHP44" s="1044"/>
      <c r="LHQ44" s="1044"/>
      <c r="LHR44" s="1044"/>
      <c r="LHS44" s="1044"/>
      <c r="LHT44" s="1044"/>
      <c r="LHU44" s="1044"/>
      <c r="LHV44" s="1044"/>
      <c r="LHW44" s="1044"/>
      <c r="LHX44" s="1044"/>
      <c r="LHY44" s="1044"/>
      <c r="LHZ44" s="1044"/>
      <c r="LIA44" s="1044"/>
      <c r="LIB44" s="1044"/>
      <c r="LIC44" s="1044"/>
      <c r="LID44" s="1044"/>
      <c r="LIE44" s="1044"/>
      <c r="LIF44" s="1044"/>
      <c r="LIG44" s="1044"/>
      <c r="LIH44" s="1044"/>
      <c r="LII44" s="1044"/>
      <c r="LIJ44" s="1044"/>
      <c r="LIK44" s="1044"/>
      <c r="LIL44" s="1044"/>
      <c r="LIM44" s="1044"/>
      <c r="LIN44" s="1044"/>
      <c r="LIO44" s="1044"/>
      <c r="LIP44" s="1044"/>
      <c r="LIQ44" s="1044"/>
      <c r="LIR44" s="1044"/>
      <c r="LIS44" s="1044"/>
      <c r="LIT44" s="1044"/>
      <c r="LIU44" s="1044"/>
      <c r="LIV44" s="1044"/>
      <c r="LIW44" s="1044"/>
      <c r="LIX44" s="1044"/>
      <c r="LIY44" s="1044"/>
      <c r="LIZ44" s="1044"/>
      <c r="LJA44" s="1044"/>
      <c r="LJB44" s="1044"/>
      <c r="LJC44" s="1044"/>
      <c r="LJD44" s="1044"/>
      <c r="LJE44" s="1044"/>
      <c r="LJF44" s="1044"/>
      <c r="LJG44" s="1044"/>
      <c r="LJH44" s="1044"/>
      <c r="LJI44" s="1044"/>
      <c r="LJJ44" s="1044"/>
      <c r="LJK44" s="1044"/>
      <c r="LJL44" s="1044"/>
      <c r="LJM44" s="1044"/>
      <c r="LJN44" s="1044"/>
      <c r="LJO44" s="1044"/>
      <c r="LJP44" s="1044"/>
      <c r="LJQ44" s="1044"/>
      <c r="LJR44" s="1044"/>
      <c r="LJS44" s="1044"/>
      <c r="LJT44" s="1044"/>
      <c r="LJU44" s="1044"/>
      <c r="LJV44" s="1044"/>
      <c r="LJW44" s="1044"/>
      <c r="LJX44" s="1044"/>
      <c r="LJY44" s="1044"/>
      <c r="LJZ44" s="1044"/>
      <c r="LKA44" s="1044"/>
      <c r="LKB44" s="1044"/>
      <c r="LKC44" s="1044"/>
      <c r="LKD44" s="1044"/>
      <c r="LKE44" s="1044"/>
      <c r="LKF44" s="1044"/>
      <c r="LKG44" s="1044"/>
      <c r="LKH44" s="1044"/>
      <c r="LKI44" s="1044"/>
      <c r="LKJ44" s="1044"/>
      <c r="LKK44" s="1044"/>
      <c r="LKL44" s="1044"/>
      <c r="LKM44" s="1044"/>
      <c r="LKN44" s="1044"/>
      <c r="LKO44" s="1044"/>
      <c r="LKP44" s="1044"/>
      <c r="LKQ44" s="1044"/>
      <c r="LKR44" s="1044"/>
      <c r="LKS44" s="1044"/>
      <c r="LKT44" s="1044"/>
      <c r="LKU44" s="1044"/>
      <c r="LKV44" s="1044"/>
      <c r="LKW44" s="1044"/>
      <c r="LKX44" s="1044"/>
      <c r="LKY44" s="1044"/>
      <c r="LKZ44" s="1044"/>
      <c r="LLA44" s="1044"/>
      <c r="LLB44" s="1044"/>
      <c r="LLC44" s="1044"/>
      <c r="LLD44" s="1044"/>
      <c r="LLE44" s="1044"/>
      <c r="LLF44" s="1044"/>
      <c r="LLG44" s="1044"/>
      <c r="LLH44" s="1044"/>
      <c r="LLI44" s="1044"/>
      <c r="LLJ44" s="1044"/>
      <c r="LLK44" s="1044"/>
      <c r="LLL44" s="1044"/>
      <c r="LLM44" s="1044"/>
      <c r="LLN44" s="1044"/>
      <c r="LLO44" s="1044"/>
      <c r="LLP44" s="1044"/>
      <c r="LLQ44" s="1044"/>
      <c r="LLR44" s="1044"/>
      <c r="LLS44" s="1044"/>
      <c r="LLT44" s="1044"/>
      <c r="LLU44" s="1044"/>
      <c r="LLV44" s="1044"/>
      <c r="LLW44" s="1044"/>
      <c r="LLX44" s="1044"/>
      <c r="LLY44" s="1044"/>
      <c r="LLZ44" s="1044"/>
      <c r="LMA44" s="1044"/>
      <c r="LMB44" s="1044"/>
      <c r="LMC44" s="1044"/>
      <c r="LMD44" s="1044"/>
      <c r="LME44" s="1044"/>
      <c r="LMF44" s="1044"/>
      <c r="LMG44" s="1044"/>
      <c r="LMH44" s="1044"/>
      <c r="LMI44" s="1044"/>
      <c r="LMJ44" s="1044"/>
      <c r="LMK44" s="1044"/>
      <c r="LML44" s="1044"/>
      <c r="LMM44" s="1044"/>
      <c r="LMN44" s="1044"/>
      <c r="LMO44" s="1044"/>
      <c r="LMP44" s="1044"/>
      <c r="LMQ44" s="1044"/>
      <c r="LMR44" s="1044"/>
      <c r="LMS44" s="1044"/>
      <c r="LMT44" s="1044"/>
      <c r="LMU44" s="1044"/>
      <c r="LMV44" s="1044"/>
      <c r="LMW44" s="1044"/>
      <c r="LMX44" s="1044"/>
      <c r="LMY44" s="1044"/>
      <c r="LMZ44" s="1044"/>
      <c r="LNA44" s="1044"/>
      <c r="LNB44" s="1044"/>
      <c r="LNC44" s="1044"/>
      <c r="LND44" s="1044"/>
      <c r="LNE44" s="1044"/>
      <c r="LNF44" s="1044"/>
      <c r="LNG44" s="1044"/>
      <c r="LNH44" s="1044"/>
      <c r="LNI44" s="1044"/>
      <c r="LNJ44" s="1044"/>
      <c r="LNK44" s="1044"/>
      <c r="LNL44" s="1044"/>
      <c r="LNM44" s="1044"/>
      <c r="LNN44" s="1044"/>
      <c r="LNO44" s="1044"/>
      <c r="LNP44" s="1044"/>
      <c r="LNQ44" s="1044"/>
      <c r="LNR44" s="1044"/>
      <c r="LNS44" s="1044"/>
      <c r="LNT44" s="1044"/>
      <c r="LNU44" s="1044"/>
      <c r="LNV44" s="1044"/>
      <c r="LNW44" s="1044"/>
      <c r="LNX44" s="1044"/>
      <c r="LNY44" s="1044"/>
      <c r="LNZ44" s="1044"/>
      <c r="LOA44" s="1044"/>
      <c r="LOB44" s="1044"/>
      <c r="LOC44" s="1044"/>
      <c r="LOD44" s="1044"/>
      <c r="LOE44" s="1044"/>
      <c r="LOF44" s="1044"/>
      <c r="LOG44" s="1044"/>
      <c r="LOH44" s="1044"/>
      <c r="LOI44" s="1044"/>
      <c r="LOJ44" s="1044"/>
      <c r="LOK44" s="1044"/>
      <c r="LOL44" s="1044"/>
      <c r="LOM44" s="1044"/>
      <c r="LON44" s="1044"/>
      <c r="LOO44" s="1044"/>
      <c r="LOP44" s="1044"/>
      <c r="LOQ44" s="1044"/>
      <c r="LOR44" s="1044"/>
      <c r="LOS44" s="1044"/>
      <c r="LOT44" s="1044"/>
      <c r="LOU44" s="1044"/>
      <c r="LOV44" s="1044"/>
      <c r="LOW44" s="1044"/>
      <c r="LOX44" s="1044"/>
      <c r="LOY44" s="1044"/>
      <c r="LOZ44" s="1044"/>
      <c r="LPA44" s="1044"/>
      <c r="LPB44" s="1044"/>
      <c r="LPC44" s="1044"/>
      <c r="LPD44" s="1044"/>
      <c r="LPE44" s="1044"/>
      <c r="LPF44" s="1044"/>
      <c r="LPG44" s="1044"/>
      <c r="LPH44" s="1044"/>
      <c r="LPI44" s="1044"/>
      <c r="LPJ44" s="1044"/>
      <c r="LPK44" s="1044"/>
      <c r="LPL44" s="1044"/>
      <c r="LPM44" s="1044"/>
      <c r="LPN44" s="1044"/>
      <c r="LPO44" s="1044"/>
      <c r="LPP44" s="1044"/>
      <c r="LPQ44" s="1044"/>
      <c r="LPR44" s="1044"/>
      <c r="LPS44" s="1044"/>
      <c r="LPT44" s="1044"/>
      <c r="LPU44" s="1044"/>
      <c r="LPV44" s="1044"/>
      <c r="LPW44" s="1044"/>
      <c r="LPX44" s="1044"/>
      <c r="LPY44" s="1044"/>
      <c r="LPZ44" s="1044"/>
      <c r="LQA44" s="1044"/>
      <c r="LQB44" s="1044"/>
      <c r="LQC44" s="1044"/>
      <c r="LQD44" s="1044"/>
      <c r="LQE44" s="1044"/>
      <c r="LQF44" s="1044"/>
      <c r="LQG44" s="1044"/>
      <c r="LQH44" s="1044"/>
      <c r="LQI44" s="1044"/>
      <c r="LQJ44" s="1044"/>
      <c r="LQK44" s="1044"/>
      <c r="LQL44" s="1044"/>
      <c r="LQM44" s="1044"/>
      <c r="LQN44" s="1044"/>
      <c r="LQO44" s="1044"/>
      <c r="LQP44" s="1044"/>
      <c r="LQQ44" s="1044"/>
      <c r="LQR44" s="1044"/>
      <c r="LQS44" s="1044"/>
      <c r="LQT44" s="1044"/>
      <c r="LQU44" s="1044"/>
      <c r="LQV44" s="1044"/>
      <c r="LQW44" s="1044"/>
      <c r="LQX44" s="1044"/>
      <c r="LQY44" s="1044"/>
      <c r="LQZ44" s="1044"/>
      <c r="LRA44" s="1044"/>
      <c r="LRB44" s="1044"/>
      <c r="LRC44" s="1044"/>
      <c r="LRD44" s="1044"/>
      <c r="LRE44" s="1044"/>
      <c r="LRF44" s="1044"/>
      <c r="LRG44" s="1044"/>
      <c r="LRH44" s="1044"/>
      <c r="LRI44" s="1044"/>
      <c r="LRJ44" s="1044"/>
      <c r="LRK44" s="1044"/>
      <c r="LRL44" s="1044"/>
      <c r="LRM44" s="1044"/>
      <c r="LRN44" s="1044"/>
      <c r="LRO44" s="1044"/>
      <c r="LRP44" s="1044"/>
      <c r="LRQ44" s="1044"/>
      <c r="LRR44" s="1044"/>
      <c r="LRS44" s="1044"/>
      <c r="LRT44" s="1044"/>
      <c r="LRU44" s="1044"/>
      <c r="LRV44" s="1044"/>
      <c r="LRW44" s="1044"/>
      <c r="LRX44" s="1044"/>
      <c r="LRY44" s="1044"/>
      <c r="LRZ44" s="1044"/>
      <c r="LSA44" s="1044"/>
      <c r="LSB44" s="1044"/>
      <c r="LSC44" s="1044"/>
      <c r="LSD44" s="1044"/>
      <c r="LSE44" s="1044"/>
      <c r="LSF44" s="1044"/>
      <c r="LSG44" s="1044"/>
      <c r="LSH44" s="1044"/>
      <c r="LSI44" s="1044"/>
      <c r="LSJ44" s="1044"/>
      <c r="LSK44" s="1044"/>
      <c r="LSL44" s="1044"/>
      <c r="LSM44" s="1044"/>
      <c r="LSN44" s="1044"/>
      <c r="LSO44" s="1044"/>
      <c r="LSP44" s="1044"/>
      <c r="LSQ44" s="1044"/>
      <c r="LSR44" s="1044"/>
      <c r="LSS44" s="1044"/>
      <c r="LST44" s="1044"/>
      <c r="LSU44" s="1044"/>
      <c r="LSV44" s="1044"/>
      <c r="LSW44" s="1044"/>
      <c r="LSX44" s="1044"/>
      <c r="LSY44" s="1044"/>
      <c r="LSZ44" s="1044"/>
      <c r="LTA44" s="1044"/>
      <c r="LTB44" s="1044"/>
      <c r="LTC44" s="1044"/>
      <c r="LTD44" s="1044"/>
      <c r="LTE44" s="1044"/>
      <c r="LTF44" s="1044"/>
      <c r="LTG44" s="1044"/>
      <c r="LTH44" s="1044"/>
      <c r="LTI44" s="1044"/>
      <c r="LTJ44" s="1044"/>
      <c r="LTK44" s="1044"/>
      <c r="LTL44" s="1044"/>
      <c r="LTM44" s="1044"/>
      <c r="LTN44" s="1044"/>
      <c r="LTO44" s="1044"/>
      <c r="LTP44" s="1044"/>
      <c r="LTQ44" s="1044"/>
      <c r="LTR44" s="1044"/>
      <c r="LTS44" s="1044"/>
      <c r="LTT44" s="1044"/>
      <c r="LTU44" s="1044"/>
      <c r="LTV44" s="1044"/>
      <c r="LTW44" s="1044"/>
      <c r="LTX44" s="1044"/>
      <c r="LTY44" s="1044"/>
      <c r="LTZ44" s="1044"/>
      <c r="LUA44" s="1044"/>
      <c r="LUB44" s="1044"/>
      <c r="LUC44" s="1044"/>
      <c r="LUD44" s="1044"/>
      <c r="LUE44" s="1044"/>
      <c r="LUF44" s="1044"/>
      <c r="LUG44" s="1044"/>
      <c r="LUH44" s="1044"/>
      <c r="LUI44" s="1044"/>
      <c r="LUJ44" s="1044"/>
      <c r="LUK44" s="1044"/>
      <c r="LUL44" s="1044"/>
      <c r="LUM44" s="1044"/>
      <c r="LUN44" s="1044"/>
      <c r="LUO44" s="1044"/>
      <c r="LUP44" s="1044"/>
      <c r="LUQ44" s="1044"/>
      <c r="LUR44" s="1044"/>
      <c r="LUS44" s="1044"/>
      <c r="LUT44" s="1044"/>
      <c r="LUU44" s="1044"/>
      <c r="LUV44" s="1044"/>
      <c r="LUW44" s="1044"/>
      <c r="LUX44" s="1044"/>
      <c r="LUY44" s="1044"/>
      <c r="LUZ44" s="1044"/>
      <c r="LVA44" s="1044"/>
      <c r="LVB44" s="1044"/>
      <c r="LVC44" s="1044"/>
      <c r="LVD44" s="1044"/>
      <c r="LVE44" s="1044"/>
      <c r="LVF44" s="1044"/>
      <c r="LVG44" s="1044"/>
      <c r="LVH44" s="1044"/>
      <c r="LVI44" s="1044"/>
      <c r="LVJ44" s="1044"/>
      <c r="LVK44" s="1044"/>
      <c r="LVL44" s="1044"/>
      <c r="LVM44" s="1044"/>
      <c r="LVN44" s="1044"/>
      <c r="LVO44" s="1044"/>
      <c r="LVP44" s="1044"/>
      <c r="LVQ44" s="1044"/>
      <c r="LVR44" s="1044"/>
      <c r="LVS44" s="1044"/>
      <c r="LVT44" s="1044"/>
      <c r="LVU44" s="1044"/>
      <c r="LVV44" s="1044"/>
      <c r="LVW44" s="1044"/>
      <c r="LVX44" s="1044"/>
      <c r="LVY44" s="1044"/>
      <c r="LVZ44" s="1044"/>
      <c r="LWA44" s="1044"/>
      <c r="LWB44" s="1044"/>
      <c r="LWC44" s="1044"/>
      <c r="LWD44" s="1044"/>
      <c r="LWE44" s="1044"/>
      <c r="LWF44" s="1044"/>
      <c r="LWG44" s="1044"/>
      <c r="LWH44" s="1044"/>
      <c r="LWI44" s="1044"/>
      <c r="LWJ44" s="1044"/>
      <c r="LWK44" s="1044"/>
      <c r="LWL44" s="1044"/>
      <c r="LWM44" s="1044"/>
      <c r="LWN44" s="1044"/>
      <c r="LWO44" s="1044"/>
      <c r="LWP44" s="1044"/>
      <c r="LWQ44" s="1044"/>
      <c r="LWR44" s="1044"/>
      <c r="LWS44" s="1044"/>
      <c r="LWT44" s="1044"/>
      <c r="LWU44" s="1044"/>
      <c r="LWV44" s="1044"/>
      <c r="LWW44" s="1044"/>
      <c r="LWX44" s="1044"/>
      <c r="LWY44" s="1044"/>
      <c r="LWZ44" s="1044"/>
      <c r="LXA44" s="1044"/>
      <c r="LXB44" s="1044"/>
      <c r="LXC44" s="1044"/>
      <c r="LXD44" s="1044"/>
      <c r="LXE44" s="1044"/>
      <c r="LXF44" s="1044"/>
      <c r="LXG44" s="1044"/>
      <c r="LXH44" s="1044"/>
      <c r="LXI44" s="1044"/>
      <c r="LXJ44" s="1044"/>
      <c r="LXK44" s="1044"/>
      <c r="LXL44" s="1044"/>
      <c r="LXM44" s="1044"/>
      <c r="LXN44" s="1044"/>
      <c r="LXO44" s="1044"/>
      <c r="LXP44" s="1044"/>
      <c r="LXQ44" s="1044"/>
      <c r="LXR44" s="1044"/>
      <c r="LXS44" s="1044"/>
      <c r="LXT44" s="1044"/>
      <c r="LXU44" s="1044"/>
      <c r="LXV44" s="1044"/>
      <c r="LXW44" s="1044"/>
      <c r="LXX44" s="1044"/>
      <c r="LXY44" s="1044"/>
      <c r="LXZ44" s="1044"/>
      <c r="LYA44" s="1044"/>
      <c r="LYB44" s="1044"/>
      <c r="LYC44" s="1044"/>
      <c r="LYD44" s="1044"/>
      <c r="LYE44" s="1044"/>
      <c r="LYF44" s="1044"/>
      <c r="LYG44" s="1044"/>
      <c r="LYH44" s="1044"/>
      <c r="LYI44" s="1044"/>
      <c r="LYJ44" s="1044"/>
      <c r="LYK44" s="1044"/>
      <c r="LYL44" s="1044"/>
      <c r="LYM44" s="1044"/>
      <c r="LYN44" s="1044"/>
      <c r="LYO44" s="1044"/>
      <c r="LYP44" s="1044"/>
      <c r="LYQ44" s="1044"/>
      <c r="LYR44" s="1044"/>
      <c r="LYS44" s="1044"/>
      <c r="LYT44" s="1044"/>
      <c r="LYU44" s="1044"/>
      <c r="LYV44" s="1044"/>
      <c r="LYW44" s="1044"/>
      <c r="LYX44" s="1044"/>
      <c r="LYY44" s="1044"/>
      <c r="LYZ44" s="1044"/>
      <c r="LZA44" s="1044"/>
      <c r="LZB44" s="1044"/>
      <c r="LZC44" s="1044"/>
      <c r="LZD44" s="1044"/>
      <c r="LZE44" s="1044"/>
      <c r="LZF44" s="1044"/>
      <c r="LZG44" s="1044"/>
      <c r="LZH44" s="1044"/>
      <c r="LZI44" s="1044"/>
      <c r="LZJ44" s="1044"/>
      <c r="LZK44" s="1044"/>
      <c r="LZL44" s="1044"/>
      <c r="LZM44" s="1044"/>
      <c r="LZN44" s="1044"/>
      <c r="LZO44" s="1044"/>
      <c r="LZP44" s="1044"/>
      <c r="LZQ44" s="1044"/>
      <c r="LZR44" s="1044"/>
      <c r="LZS44" s="1044"/>
      <c r="LZT44" s="1044"/>
      <c r="LZU44" s="1044"/>
      <c r="LZV44" s="1044"/>
      <c r="LZW44" s="1044"/>
      <c r="LZX44" s="1044"/>
      <c r="LZY44" s="1044"/>
      <c r="LZZ44" s="1044"/>
      <c r="MAA44" s="1044"/>
      <c r="MAB44" s="1044"/>
      <c r="MAC44" s="1044"/>
      <c r="MAD44" s="1044"/>
      <c r="MAE44" s="1044"/>
      <c r="MAF44" s="1044"/>
      <c r="MAG44" s="1044"/>
      <c r="MAH44" s="1044"/>
      <c r="MAI44" s="1044"/>
      <c r="MAJ44" s="1044"/>
      <c r="MAK44" s="1044"/>
      <c r="MAL44" s="1044"/>
      <c r="MAM44" s="1044"/>
      <c r="MAN44" s="1044"/>
      <c r="MAO44" s="1044"/>
      <c r="MAP44" s="1044"/>
      <c r="MAQ44" s="1044"/>
      <c r="MAR44" s="1044"/>
      <c r="MAS44" s="1044"/>
      <c r="MAT44" s="1044"/>
      <c r="MAU44" s="1044"/>
      <c r="MAV44" s="1044"/>
      <c r="MAW44" s="1044"/>
      <c r="MAX44" s="1044"/>
      <c r="MAY44" s="1044"/>
      <c r="MAZ44" s="1044"/>
      <c r="MBA44" s="1044"/>
      <c r="MBB44" s="1044"/>
      <c r="MBC44" s="1044"/>
      <c r="MBD44" s="1044"/>
      <c r="MBE44" s="1044"/>
      <c r="MBF44" s="1044"/>
      <c r="MBG44" s="1044"/>
      <c r="MBH44" s="1044"/>
      <c r="MBI44" s="1044"/>
      <c r="MBJ44" s="1044"/>
      <c r="MBK44" s="1044"/>
      <c r="MBL44" s="1044"/>
      <c r="MBM44" s="1044"/>
      <c r="MBN44" s="1044"/>
      <c r="MBO44" s="1044"/>
      <c r="MBP44" s="1044"/>
      <c r="MBQ44" s="1044"/>
      <c r="MBR44" s="1044"/>
      <c r="MBS44" s="1044"/>
      <c r="MBT44" s="1044"/>
      <c r="MBU44" s="1044"/>
      <c r="MBV44" s="1044"/>
      <c r="MBW44" s="1044"/>
      <c r="MBX44" s="1044"/>
      <c r="MBY44" s="1044"/>
      <c r="MBZ44" s="1044"/>
      <c r="MCA44" s="1044"/>
      <c r="MCB44" s="1044"/>
      <c r="MCC44" s="1044"/>
      <c r="MCD44" s="1044"/>
      <c r="MCE44" s="1044"/>
      <c r="MCF44" s="1044"/>
      <c r="MCG44" s="1044"/>
      <c r="MCH44" s="1044"/>
      <c r="MCI44" s="1044"/>
      <c r="MCJ44" s="1044"/>
      <c r="MCK44" s="1044"/>
      <c r="MCL44" s="1044"/>
      <c r="MCM44" s="1044"/>
      <c r="MCN44" s="1044"/>
      <c r="MCO44" s="1044"/>
      <c r="MCP44" s="1044"/>
      <c r="MCQ44" s="1044"/>
      <c r="MCR44" s="1044"/>
      <c r="MCS44" s="1044"/>
      <c r="MCT44" s="1044"/>
      <c r="MCU44" s="1044"/>
      <c r="MCV44" s="1044"/>
      <c r="MCW44" s="1044"/>
      <c r="MCX44" s="1044"/>
      <c r="MCY44" s="1044"/>
      <c r="MCZ44" s="1044"/>
      <c r="MDA44" s="1044"/>
      <c r="MDB44" s="1044"/>
      <c r="MDC44" s="1044"/>
      <c r="MDD44" s="1044"/>
      <c r="MDE44" s="1044"/>
      <c r="MDF44" s="1044"/>
      <c r="MDG44" s="1044"/>
      <c r="MDH44" s="1044"/>
      <c r="MDI44" s="1044"/>
      <c r="MDJ44" s="1044"/>
      <c r="MDK44" s="1044"/>
      <c r="MDL44" s="1044"/>
      <c r="MDM44" s="1044"/>
      <c r="MDN44" s="1044"/>
      <c r="MDO44" s="1044"/>
      <c r="MDP44" s="1044"/>
      <c r="MDQ44" s="1044"/>
      <c r="MDR44" s="1044"/>
      <c r="MDS44" s="1044"/>
      <c r="MDT44" s="1044"/>
      <c r="MDU44" s="1044"/>
      <c r="MDV44" s="1044"/>
      <c r="MDW44" s="1044"/>
      <c r="MDX44" s="1044"/>
      <c r="MDY44" s="1044"/>
      <c r="MDZ44" s="1044"/>
      <c r="MEA44" s="1044"/>
      <c r="MEB44" s="1044"/>
      <c r="MEC44" s="1044"/>
      <c r="MED44" s="1044"/>
      <c r="MEE44" s="1044"/>
      <c r="MEF44" s="1044"/>
      <c r="MEG44" s="1044"/>
      <c r="MEH44" s="1044"/>
      <c r="MEI44" s="1044"/>
      <c r="MEJ44" s="1044"/>
      <c r="MEK44" s="1044"/>
      <c r="MEL44" s="1044"/>
      <c r="MEM44" s="1044"/>
      <c r="MEN44" s="1044"/>
      <c r="MEO44" s="1044"/>
      <c r="MEP44" s="1044"/>
      <c r="MEQ44" s="1044"/>
      <c r="MER44" s="1044"/>
      <c r="MES44" s="1044"/>
      <c r="MET44" s="1044"/>
      <c r="MEU44" s="1044"/>
      <c r="MEV44" s="1044"/>
      <c r="MEW44" s="1044"/>
      <c r="MEX44" s="1044"/>
      <c r="MEY44" s="1044"/>
      <c r="MEZ44" s="1044"/>
      <c r="MFA44" s="1044"/>
      <c r="MFB44" s="1044"/>
      <c r="MFC44" s="1044"/>
      <c r="MFD44" s="1044"/>
      <c r="MFE44" s="1044"/>
      <c r="MFF44" s="1044"/>
      <c r="MFG44" s="1044"/>
      <c r="MFH44" s="1044"/>
      <c r="MFI44" s="1044"/>
      <c r="MFJ44" s="1044"/>
      <c r="MFK44" s="1044"/>
      <c r="MFL44" s="1044"/>
      <c r="MFM44" s="1044"/>
      <c r="MFN44" s="1044"/>
      <c r="MFO44" s="1044"/>
      <c r="MFP44" s="1044"/>
      <c r="MFQ44" s="1044"/>
      <c r="MFR44" s="1044"/>
      <c r="MFS44" s="1044"/>
      <c r="MFT44" s="1044"/>
      <c r="MFU44" s="1044"/>
      <c r="MFV44" s="1044"/>
      <c r="MFW44" s="1044"/>
      <c r="MFX44" s="1044"/>
      <c r="MFY44" s="1044"/>
      <c r="MFZ44" s="1044"/>
      <c r="MGA44" s="1044"/>
      <c r="MGB44" s="1044"/>
      <c r="MGC44" s="1044"/>
      <c r="MGD44" s="1044"/>
      <c r="MGE44" s="1044"/>
      <c r="MGF44" s="1044"/>
      <c r="MGG44" s="1044"/>
      <c r="MGH44" s="1044"/>
      <c r="MGI44" s="1044"/>
      <c r="MGJ44" s="1044"/>
      <c r="MGK44" s="1044"/>
      <c r="MGL44" s="1044"/>
      <c r="MGM44" s="1044"/>
      <c r="MGN44" s="1044"/>
      <c r="MGO44" s="1044"/>
      <c r="MGP44" s="1044"/>
      <c r="MGQ44" s="1044"/>
      <c r="MGR44" s="1044"/>
      <c r="MGS44" s="1044"/>
      <c r="MGT44" s="1044"/>
      <c r="MGU44" s="1044"/>
      <c r="MGV44" s="1044"/>
      <c r="MGW44" s="1044"/>
      <c r="MGX44" s="1044"/>
      <c r="MGY44" s="1044"/>
      <c r="MGZ44" s="1044"/>
      <c r="MHA44" s="1044"/>
      <c r="MHB44" s="1044"/>
      <c r="MHC44" s="1044"/>
      <c r="MHD44" s="1044"/>
      <c r="MHE44" s="1044"/>
      <c r="MHF44" s="1044"/>
      <c r="MHG44" s="1044"/>
      <c r="MHH44" s="1044"/>
      <c r="MHI44" s="1044"/>
      <c r="MHJ44" s="1044"/>
      <c r="MHK44" s="1044"/>
      <c r="MHL44" s="1044"/>
      <c r="MHM44" s="1044"/>
      <c r="MHN44" s="1044"/>
      <c r="MHO44" s="1044"/>
      <c r="MHP44" s="1044"/>
      <c r="MHQ44" s="1044"/>
      <c r="MHR44" s="1044"/>
      <c r="MHS44" s="1044"/>
      <c r="MHT44" s="1044"/>
      <c r="MHU44" s="1044"/>
      <c r="MHV44" s="1044"/>
      <c r="MHW44" s="1044"/>
      <c r="MHX44" s="1044"/>
      <c r="MHY44" s="1044"/>
      <c r="MHZ44" s="1044"/>
      <c r="MIA44" s="1044"/>
      <c r="MIB44" s="1044"/>
      <c r="MIC44" s="1044"/>
      <c r="MID44" s="1044"/>
      <c r="MIE44" s="1044"/>
      <c r="MIF44" s="1044"/>
      <c r="MIG44" s="1044"/>
      <c r="MIH44" s="1044"/>
      <c r="MII44" s="1044"/>
      <c r="MIJ44" s="1044"/>
      <c r="MIK44" s="1044"/>
      <c r="MIL44" s="1044"/>
      <c r="MIM44" s="1044"/>
      <c r="MIN44" s="1044"/>
      <c r="MIO44" s="1044"/>
      <c r="MIP44" s="1044"/>
      <c r="MIQ44" s="1044"/>
      <c r="MIR44" s="1044"/>
      <c r="MIS44" s="1044"/>
      <c r="MIT44" s="1044"/>
      <c r="MIU44" s="1044"/>
      <c r="MIV44" s="1044"/>
      <c r="MIW44" s="1044"/>
      <c r="MIX44" s="1044"/>
      <c r="MIY44" s="1044"/>
      <c r="MIZ44" s="1044"/>
      <c r="MJA44" s="1044"/>
      <c r="MJB44" s="1044"/>
      <c r="MJC44" s="1044"/>
      <c r="MJD44" s="1044"/>
      <c r="MJE44" s="1044"/>
      <c r="MJF44" s="1044"/>
      <c r="MJG44" s="1044"/>
      <c r="MJH44" s="1044"/>
      <c r="MJI44" s="1044"/>
      <c r="MJJ44" s="1044"/>
      <c r="MJK44" s="1044"/>
      <c r="MJL44" s="1044"/>
      <c r="MJM44" s="1044"/>
      <c r="MJN44" s="1044"/>
      <c r="MJO44" s="1044"/>
      <c r="MJP44" s="1044"/>
      <c r="MJQ44" s="1044"/>
      <c r="MJR44" s="1044"/>
      <c r="MJS44" s="1044"/>
      <c r="MJT44" s="1044"/>
      <c r="MJU44" s="1044"/>
      <c r="MJV44" s="1044"/>
      <c r="MJW44" s="1044"/>
      <c r="MJX44" s="1044"/>
      <c r="MJY44" s="1044"/>
      <c r="MJZ44" s="1044"/>
      <c r="MKA44" s="1044"/>
      <c r="MKB44" s="1044"/>
      <c r="MKC44" s="1044"/>
      <c r="MKD44" s="1044"/>
      <c r="MKE44" s="1044"/>
      <c r="MKF44" s="1044"/>
      <c r="MKG44" s="1044"/>
      <c r="MKH44" s="1044"/>
      <c r="MKI44" s="1044"/>
      <c r="MKJ44" s="1044"/>
      <c r="MKK44" s="1044"/>
      <c r="MKL44" s="1044"/>
      <c r="MKM44" s="1044"/>
      <c r="MKN44" s="1044"/>
      <c r="MKO44" s="1044"/>
      <c r="MKP44" s="1044"/>
      <c r="MKQ44" s="1044"/>
      <c r="MKR44" s="1044"/>
      <c r="MKS44" s="1044"/>
      <c r="MKT44" s="1044"/>
      <c r="MKU44" s="1044"/>
      <c r="MKV44" s="1044"/>
      <c r="MKW44" s="1044"/>
      <c r="MKX44" s="1044"/>
      <c r="MKY44" s="1044"/>
      <c r="MKZ44" s="1044"/>
      <c r="MLA44" s="1044"/>
      <c r="MLB44" s="1044"/>
      <c r="MLC44" s="1044"/>
      <c r="MLD44" s="1044"/>
      <c r="MLE44" s="1044"/>
      <c r="MLF44" s="1044"/>
      <c r="MLG44" s="1044"/>
      <c r="MLH44" s="1044"/>
      <c r="MLI44" s="1044"/>
      <c r="MLJ44" s="1044"/>
      <c r="MLK44" s="1044"/>
      <c r="MLL44" s="1044"/>
      <c r="MLM44" s="1044"/>
      <c r="MLN44" s="1044"/>
      <c r="MLO44" s="1044"/>
      <c r="MLP44" s="1044"/>
      <c r="MLQ44" s="1044"/>
      <c r="MLR44" s="1044"/>
      <c r="MLS44" s="1044"/>
      <c r="MLT44" s="1044"/>
      <c r="MLU44" s="1044"/>
      <c r="MLV44" s="1044"/>
      <c r="MLW44" s="1044"/>
      <c r="MLX44" s="1044"/>
      <c r="MLY44" s="1044"/>
      <c r="MLZ44" s="1044"/>
      <c r="MMA44" s="1044"/>
      <c r="MMB44" s="1044"/>
      <c r="MMC44" s="1044"/>
      <c r="MMD44" s="1044"/>
      <c r="MME44" s="1044"/>
      <c r="MMF44" s="1044"/>
      <c r="MMG44" s="1044"/>
      <c r="MMH44" s="1044"/>
      <c r="MMI44" s="1044"/>
      <c r="MMJ44" s="1044"/>
      <c r="MMK44" s="1044"/>
      <c r="MML44" s="1044"/>
      <c r="MMM44" s="1044"/>
      <c r="MMN44" s="1044"/>
      <c r="MMO44" s="1044"/>
      <c r="MMP44" s="1044"/>
      <c r="MMQ44" s="1044"/>
      <c r="MMR44" s="1044"/>
      <c r="MMS44" s="1044"/>
      <c r="MMT44" s="1044"/>
      <c r="MMU44" s="1044"/>
      <c r="MMV44" s="1044"/>
      <c r="MMW44" s="1044"/>
      <c r="MMX44" s="1044"/>
      <c r="MMY44" s="1044"/>
      <c r="MMZ44" s="1044"/>
      <c r="MNA44" s="1044"/>
      <c r="MNB44" s="1044"/>
      <c r="MNC44" s="1044"/>
      <c r="MND44" s="1044"/>
      <c r="MNE44" s="1044"/>
      <c r="MNF44" s="1044"/>
      <c r="MNG44" s="1044"/>
      <c r="MNH44" s="1044"/>
      <c r="MNI44" s="1044"/>
      <c r="MNJ44" s="1044"/>
      <c r="MNK44" s="1044"/>
      <c r="MNL44" s="1044"/>
      <c r="MNM44" s="1044"/>
      <c r="MNN44" s="1044"/>
      <c r="MNO44" s="1044"/>
      <c r="MNP44" s="1044"/>
      <c r="MNQ44" s="1044"/>
      <c r="MNR44" s="1044"/>
      <c r="MNS44" s="1044"/>
      <c r="MNT44" s="1044"/>
      <c r="MNU44" s="1044"/>
      <c r="MNV44" s="1044"/>
      <c r="MNW44" s="1044"/>
      <c r="MNX44" s="1044"/>
      <c r="MNY44" s="1044"/>
      <c r="MNZ44" s="1044"/>
      <c r="MOA44" s="1044"/>
      <c r="MOB44" s="1044"/>
      <c r="MOC44" s="1044"/>
      <c r="MOD44" s="1044"/>
      <c r="MOE44" s="1044"/>
      <c r="MOF44" s="1044"/>
      <c r="MOG44" s="1044"/>
      <c r="MOH44" s="1044"/>
      <c r="MOI44" s="1044"/>
      <c r="MOJ44" s="1044"/>
      <c r="MOK44" s="1044"/>
      <c r="MOL44" s="1044"/>
      <c r="MOM44" s="1044"/>
      <c r="MON44" s="1044"/>
      <c r="MOO44" s="1044"/>
      <c r="MOP44" s="1044"/>
      <c r="MOQ44" s="1044"/>
      <c r="MOR44" s="1044"/>
      <c r="MOS44" s="1044"/>
      <c r="MOT44" s="1044"/>
      <c r="MOU44" s="1044"/>
      <c r="MOV44" s="1044"/>
      <c r="MOW44" s="1044"/>
      <c r="MOX44" s="1044"/>
      <c r="MOY44" s="1044"/>
      <c r="MOZ44" s="1044"/>
      <c r="MPA44" s="1044"/>
      <c r="MPB44" s="1044"/>
      <c r="MPC44" s="1044"/>
      <c r="MPD44" s="1044"/>
      <c r="MPE44" s="1044"/>
      <c r="MPF44" s="1044"/>
      <c r="MPG44" s="1044"/>
      <c r="MPH44" s="1044"/>
      <c r="MPI44" s="1044"/>
      <c r="MPJ44" s="1044"/>
      <c r="MPK44" s="1044"/>
      <c r="MPL44" s="1044"/>
      <c r="MPM44" s="1044"/>
      <c r="MPN44" s="1044"/>
      <c r="MPO44" s="1044"/>
      <c r="MPP44" s="1044"/>
      <c r="MPQ44" s="1044"/>
      <c r="MPR44" s="1044"/>
      <c r="MPS44" s="1044"/>
      <c r="MPT44" s="1044"/>
      <c r="MPU44" s="1044"/>
      <c r="MPV44" s="1044"/>
      <c r="MPW44" s="1044"/>
      <c r="MPX44" s="1044"/>
      <c r="MPY44" s="1044"/>
      <c r="MPZ44" s="1044"/>
      <c r="MQA44" s="1044"/>
      <c r="MQB44" s="1044"/>
      <c r="MQC44" s="1044"/>
      <c r="MQD44" s="1044"/>
      <c r="MQE44" s="1044"/>
      <c r="MQF44" s="1044"/>
      <c r="MQG44" s="1044"/>
      <c r="MQH44" s="1044"/>
      <c r="MQI44" s="1044"/>
      <c r="MQJ44" s="1044"/>
      <c r="MQK44" s="1044"/>
      <c r="MQL44" s="1044"/>
      <c r="MQM44" s="1044"/>
      <c r="MQN44" s="1044"/>
      <c r="MQO44" s="1044"/>
      <c r="MQP44" s="1044"/>
      <c r="MQQ44" s="1044"/>
      <c r="MQR44" s="1044"/>
      <c r="MQS44" s="1044"/>
      <c r="MQT44" s="1044"/>
      <c r="MQU44" s="1044"/>
      <c r="MQV44" s="1044"/>
      <c r="MQW44" s="1044"/>
      <c r="MQX44" s="1044"/>
      <c r="MQY44" s="1044"/>
      <c r="MQZ44" s="1044"/>
      <c r="MRA44" s="1044"/>
      <c r="MRB44" s="1044"/>
      <c r="MRC44" s="1044"/>
      <c r="MRD44" s="1044"/>
      <c r="MRE44" s="1044"/>
      <c r="MRF44" s="1044"/>
      <c r="MRG44" s="1044"/>
      <c r="MRH44" s="1044"/>
      <c r="MRI44" s="1044"/>
      <c r="MRJ44" s="1044"/>
      <c r="MRK44" s="1044"/>
      <c r="MRL44" s="1044"/>
      <c r="MRM44" s="1044"/>
      <c r="MRN44" s="1044"/>
      <c r="MRO44" s="1044"/>
      <c r="MRP44" s="1044"/>
      <c r="MRQ44" s="1044"/>
      <c r="MRR44" s="1044"/>
      <c r="MRS44" s="1044"/>
      <c r="MRT44" s="1044"/>
      <c r="MRU44" s="1044"/>
      <c r="MRV44" s="1044"/>
      <c r="MRW44" s="1044"/>
      <c r="MRX44" s="1044"/>
      <c r="MRY44" s="1044"/>
      <c r="MRZ44" s="1044"/>
      <c r="MSA44" s="1044"/>
      <c r="MSB44" s="1044"/>
      <c r="MSC44" s="1044"/>
      <c r="MSD44" s="1044"/>
      <c r="MSE44" s="1044"/>
      <c r="MSF44" s="1044"/>
      <c r="MSG44" s="1044"/>
      <c r="MSH44" s="1044"/>
      <c r="MSI44" s="1044"/>
      <c r="MSJ44" s="1044"/>
      <c r="MSK44" s="1044"/>
      <c r="MSL44" s="1044"/>
      <c r="MSM44" s="1044"/>
      <c r="MSN44" s="1044"/>
      <c r="MSO44" s="1044"/>
      <c r="MSP44" s="1044"/>
      <c r="MSQ44" s="1044"/>
      <c r="MSR44" s="1044"/>
      <c r="MSS44" s="1044"/>
      <c r="MST44" s="1044"/>
      <c r="MSU44" s="1044"/>
      <c r="MSV44" s="1044"/>
      <c r="MSW44" s="1044"/>
      <c r="MSX44" s="1044"/>
      <c r="MSY44" s="1044"/>
      <c r="MSZ44" s="1044"/>
      <c r="MTA44" s="1044"/>
      <c r="MTB44" s="1044"/>
      <c r="MTC44" s="1044"/>
      <c r="MTD44" s="1044"/>
      <c r="MTE44" s="1044"/>
      <c r="MTF44" s="1044"/>
      <c r="MTG44" s="1044"/>
      <c r="MTH44" s="1044"/>
      <c r="MTI44" s="1044"/>
      <c r="MTJ44" s="1044"/>
      <c r="MTK44" s="1044"/>
      <c r="MTL44" s="1044"/>
      <c r="MTM44" s="1044"/>
      <c r="MTN44" s="1044"/>
      <c r="MTO44" s="1044"/>
      <c r="MTP44" s="1044"/>
      <c r="MTQ44" s="1044"/>
      <c r="MTR44" s="1044"/>
      <c r="MTS44" s="1044"/>
      <c r="MTT44" s="1044"/>
      <c r="MTU44" s="1044"/>
      <c r="MTV44" s="1044"/>
      <c r="MTW44" s="1044"/>
      <c r="MTX44" s="1044"/>
      <c r="MTY44" s="1044"/>
      <c r="MTZ44" s="1044"/>
      <c r="MUA44" s="1044"/>
      <c r="MUB44" s="1044"/>
      <c r="MUC44" s="1044"/>
      <c r="MUD44" s="1044"/>
      <c r="MUE44" s="1044"/>
      <c r="MUF44" s="1044"/>
      <c r="MUG44" s="1044"/>
      <c r="MUH44" s="1044"/>
      <c r="MUI44" s="1044"/>
      <c r="MUJ44" s="1044"/>
      <c r="MUK44" s="1044"/>
      <c r="MUL44" s="1044"/>
      <c r="MUM44" s="1044"/>
      <c r="MUN44" s="1044"/>
      <c r="MUO44" s="1044"/>
      <c r="MUP44" s="1044"/>
      <c r="MUQ44" s="1044"/>
      <c r="MUR44" s="1044"/>
      <c r="MUS44" s="1044"/>
      <c r="MUT44" s="1044"/>
      <c r="MUU44" s="1044"/>
      <c r="MUV44" s="1044"/>
      <c r="MUW44" s="1044"/>
      <c r="MUX44" s="1044"/>
      <c r="MUY44" s="1044"/>
      <c r="MUZ44" s="1044"/>
      <c r="MVA44" s="1044"/>
      <c r="MVB44" s="1044"/>
      <c r="MVC44" s="1044"/>
      <c r="MVD44" s="1044"/>
      <c r="MVE44" s="1044"/>
      <c r="MVF44" s="1044"/>
      <c r="MVG44" s="1044"/>
      <c r="MVH44" s="1044"/>
      <c r="MVI44" s="1044"/>
      <c r="MVJ44" s="1044"/>
      <c r="MVK44" s="1044"/>
      <c r="MVL44" s="1044"/>
      <c r="MVM44" s="1044"/>
      <c r="MVN44" s="1044"/>
      <c r="MVO44" s="1044"/>
      <c r="MVP44" s="1044"/>
      <c r="MVQ44" s="1044"/>
      <c r="MVR44" s="1044"/>
      <c r="MVS44" s="1044"/>
      <c r="MVT44" s="1044"/>
      <c r="MVU44" s="1044"/>
      <c r="MVV44" s="1044"/>
      <c r="MVW44" s="1044"/>
      <c r="MVX44" s="1044"/>
      <c r="MVY44" s="1044"/>
      <c r="MVZ44" s="1044"/>
      <c r="MWA44" s="1044"/>
      <c r="MWB44" s="1044"/>
      <c r="MWC44" s="1044"/>
      <c r="MWD44" s="1044"/>
      <c r="MWE44" s="1044"/>
      <c r="MWF44" s="1044"/>
      <c r="MWG44" s="1044"/>
      <c r="MWH44" s="1044"/>
      <c r="MWI44" s="1044"/>
      <c r="MWJ44" s="1044"/>
      <c r="MWK44" s="1044"/>
      <c r="MWL44" s="1044"/>
      <c r="MWM44" s="1044"/>
      <c r="MWN44" s="1044"/>
      <c r="MWO44" s="1044"/>
      <c r="MWP44" s="1044"/>
      <c r="MWQ44" s="1044"/>
      <c r="MWR44" s="1044"/>
      <c r="MWS44" s="1044"/>
      <c r="MWT44" s="1044"/>
      <c r="MWU44" s="1044"/>
      <c r="MWV44" s="1044"/>
      <c r="MWW44" s="1044"/>
      <c r="MWX44" s="1044"/>
      <c r="MWY44" s="1044"/>
      <c r="MWZ44" s="1044"/>
      <c r="MXA44" s="1044"/>
      <c r="MXB44" s="1044"/>
      <c r="MXC44" s="1044"/>
      <c r="MXD44" s="1044"/>
      <c r="MXE44" s="1044"/>
      <c r="MXF44" s="1044"/>
      <c r="MXG44" s="1044"/>
      <c r="MXH44" s="1044"/>
      <c r="MXI44" s="1044"/>
      <c r="MXJ44" s="1044"/>
      <c r="MXK44" s="1044"/>
      <c r="MXL44" s="1044"/>
      <c r="MXM44" s="1044"/>
      <c r="MXN44" s="1044"/>
      <c r="MXO44" s="1044"/>
      <c r="MXP44" s="1044"/>
      <c r="MXQ44" s="1044"/>
      <c r="MXR44" s="1044"/>
      <c r="MXS44" s="1044"/>
      <c r="MXT44" s="1044"/>
      <c r="MXU44" s="1044"/>
      <c r="MXV44" s="1044"/>
      <c r="MXW44" s="1044"/>
      <c r="MXX44" s="1044"/>
      <c r="MXY44" s="1044"/>
      <c r="MXZ44" s="1044"/>
      <c r="MYA44" s="1044"/>
      <c r="MYB44" s="1044"/>
      <c r="MYC44" s="1044"/>
      <c r="MYD44" s="1044"/>
      <c r="MYE44" s="1044"/>
      <c r="MYF44" s="1044"/>
      <c r="MYG44" s="1044"/>
      <c r="MYH44" s="1044"/>
      <c r="MYI44" s="1044"/>
      <c r="MYJ44" s="1044"/>
      <c r="MYK44" s="1044"/>
      <c r="MYL44" s="1044"/>
      <c r="MYM44" s="1044"/>
      <c r="MYN44" s="1044"/>
      <c r="MYO44" s="1044"/>
      <c r="MYP44" s="1044"/>
      <c r="MYQ44" s="1044"/>
      <c r="MYR44" s="1044"/>
      <c r="MYS44" s="1044"/>
      <c r="MYT44" s="1044"/>
      <c r="MYU44" s="1044"/>
      <c r="MYV44" s="1044"/>
      <c r="MYW44" s="1044"/>
      <c r="MYX44" s="1044"/>
      <c r="MYY44" s="1044"/>
      <c r="MYZ44" s="1044"/>
      <c r="MZA44" s="1044"/>
      <c r="MZB44" s="1044"/>
      <c r="MZC44" s="1044"/>
      <c r="MZD44" s="1044"/>
      <c r="MZE44" s="1044"/>
      <c r="MZF44" s="1044"/>
      <c r="MZG44" s="1044"/>
      <c r="MZH44" s="1044"/>
      <c r="MZI44" s="1044"/>
      <c r="MZJ44" s="1044"/>
      <c r="MZK44" s="1044"/>
      <c r="MZL44" s="1044"/>
      <c r="MZM44" s="1044"/>
      <c r="MZN44" s="1044"/>
      <c r="MZO44" s="1044"/>
      <c r="MZP44" s="1044"/>
      <c r="MZQ44" s="1044"/>
      <c r="MZR44" s="1044"/>
      <c r="MZS44" s="1044"/>
      <c r="MZT44" s="1044"/>
      <c r="MZU44" s="1044"/>
      <c r="MZV44" s="1044"/>
      <c r="MZW44" s="1044"/>
      <c r="MZX44" s="1044"/>
      <c r="MZY44" s="1044"/>
      <c r="MZZ44" s="1044"/>
      <c r="NAA44" s="1044"/>
      <c r="NAB44" s="1044"/>
      <c r="NAC44" s="1044"/>
      <c r="NAD44" s="1044"/>
      <c r="NAE44" s="1044"/>
      <c r="NAF44" s="1044"/>
      <c r="NAG44" s="1044"/>
      <c r="NAH44" s="1044"/>
      <c r="NAI44" s="1044"/>
      <c r="NAJ44" s="1044"/>
      <c r="NAK44" s="1044"/>
      <c r="NAL44" s="1044"/>
      <c r="NAM44" s="1044"/>
      <c r="NAN44" s="1044"/>
      <c r="NAO44" s="1044"/>
      <c r="NAP44" s="1044"/>
      <c r="NAQ44" s="1044"/>
      <c r="NAR44" s="1044"/>
      <c r="NAS44" s="1044"/>
      <c r="NAT44" s="1044"/>
      <c r="NAU44" s="1044"/>
      <c r="NAV44" s="1044"/>
      <c r="NAW44" s="1044"/>
      <c r="NAX44" s="1044"/>
      <c r="NAY44" s="1044"/>
      <c r="NAZ44" s="1044"/>
      <c r="NBA44" s="1044"/>
      <c r="NBB44" s="1044"/>
      <c r="NBC44" s="1044"/>
      <c r="NBD44" s="1044"/>
      <c r="NBE44" s="1044"/>
      <c r="NBF44" s="1044"/>
      <c r="NBG44" s="1044"/>
      <c r="NBH44" s="1044"/>
      <c r="NBI44" s="1044"/>
      <c r="NBJ44" s="1044"/>
      <c r="NBK44" s="1044"/>
      <c r="NBL44" s="1044"/>
      <c r="NBM44" s="1044"/>
      <c r="NBN44" s="1044"/>
      <c r="NBO44" s="1044"/>
      <c r="NBP44" s="1044"/>
      <c r="NBQ44" s="1044"/>
      <c r="NBR44" s="1044"/>
      <c r="NBS44" s="1044"/>
      <c r="NBT44" s="1044"/>
      <c r="NBU44" s="1044"/>
      <c r="NBV44" s="1044"/>
      <c r="NBW44" s="1044"/>
      <c r="NBX44" s="1044"/>
      <c r="NBY44" s="1044"/>
      <c r="NBZ44" s="1044"/>
      <c r="NCA44" s="1044"/>
      <c r="NCB44" s="1044"/>
      <c r="NCC44" s="1044"/>
      <c r="NCD44" s="1044"/>
      <c r="NCE44" s="1044"/>
      <c r="NCF44" s="1044"/>
      <c r="NCG44" s="1044"/>
      <c r="NCH44" s="1044"/>
      <c r="NCI44" s="1044"/>
      <c r="NCJ44" s="1044"/>
      <c r="NCK44" s="1044"/>
      <c r="NCL44" s="1044"/>
      <c r="NCM44" s="1044"/>
      <c r="NCN44" s="1044"/>
      <c r="NCO44" s="1044"/>
      <c r="NCP44" s="1044"/>
      <c r="NCQ44" s="1044"/>
      <c r="NCR44" s="1044"/>
      <c r="NCS44" s="1044"/>
      <c r="NCT44" s="1044"/>
      <c r="NCU44" s="1044"/>
      <c r="NCV44" s="1044"/>
      <c r="NCW44" s="1044"/>
      <c r="NCX44" s="1044"/>
      <c r="NCY44" s="1044"/>
      <c r="NCZ44" s="1044"/>
      <c r="NDA44" s="1044"/>
      <c r="NDB44" s="1044"/>
      <c r="NDC44" s="1044"/>
      <c r="NDD44" s="1044"/>
      <c r="NDE44" s="1044"/>
      <c r="NDF44" s="1044"/>
      <c r="NDG44" s="1044"/>
      <c r="NDH44" s="1044"/>
      <c r="NDI44" s="1044"/>
      <c r="NDJ44" s="1044"/>
      <c r="NDK44" s="1044"/>
      <c r="NDL44" s="1044"/>
      <c r="NDM44" s="1044"/>
      <c r="NDN44" s="1044"/>
      <c r="NDO44" s="1044"/>
      <c r="NDP44" s="1044"/>
      <c r="NDQ44" s="1044"/>
      <c r="NDR44" s="1044"/>
      <c r="NDS44" s="1044"/>
      <c r="NDT44" s="1044"/>
      <c r="NDU44" s="1044"/>
      <c r="NDV44" s="1044"/>
      <c r="NDW44" s="1044"/>
      <c r="NDX44" s="1044"/>
      <c r="NDY44" s="1044"/>
      <c r="NDZ44" s="1044"/>
      <c r="NEA44" s="1044"/>
      <c r="NEB44" s="1044"/>
      <c r="NEC44" s="1044"/>
      <c r="NED44" s="1044"/>
      <c r="NEE44" s="1044"/>
      <c r="NEF44" s="1044"/>
      <c r="NEG44" s="1044"/>
      <c r="NEH44" s="1044"/>
      <c r="NEI44" s="1044"/>
      <c r="NEJ44" s="1044"/>
      <c r="NEK44" s="1044"/>
      <c r="NEL44" s="1044"/>
      <c r="NEM44" s="1044"/>
      <c r="NEN44" s="1044"/>
      <c r="NEO44" s="1044"/>
      <c r="NEP44" s="1044"/>
      <c r="NEQ44" s="1044"/>
      <c r="NER44" s="1044"/>
      <c r="NES44" s="1044"/>
      <c r="NET44" s="1044"/>
      <c r="NEU44" s="1044"/>
      <c r="NEV44" s="1044"/>
      <c r="NEW44" s="1044"/>
      <c r="NEX44" s="1044"/>
      <c r="NEY44" s="1044"/>
      <c r="NEZ44" s="1044"/>
      <c r="NFA44" s="1044"/>
      <c r="NFB44" s="1044"/>
      <c r="NFC44" s="1044"/>
      <c r="NFD44" s="1044"/>
      <c r="NFE44" s="1044"/>
      <c r="NFF44" s="1044"/>
      <c r="NFG44" s="1044"/>
      <c r="NFH44" s="1044"/>
      <c r="NFI44" s="1044"/>
      <c r="NFJ44" s="1044"/>
      <c r="NFK44" s="1044"/>
      <c r="NFL44" s="1044"/>
      <c r="NFM44" s="1044"/>
      <c r="NFN44" s="1044"/>
      <c r="NFO44" s="1044"/>
      <c r="NFP44" s="1044"/>
      <c r="NFQ44" s="1044"/>
      <c r="NFR44" s="1044"/>
      <c r="NFS44" s="1044"/>
      <c r="NFT44" s="1044"/>
      <c r="NFU44" s="1044"/>
      <c r="NFV44" s="1044"/>
      <c r="NFW44" s="1044"/>
      <c r="NFX44" s="1044"/>
      <c r="NFY44" s="1044"/>
      <c r="NFZ44" s="1044"/>
      <c r="NGA44" s="1044"/>
      <c r="NGB44" s="1044"/>
      <c r="NGC44" s="1044"/>
      <c r="NGD44" s="1044"/>
      <c r="NGE44" s="1044"/>
      <c r="NGF44" s="1044"/>
      <c r="NGG44" s="1044"/>
      <c r="NGH44" s="1044"/>
      <c r="NGI44" s="1044"/>
      <c r="NGJ44" s="1044"/>
      <c r="NGK44" s="1044"/>
      <c r="NGL44" s="1044"/>
      <c r="NGM44" s="1044"/>
      <c r="NGN44" s="1044"/>
      <c r="NGO44" s="1044"/>
      <c r="NGP44" s="1044"/>
      <c r="NGQ44" s="1044"/>
      <c r="NGR44" s="1044"/>
      <c r="NGS44" s="1044"/>
      <c r="NGT44" s="1044"/>
      <c r="NGU44" s="1044"/>
      <c r="NGV44" s="1044"/>
      <c r="NGW44" s="1044"/>
      <c r="NGX44" s="1044"/>
      <c r="NGY44" s="1044"/>
      <c r="NGZ44" s="1044"/>
      <c r="NHA44" s="1044"/>
      <c r="NHB44" s="1044"/>
      <c r="NHC44" s="1044"/>
      <c r="NHD44" s="1044"/>
      <c r="NHE44" s="1044"/>
      <c r="NHF44" s="1044"/>
      <c r="NHG44" s="1044"/>
      <c r="NHH44" s="1044"/>
      <c r="NHI44" s="1044"/>
      <c r="NHJ44" s="1044"/>
      <c r="NHK44" s="1044"/>
      <c r="NHL44" s="1044"/>
      <c r="NHM44" s="1044"/>
      <c r="NHN44" s="1044"/>
      <c r="NHO44" s="1044"/>
      <c r="NHP44" s="1044"/>
      <c r="NHQ44" s="1044"/>
      <c r="NHR44" s="1044"/>
      <c r="NHS44" s="1044"/>
      <c r="NHT44" s="1044"/>
      <c r="NHU44" s="1044"/>
      <c r="NHV44" s="1044"/>
      <c r="NHW44" s="1044"/>
      <c r="NHX44" s="1044"/>
      <c r="NHY44" s="1044"/>
      <c r="NHZ44" s="1044"/>
      <c r="NIA44" s="1044"/>
      <c r="NIB44" s="1044"/>
      <c r="NIC44" s="1044"/>
      <c r="NID44" s="1044"/>
      <c r="NIE44" s="1044"/>
      <c r="NIF44" s="1044"/>
      <c r="NIG44" s="1044"/>
      <c r="NIH44" s="1044"/>
      <c r="NII44" s="1044"/>
      <c r="NIJ44" s="1044"/>
      <c r="NIK44" s="1044"/>
      <c r="NIL44" s="1044"/>
      <c r="NIM44" s="1044"/>
      <c r="NIN44" s="1044"/>
      <c r="NIO44" s="1044"/>
      <c r="NIP44" s="1044"/>
      <c r="NIQ44" s="1044"/>
      <c r="NIR44" s="1044"/>
      <c r="NIS44" s="1044"/>
      <c r="NIT44" s="1044"/>
      <c r="NIU44" s="1044"/>
      <c r="NIV44" s="1044"/>
      <c r="NIW44" s="1044"/>
      <c r="NIX44" s="1044"/>
      <c r="NIY44" s="1044"/>
      <c r="NIZ44" s="1044"/>
      <c r="NJA44" s="1044"/>
      <c r="NJB44" s="1044"/>
      <c r="NJC44" s="1044"/>
      <c r="NJD44" s="1044"/>
      <c r="NJE44" s="1044"/>
      <c r="NJF44" s="1044"/>
      <c r="NJG44" s="1044"/>
      <c r="NJH44" s="1044"/>
      <c r="NJI44" s="1044"/>
      <c r="NJJ44" s="1044"/>
      <c r="NJK44" s="1044"/>
      <c r="NJL44" s="1044"/>
      <c r="NJM44" s="1044"/>
      <c r="NJN44" s="1044"/>
      <c r="NJO44" s="1044"/>
      <c r="NJP44" s="1044"/>
      <c r="NJQ44" s="1044"/>
      <c r="NJR44" s="1044"/>
      <c r="NJS44" s="1044"/>
      <c r="NJT44" s="1044"/>
      <c r="NJU44" s="1044"/>
      <c r="NJV44" s="1044"/>
      <c r="NJW44" s="1044"/>
      <c r="NJX44" s="1044"/>
      <c r="NJY44" s="1044"/>
      <c r="NJZ44" s="1044"/>
      <c r="NKA44" s="1044"/>
      <c r="NKB44" s="1044"/>
      <c r="NKC44" s="1044"/>
      <c r="NKD44" s="1044"/>
      <c r="NKE44" s="1044"/>
      <c r="NKF44" s="1044"/>
      <c r="NKG44" s="1044"/>
      <c r="NKH44" s="1044"/>
      <c r="NKI44" s="1044"/>
      <c r="NKJ44" s="1044"/>
      <c r="NKK44" s="1044"/>
      <c r="NKL44" s="1044"/>
      <c r="NKM44" s="1044"/>
      <c r="NKN44" s="1044"/>
      <c r="NKO44" s="1044"/>
      <c r="NKP44" s="1044"/>
      <c r="NKQ44" s="1044"/>
      <c r="NKR44" s="1044"/>
      <c r="NKS44" s="1044"/>
      <c r="NKT44" s="1044"/>
      <c r="NKU44" s="1044"/>
      <c r="NKV44" s="1044"/>
      <c r="NKW44" s="1044"/>
      <c r="NKX44" s="1044"/>
      <c r="NKY44" s="1044"/>
      <c r="NKZ44" s="1044"/>
      <c r="NLA44" s="1044"/>
      <c r="NLB44" s="1044"/>
      <c r="NLC44" s="1044"/>
      <c r="NLD44" s="1044"/>
      <c r="NLE44" s="1044"/>
      <c r="NLF44" s="1044"/>
      <c r="NLG44" s="1044"/>
      <c r="NLH44" s="1044"/>
      <c r="NLI44" s="1044"/>
      <c r="NLJ44" s="1044"/>
      <c r="NLK44" s="1044"/>
      <c r="NLL44" s="1044"/>
      <c r="NLM44" s="1044"/>
      <c r="NLN44" s="1044"/>
      <c r="NLO44" s="1044"/>
      <c r="NLP44" s="1044"/>
      <c r="NLQ44" s="1044"/>
      <c r="NLR44" s="1044"/>
      <c r="NLS44" s="1044"/>
      <c r="NLT44" s="1044"/>
      <c r="NLU44" s="1044"/>
      <c r="NLV44" s="1044"/>
      <c r="NLW44" s="1044"/>
      <c r="NLX44" s="1044"/>
      <c r="NLY44" s="1044"/>
      <c r="NLZ44" s="1044"/>
      <c r="NMA44" s="1044"/>
      <c r="NMB44" s="1044"/>
      <c r="NMC44" s="1044"/>
      <c r="NMD44" s="1044"/>
      <c r="NME44" s="1044"/>
      <c r="NMF44" s="1044"/>
      <c r="NMG44" s="1044"/>
      <c r="NMH44" s="1044"/>
      <c r="NMI44" s="1044"/>
      <c r="NMJ44" s="1044"/>
      <c r="NMK44" s="1044"/>
      <c r="NML44" s="1044"/>
      <c r="NMM44" s="1044"/>
      <c r="NMN44" s="1044"/>
      <c r="NMO44" s="1044"/>
      <c r="NMP44" s="1044"/>
      <c r="NMQ44" s="1044"/>
      <c r="NMR44" s="1044"/>
      <c r="NMS44" s="1044"/>
      <c r="NMT44" s="1044"/>
      <c r="NMU44" s="1044"/>
      <c r="NMV44" s="1044"/>
      <c r="NMW44" s="1044"/>
      <c r="NMX44" s="1044"/>
      <c r="NMY44" s="1044"/>
      <c r="NMZ44" s="1044"/>
      <c r="NNA44" s="1044"/>
      <c r="NNB44" s="1044"/>
      <c r="NNC44" s="1044"/>
      <c r="NND44" s="1044"/>
      <c r="NNE44" s="1044"/>
      <c r="NNF44" s="1044"/>
      <c r="NNG44" s="1044"/>
      <c r="NNH44" s="1044"/>
      <c r="NNI44" s="1044"/>
      <c r="NNJ44" s="1044"/>
      <c r="NNK44" s="1044"/>
      <c r="NNL44" s="1044"/>
      <c r="NNM44" s="1044"/>
      <c r="NNN44" s="1044"/>
      <c r="NNO44" s="1044"/>
      <c r="NNP44" s="1044"/>
      <c r="NNQ44" s="1044"/>
      <c r="NNR44" s="1044"/>
      <c r="NNS44" s="1044"/>
      <c r="NNT44" s="1044"/>
      <c r="NNU44" s="1044"/>
      <c r="NNV44" s="1044"/>
      <c r="NNW44" s="1044"/>
      <c r="NNX44" s="1044"/>
      <c r="NNY44" s="1044"/>
      <c r="NNZ44" s="1044"/>
      <c r="NOA44" s="1044"/>
      <c r="NOB44" s="1044"/>
      <c r="NOC44" s="1044"/>
      <c r="NOD44" s="1044"/>
      <c r="NOE44" s="1044"/>
      <c r="NOF44" s="1044"/>
      <c r="NOG44" s="1044"/>
      <c r="NOH44" s="1044"/>
      <c r="NOI44" s="1044"/>
      <c r="NOJ44" s="1044"/>
      <c r="NOK44" s="1044"/>
      <c r="NOL44" s="1044"/>
      <c r="NOM44" s="1044"/>
      <c r="NON44" s="1044"/>
      <c r="NOO44" s="1044"/>
      <c r="NOP44" s="1044"/>
      <c r="NOQ44" s="1044"/>
      <c r="NOR44" s="1044"/>
      <c r="NOS44" s="1044"/>
      <c r="NOT44" s="1044"/>
      <c r="NOU44" s="1044"/>
      <c r="NOV44" s="1044"/>
      <c r="NOW44" s="1044"/>
      <c r="NOX44" s="1044"/>
      <c r="NOY44" s="1044"/>
      <c r="NOZ44" s="1044"/>
      <c r="NPA44" s="1044"/>
      <c r="NPB44" s="1044"/>
      <c r="NPC44" s="1044"/>
      <c r="NPD44" s="1044"/>
      <c r="NPE44" s="1044"/>
      <c r="NPF44" s="1044"/>
      <c r="NPG44" s="1044"/>
      <c r="NPH44" s="1044"/>
      <c r="NPI44" s="1044"/>
      <c r="NPJ44" s="1044"/>
      <c r="NPK44" s="1044"/>
      <c r="NPL44" s="1044"/>
      <c r="NPM44" s="1044"/>
      <c r="NPN44" s="1044"/>
      <c r="NPO44" s="1044"/>
      <c r="NPP44" s="1044"/>
      <c r="NPQ44" s="1044"/>
      <c r="NPR44" s="1044"/>
      <c r="NPS44" s="1044"/>
      <c r="NPT44" s="1044"/>
      <c r="NPU44" s="1044"/>
      <c r="NPV44" s="1044"/>
      <c r="NPW44" s="1044"/>
      <c r="NPX44" s="1044"/>
      <c r="NPY44" s="1044"/>
      <c r="NPZ44" s="1044"/>
      <c r="NQA44" s="1044"/>
      <c r="NQB44" s="1044"/>
      <c r="NQC44" s="1044"/>
      <c r="NQD44" s="1044"/>
      <c r="NQE44" s="1044"/>
      <c r="NQF44" s="1044"/>
      <c r="NQG44" s="1044"/>
      <c r="NQH44" s="1044"/>
      <c r="NQI44" s="1044"/>
      <c r="NQJ44" s="1044"/>
      <c r="NQK44" s="1044"/>
      <c r="NQL44" s="1044"/>
      <c r="NQM44" s="1044"/>
      <c r="NQN44" s="1044"/>
      <c r="NQO44" s="1044"/>
      <c r="NQP44" s="1044"/>
      <c r="NQQ44" s="1044"/>
      <c r="NQR44" s="1044"/>
      <c r="NQS44" s="1044"/>
      <c r="NQT44" s="1044"/>
      <c r="NQU44" s="1044"/>
      <c r="NQV44" s="1044"/>
      <c r="NQW44" s="1044"/>
      <c r="NQX44" s="1044"/>
      <c r="NQY44" s="1044"/>
      <c r="NQZ44" s="1044"/>
      <c r="NRA44" s="1044"/>
      <c r="NRB44" s="1044"/>
      <c r="NRC44" s="1044"/>
      <c r="NRD44" s="1044"/>
      <c r="NRE44" s="1044"/>
      <c r="NRF44" s="1044"/>
      <c r="NRG44" s="1044"/>
      <c r="NRH44" s="1044"/>
      <c r="NRI44" s="1044"/>
      <c r="NRJ44" s="1044"/>
      <c r="NRK44" s="1044"/>
      <c r="NRL44" s="1044"/>
      <c r="NRM44" s="1044"/>
      <c r="NRN44" s="1044"/>
      <c r="NRO44" s="1044"/>
      <c r="NRP44" s="1044"/>
      <c r="NRQ44" s="1044"/>
      <c r="NRR44" s="1044"/>
      <c r="NRS44" s="1044"/>
      <c r="NRT44" s="1044"/>
      <c r="NRU44" s="1044"/>
      <c r="NRV44" s="1044"/>
      <c r="NRW44" s="1044"/>
      <c r="NRX44" s="1044"/>
      <c r="NRY44" s="1044"/>
      <c r="NRZ44" s="1044"/>
      <c r="NSA44" s="1044"/>
      <c r="NSB44" s="1044"/>
      <c r="NSC44" s="1044"/>
      <c r="NSD44" s="1044"/>
      <c r="NSE44" s="1044"/>
      <c r="NSF44" s="1044"/>
      <c r="NSG44" s="1044"/>
      <c r="NSH44" s="1044"/>
      <c r="NSI44" s="1044"/>
      <c r="NSJ44" s="1044"/>
      <c r="NSK44" s="1044"/>
      <c r="NSL44" s="1044"/>
      <c r="NSM44" s="1044"/>
      <c r="NSN44" s="1044"/>
      <c r="NSO44" s="1044"/>
      <c r="NSP44" s="1044"/>
      <c r="NSQ44" s="1044"/>
      <c r="NSR44" s="1044"/>
      <c r="NSS44" s="1044"/>
      <c r="NST44" s="1044"/>
      <c r="NSU44" s="1044"/>
      <c r="NSV44" s="1044"/>
      <c r="NSW44" s="1044"/>
      <c r="NSX44" s="1044"/>
      <c r="NSY44" s="1044"/>
      <c r="NSZ44" s="1044"/>
      <c r="NTA44" s="1044"/>
      <c r="NTB44" s="1044"/>
      <c r="NTC44" s="1044"/>
      <c r="NTD44" s="1044"/>
      <c r="NTE44" s="1044"/>
      <c r="NTF44" s="1044"/>
      <c r="NTG44" s="1044"/>
      <c r="NTH44" s="1044"/>
      <c r="NTI44" s="1044"/>
      <c r="NTJ44" s="1044"/>
      <c r="NTK44" s="1044"/>
      <c r="NTL44" s="1044"/>
      <c r="NTM44" s="1044"/>
      <c r="NTN44" s="1044"/>
      <c r="NTO44" s="1044"/>
      <c r="NTP44" s="1044"/>
      <c r="NTQ44" s="1044"/>
      <c r="NTR44" s="1044"/>
      <c r="NTS44" s="1044"/>
      <c r="NTT44" s="1044"/>
      <c r="NTU44" s="1044"/>
      <c r="NTV44" s="1044"/>
      <c r="NTW44" s="1044"/>
      <c r="NTX44" s="1044"/>
      <c r="NTY44" s="1044"/>
      <c r="NTZ44" s="1044"/>
      <c r="NUA44" s="1044"/>
      <c r="NUB44" s="1044"/>
      <c r="NUC44" s="1044"/>
      <c r="NUD44" s="1044"/>
      <c r="NUE44" s="1044"/>
      <c r="NUF44" s="1044"/>
      <c r="NUG44" s="1044"/>
      <c r="NUH44" s="1044"/>
      <c r="NUI44" s="1044"/>
      <c r="NUJ44" s="1044"/>
      <c r="NUK44" s="1044"/>
      <c r="NUL44" s="1044"/>
      <c r="NUM44" s="1044"/>
      <c r="NUN44" s="1044"/>
      <c r="NUO44" s="1044"/>
      <c r="NUP44" s="1044"/>
      <c r="NUQ44" s="1044"/>
      <c r="NUR44" s="1044"/>
      <c r="NUS44" s="1044"/>
      <c r="NUT44" s="1044"/>
      <c r="NUU44" s="1044"/>
      <c r="NUV44" s="1044"/>
      <c r="NUW44" s="1044"/>
      <c r="NUX44" s="1044"/>
      <c r="NUY44" s="1044"/>
      <c r="NUZ44" s="1044"/>
      <c r="NVA44" s="1044"/>
      <c r="NVB44" s="1044"/>
      <c r="NVC44" s="1044"/>
      <c r="NVD44" s="1044"/>
      <c r="NVE44" s="1044"/>
      <c r="NVF44" s="1044"/>
      <c r="NVG44" s="1044"/>
      <c r="NVH44" s="1044"/>
      <c r="NVI44" s="1044"/>
      <c r="NVJ44" s="1044"/>
      <c r="NVK44" s="1044"/>
      <c r="NVL44" s="1044"/>
      <c r="NVM44" s="1044"/>
      <c r="NVN44" s="1044"/>
      <c r="NVO44" s="1044"/>
      <c r="NVP44" s="1044"/>
      <c r="NVQ44" s="1044"/>
      <c r="NVR44" s="1044"/>
      <c r="NVS44" s="1044"/>
      <c r="NVT44" s="1044"/>
      <c r="NVU44" s="1044"/>
      <c r="NVV44" s="1044"/>
      <c r="NVW44" s="1044"/>
      <c r="NVX44" s="1044"/>
      <c r="NVY44" s="1044"/>
      <c r="NVZ44" s="1044"/>
      <c r="NWA44" s="1044"/>
      <c r="NWB44" s="1044"/>
      <c r="NWC44" s="1044"/>
      <c r="NWD44" s="1044"/>
      <c r="NWE44" s="1044"/>
      <c r="NWF44" s="1044"/>
      <c r="NWG44" s="1044"/>
      <c r="NWH44" s="1044"/>
      <c r="NWI44" s="1044"/>
      <c r="NWJ44" s="1044"/>
      <c r="NWK44" s="1044"/>
      <c r="NWL44" s="1044"/>
      <c r="NWM44" s="1044"/>
      <c r="NWN44" s="1044"/>
      <c r="NWO44" s="1044"/>
      <c r="NWP44" s="1044"/>
      <c r="NWQ44" s="1044"/>
      <c r="NWR44" s="1044"/>
      <c r="NWS44" s="1044"/>
      <c r="NWT44" s="1044"/>
      <c r="NWU44" s="1044"/>
      <c r="NWV44" s="1044"/>
      <c r="NWW44" s="1044"/>
      <c r="NWX44" s="1044"/>
      <c r="NWY44" s="1044"/>
      <c r="NWZ44" s="1044"/>
      <c r="NXA44" s="1044"/>
      <c r="NXB44" s="1044"/>
      <c r="NXC44" s="1044"/>
      <c r="NXD44" s="1044"/>
      <c r="NXE44" s="1044"/>
      <c r="NXF44" s="1044"/>
      <c r="NXG44" s="1044"/>
      <c r="NXH44" s="1044"/>
      <c r="NXI44" s="1044"/>
      <c r="NXJ44" s="1044"/>
      <c r="NXK44" s="1044"/>
      <c r="NXL44" s="1044"/>
      <c r="NXM44" s="1044"/>
      <c r="NXN44" s="1044"/>
      <c r="NXO44" s="1044"/>
      <c r="NXP44" s="1044"/>
      <c r="NXQ44" s="1044"/>
      <c r="NXR44" s="1044"/>
      <c r="NXS44" s="1044"/>
      <c r="NXT44" s="1044"/>
      <c r="NXU44" s="1044"/>
      <c r="NXV44" s="1044"/>
      <c r="NXW44" s="1044"/>
      <c r="NXX44" s="1044"/>
      <c r="NXY44" s="1044"/>
      <c r="NXZ44" s="1044"/>
      <c r="NYA44" s="1044"/>
      <c r="NYB44" s="1044"/>
      <c r="NYC44" s="1044"/>
      <c r="NYD44" s="1044"/>
      <c r="NYE44" s="1044"/>
      <c r="NYF44" s="1044"/>
      <c r="NYG44" s="1044"/>
      <c r="NYH44" s="1044"/>
      <c r="NYI44" s="1044"/>
      <c r="NYJ44" s="1044"/>
      <c r="NYK44" s="1044"/>
      <c r="NYL44" s="1044"/>
      <c r="NYM44" s="1044"/>
      <c r="NYN44" s="1044"/>
      <c r="NYO44" s="1044"/>
      <c r="NYP44" s="1044"/>
      <c r="NYQ44" s="1044"/>
      <c r="NYR44" s="1044"/>
      <c r="NYS44" s="1044"/>
      <c r="NYT44" s="1044"/>
      <c r="NYU44" s="1044"/>
      <c r="NYV44" s="1044"/>
      <c r="NYW44" s="1044"/>
      <c r="NYX44" s="1044"/>
      <c r="NYY44" s="1044"/>
      <c r="NYZ44" s="1044"/>
      <c r="NZA44" s="1044"/>
      <c r="NZB44" s="1044"/>
      <c r="NZC44" s="1044"/>
      <c r="NZD44" s="1044"/>
      <c r="NZE44" s="1044"/>
      <c r="NZF44" s="1044"/>
      <c r="NZG44" s="1044"/>
      <c r="NZH44" s="1044"/>
      <c r="NZI44" s="1044"/>
      <c r="NZJ44" s="1044"/>
      <c r="NZK44" s="1044"/>
      <c r="NZL44" s="1044"/>
      <c r="NZM44" s="1044"/>
      <c r="NZN44" s="1044"/>
      <c r="NZO44" s="1044"/>
      <c r="NZP44" s="1044"/>
      <c r="NZQ44" s="1044"/>
      <c r="NZR44" s="1044"/>
      <c r="NZS44" s="1044"/>
      <c r="NZT44" s="1044"/>
      <c r="NZU44" s="1044"/>
      <c r="NZV44" s="1044"/>
      <c r="NZW44" s="1044"/>
      <c r="NZX44" s="1044"/>
      <c r="NZY44" s="1044"/>
      <c r="NZZ44" s="1044"/>
      <c r="OAA44" s="1044"/>
      <c r="OAB44" s="1044"/>
      <c r="OAC44" s="1044"/>
      <c r="OAD44" s="1044"/>
      <c r="OAE44" s="1044"/>
      <c r="OAF44" s="1044"/>
      <c r="OAG44" s="1044"/>
      <c r="OAH44" s="1044"/>
      <c r="OAI44" s="1044"/>
      <c r="OAJ44" s="1044"/>
      <c r="OAK44" s="1044"/>
      <c r="OAL44" s="1044"/>
      <c r="OAM44" s="1044"/>
      <c r="OAN44" s="1044"/>
      <c r="OAO44" s="1044"/>
      <c r="OAP44" s="1044"/>
      <c r="OAQ44" s="1044"/>
      <c r="OAR44" s="1044"/>
      <c r="OAS44" s="1044"/>
      <c r="OAT44" s="1044"/>
      <c r="OAU44" s="1044"/>
      <c r="OAV44" s="1044"/>
      <c r="OAW44" s="1044"/>
      <c r="OAX44" s="1044"/>
      <c r="OAY44" s="1044"/>
      <c r="OAZ44" s="1044"/>
      <c r="OBA44" s="1044"/>
      <c r="OBB44" s="1044"/>
      <c r="OBC44" s="1044"/>
      <c r="OBD44" s="1044"/>
      <c r="OBE44" s="1044"/>
      <c r="OBF44" s="1044"/>
      <c r="OBG44" s="1044"/>
      <c r="OBH44" s="1044"/>
      <c r="OBI44" s="1044"/>
      <c r="OBJ44" s="1044"/>
      <c r="OBK44" s="1044"/>
      <c r="OBL44" s="1044"/>
      <c r="OBM44" s="1044"/>
      <c r="OBN44" s="1044"/>
      <c r="OBO44" s="1044"/>
      <c r="OBP44" s="1044"/>
      <c r="OBQ44" s="1044"/>
      <c r="OBR44" s="1044"/>
      <c r="OBS44" s="1044"/>
      <c r="OBT44" s="1044"/>
      <c r="OBU44" s="1044"/>
      <c r="OBV44" s="1044"/>
      <c r="OBW44" s="1044"/>
      <c r="OBX44" s="1044"/>
      <c r="OBY44" s="1044"/>
      <c r="OBZ44" s="1044"/>
      <c r="OCA44" s="1044"/>
      <c r="OCB44" s="1044"/>
      <c r="OCC44" s="1044"/>
      <c r="OCD44" s="1044"/>
      <c r="OCE44" s="1044"/>
      <c r="OCF44" s="1044"/>
      <c r="OCG44" s="1044"/>
      <c r="OCH44" s="1044"/>
      <c r="OCI44" s="1044"/>
      <c r="OCJ44" s="1044"/>
      <c r="OCK44" s="1044"/>
      <c r="OCL44" s="1044"/>
      <c r="OCM44" s="1044"/>
      <c r="OCN44" s="1044"/>
      <c r="OCO44" s="1044"/>
      <c r="OCP44" s="1044"/>
      <c r="OCQ44" s="1044"/>
      <c r="OCR44" s="1044"/>
      <c r="OCS44" s="1044"/>
      <c r="OCT44" s="1044"/>
      <c r="OCU44" s="1044"/>
      <c r="OCV44" s="1044"/>
      <c r="OCW44" s="1044"/>
      <c r="OCX44" s="1044"/>
      <c r="OCY44" s="1044"/>
      <c r="OCZ44" s="1044"/>
      <c r="ODA44" s="1044"/>
      <c r="ODB44" s="1044"/>
      <c r="ODC44" s="1044"/>
      <c r="ODD44" s="1044"/>
      <c r="ODE44" s="1044"/>
      <c r="ODF44" s="1044"/>
      <c r="ODG44" s="1044"/>
      <c r="ODH44" s="1044"/>
      <c r="ODI44" s="1044"/>
      <c r="ODJ44" s="1044"/>
      <c r="ODK44" s="1044"/>
      <c r="ODL44" s="1044"/>
      <c r="ODM44" s="1044"/>
      <c r="ODN44" s="1044"/>
      <c r="ODO44" s="1044"/>
      <c r="ODP44" s="1044"/>
      <c r="ODQ44" s="1044"/>
      <c r="ODR44" s="1044"/>
      <c r="ODS44" s="1044"/>
      <c r="ODT44" s="1044"/>
      <c r="ODU44" s="1044"/>
      <c r="ODV44" s="1044"/>
      <c r="ODW44" s="1044"/>
      <c r="ODX44" s="1044"/>
      <c r="ODY44" s="1044"/>
      <c r="ODZ44" s="1044"/>
      <c r="OEA44" s="1044"/>
      <c r="OEB44" s="1044"/>
      <c r="OEC44" s="1044"/>
      <c r="OED44" s="1044"/>
      <c r="OEE44" s="1044"/>
      <c r="OEF44" s="1044"/>
      <c r="OEG44" s="1044"/>
      <c r="OEH44" s="1044"/>
      <c r="OEI44" s="1044"/>
      <c r="OEJ44" s="1044"/>
      <c r="OEK44" s="1044"/>
      <c r="OEL44" s="1044"/>
      <c r="OEM44" s="1044"/>
      <c r="OEN44" s="1044"/>
      <c r="OEO44" s="1044"/>
      <c r="OEP44" s="1044"/>
      <c r="OEQ44" s="1044"/>
      <c r="OER44" s="1044"/>
      <c r="OES44" s="1044"/>
      <c r="OET44" s="1044"/>
      <c r="OEU44" s="1044"/>
      <c r="OEV44" s="1044"/>
      <c r="OEW44" s="1044"/>
      <c r="OEX44" s="1044"/>
      <c r="OEY44" s="1044"/>
      <c r="OEZ44" s="1044"/>
      <c r="OFA44" s="1044"/>
      <c r="OFB44" s="1044"/>
      <c r="OFC44" s="1044"/>
      <c r="OFD44" s="1044"/>
      <c r="OFE44" s="1044"/>
      <c r="OFF44" s="1044"/>
      <c r="OFG44" s="1044"/>
      <c r="OFH44" s="1044"/>
      <c r="OFI44" s="1044"/>
      <c r="OFJ44" s="1044"/>
      <c r="OFK44" s="1044"/>
      <c r="OFL44" s="1044"/>
      <c r="OFM44" s="1044"/>
      <c r="OFN44" s="1044"/>
      <c r="OFO44" s="1044"/>
      <c r="OFP44" s="1044"/>
      <c r="OFQ44" s="1044"/>
      <c r="OFR44" s="1044"/>
      <c r="OFS44" s="1044"/>
      <c r="OFT44" s="1044"/>
      <c r="OFU44" s="1044"/>
      <c r="OFV44" s="1044"/>
      <c r="OFW44" s="1044"/>
      <c r="OFX44" s="1044"/>
      <c r="OFY44" s="1044"/>
      <c r="OFZ44" s="1044"/>
      <c r="OGA44" s="1044"/>
      <c r="OGB44" s="1044"/>
      <c r="OGC44" s="1044"/>
      <c r="OGD44" s="1044"/>
      <c r="OGE44" s="1044"/>
      <c r="OGF44" s="1044"/>
      <c r="OGG44" s="1044"/>
      <c r="OGH44" s="1044"/>
      <c r="OGI44" s="1044"/>
      <c r="OGJ44" s="1044"/>
      <c r="OGK44" s="1044"/>
      <c r="OGL44" s="1044"/>
      <c r="OGM44" s="1044"/>
      <c r="OGN44" s="1044"/>
      <c r="OGO44" s="1044"/>
      <c r="OGP44" s="1044"/>
      <c r="OGQ44" s="1044"/>
      <c r="OGR44" s="1044"/>
      <c r="OGS44" s="1044"/>
      <c r="OGT44" s="1044"/>
      <c r="OGU44" s="1044"/>
      <c r="OGV44" s="1044"/>
      <c r="OGW44" s="1044"/>
      <c r="OGX44" s="1044"/>
      <c r="OGY44" s="1044"/>
      <c r="OGZ44" s="1044"/>
      <c r="OHA44" s="1044"/>
      <c r="OHB44" s="1044"/>
      <c r="OHC44" s="1044"/>
      <c r="OHD44" s="1044"/>
      <c r="OHE44" s="1044"/>
      <c r="OHF44" s="1044"/>
      <c r="OHG44" s="1044"/>
      <c r="OHH44" s="1044"/>
      <c r="OHI44" s="1044"/>
      <c r="OHJ44" s="1044"/>
      <c r="OHK44" s="1044"/>
      <c r="OHL44" s="1044"/>
      <c r="OHM44" s="1044"/>
      <c r="OHN44" s="1044"/>
      <c r="OHO44" s="1044"/>
      <c r="OHP44" s="1044"/>
      <c r="OHQ44" s="1044"/>
      <c r="OHR44" s="1044"/>
      <c r="OHS44" s="1044"/>
      <c r="OHT44" s="1044"/>
      <c r="OHU44" s="1044"/>
      <c r="OHV44" s="1044"/>
      <c r="OHW44" s="1044"/>
      <c r="OHX44" s="1044"/>
      <c r="OHY44" s="1044"/>
      <c r="OHZ44" s="1044"/>
      <c r="OIA44" s="1044"/>
      <c r="OIB44" s="1044"/>
      <c r="OIC44" s="1044"/>
      <c r="OID44" s="1044"/>
      <c r="OIE44" s="1044"/>
      <c r="OIF44" s="1044"/>
      <c r="OIG44" s="1044"/>
      <c r="OIH44" s="1044"/>
      <c r="OII44" s="1044"/>
      <c r="OIJ44" s="1044"/>
      <c r="OIK44" s="1044"/>
      <c r="OIL44" s="1044"/>
      <c r="OIM44" s="1044"/>
      <c r="OIN44" s="1044"/>
      <c r="OIO44" s="1044"/>
      <c r="OIP44" s="1044"/>
      <c r="OIQ44" s="1044"/>
      <c r="OIR44" s="1044"/>
      <c r="OIS44" s="1044"/>
      <c r="OIT44" s="1044"/>
      <c r="OIU44" s="1044"/>
      <c r="OIV44" s="1044"/>
      <c r="OIW44" s="1044"/>
      <c r="OIX44" s="1044"/>
      <c r="OIY44" s="1044"/>
      <c r="OIZ44" s="1044"/>
      <c r="OJA44" s="1044"/>
      <c r="OJB44" s="1044"/>
      <c r="OJC44" s="1044"/>
      <c r="OJD44" s="1044"/>
      <c r="OJE44" s="1044"/>
      <c r="OJF44" s="1044"/>
      <c r="OJG44" s="1044"/>
      <c r="OJH44" s="1044"/>
      <c r="OJI44" s="1044"/>
      <c r="OJJ44" s="1044"/>
      <c r="OJK44" s="1044"/>
      <c r="OJL44" s="1044"/>
      <c r="OJM44" s="1044"/>
      <c r="OJN44" s="1044"/>
      <c r="OJO44" s="1044"/>
      <c r="OJP44" s="1044"/>
      <c r="OJQ44" s="1044"/>
      <c r="OJR44" s="1044"/>
      <c r="OJS44" s="1044"/>
      <c r="OJT44" s="1044"/>
      <c r="OJU44" s="1044"/>
      <c r="OJV44" s="1044"/>
      <c r="OJW44" s="1044"/>
      <c r="OJX44" s="1044"/>
      <c r="OJY44" s="1044"/>
      <c r="OJZ44" s="1044"/>
      <c r="OKA44" s="1044"/>
      <c r="OKB44" s="1044"/>
      <c r="OKC44" s="1044"/>
      <c r="OKD44" s="1044"/>
      <c r="OKE44" s="1044"/>
      <c r="OKF44" s="1044"/>
      <c r="OKG44" s="1044"/>
      <c r="OKH44" s="1044"/>
      <c r="OKI44" s="1044"/>
      <c r="OKJ44" s="1044"/>
      <c r="OKK44" s="1044"/>
      <c r="OKL44" s="1044"/>
      <c r="OKM44" s="1044"/>
      <c r="OKN44" s="1044"/>
      <c r="OKO44" s="1044"/>
      <c r="OKP44" s="1044"/>
      <c r="OKQ44" s="1044"/>
      <c r="OKR44" s="1044"/>
      <c r="OKS44" s="1044"/>
      <c r="OKT44" s="1044"/>
      <c r="OKU44" s="1044"/>
      <c r="OKV44" s="1044"/>
      <c r="OKW44" s="1044"/>
      <c r="OKX44" s="1044"/>
      <c r="OKY44" s="1044"/>
      <c r="OKZ44" s="1044"/>
      <c r="OLA44" s="1044"/>
      <c r="OLB44" s="1044"/>
      <c r="OLC44" s="1044"/>
      <c r="OLD44" s="1044"/>
      <c r="OLE44" s="1044"/>
      <c r="OLF44" s="1044"/>
      <c r="OLG44" s="1044"/>
      <c r="OLH44" s="1044"/>
      <c r="OLI44" s="1044"/>
      <c r="OLJ44" s="1044"/>
      <c r="OLK44" s="1044"/>
      <c r="OLL44" s="1044"/>
      <c r="OLM44" s="1044"/>
      <c r="OLN44" s="1044"/>
      <c r="OLO44" s="1044"/>
      <c r="OLP44" s="1044"/>
      <c r="OLQ44" s="1044"/>
      <c r="OLR44" s="1044"/>
      <c r="OLS44" s="1044"/>
      <c r="OLT44" s="1044"/>
      <c r="OLU44" s="1044"/>
      <c r="OLV44" s="1044"/>
      <c r="OLW44" s="1044"/>
      <c r="OLX44" s="1044"/>
      <c r="OLY44" s="1044"/>
      <c r="OLZ44" s="1044"/>
      <c r="OMA44" s="1044"/>
      <c r="OMB44" s="1044"/>
      <c r="OMC44" s="1044"/>
      <c r="OMD44" s="1044"/>
      <c r="OME44" s="1044"/>
      <c r="OMF44" s="1044"/>
      <c r="OMG44" s="1044"/>
      <c r="OMH44" s="1044"/>
      <c r="OMI44" s="1044"/>
      <c r="OMJ44" s="1044"/>
      <c r="OMK44" s="1044"/>
      <c r="OML44" s="1044"/>
      <c r="OMM44" s="1044"/>
      <c r="OMN44" s="1044"/>
      <c r="OMO44" s="1044"/>
      <c r="OMP44" s="1044"/>
      <c r="OMQ44" s="1044"/>
      <c r="OMR44" s="1044"/>
      <c r="OMS44" s="1044"/>
      <c r="OMT44" s="1044"/>
      <c r="OMU44" s="1044"/>
      <c r="OMV44" s="1044"/>
      <c r="OMW44" s="1044"/>
      <c r="OMX44" s="1044"/>
      <c r="OMY44" s="1044"/>
      <c r="OMZ44" s="1044"/>
      <c r="ONA44" s="1044"/>
      <c r="ONB44" s="1044"/>
      <c r="ONC44" s="1044"/>
      <c r="OND44" s="1044"/>
      <c r="ONE44" s="1044"/>
      <c r="ONF44" s="1044"/>
      <c r="ONG44" s="1044"/>
      <c r="ONH44" s="1044"/>
      <c r="ONI44" s="1044"/>
      <c r="ONJ44" s="1044"/>
      <c r="ONK44" s="1044"/>
      <c r="ONL44" s="1044"/>
      <c r="ONM44" s="1044"/>
      <c r="ONN44" s="1044"/>
      <c r="ONO44" s="1044"/>
      <c r="ONP44" s="1044"/>
      <c r="ONQ44" s="1044"/>
      <c r="ONR44" s="1044"/>
      <c r="ONS44" s="1044"/>
      <c r="ONT44" s="1044"/>
      <c r="ONU44" s="1044"/>
      <c r="ONV44" s="1044"/>
      <c r="ONW44" s="1044"/>
      <c r="ONX44" s="1044"/>
      <c r="ONY44" s="1044"/>
      <c r="ONZ44" s="1044"/>
      <c r="OOA44" s="1044"/>
      <c r="OOB44" s="1044"/>
      <c r="OOC44" s="1044"/>
      <c r="OOD44" s="1044"/>
      <c r="OOE44" s="1044"/>
      <c r="OOF44" s="1044"/>
      <c r="OOG44" s="1044"/>
      <c r="OOH44" s="1044"/>
      <c r="OOI44" s="1044"/>
      <c r="OOJ44" s="1044"/>
      <c r="OOK44" s="1044"/>
      <c r="OOL44" s="1044"/>
      <c r="OOM44" s="1044"/>
      <c r="OON44" s="1044"/>
      <c r="OOO44" s="1044"/>
      <c r="OOP44" s="1044"/>
      <c r="OOQ44" s="1044"/>
      <c r="OOR44" s="1044"/>
      <c r="OOS44" s="1044"/>
      <c r="OOT44" s="1044"/>
      <c r="OOU44" s="1044"/>
      <c r="OOV44" s="1044"/>
      <c r="OOW44" s="1044"/>
      <c r="OOX44" s="1044"/>
      <c r="OOY44" s="1044"/>
      <c r="OOZ44" s="1044"/>
      <c r="OPA44" s="1044"/>
      <c r="OPB44" s="1044"/>
      <c r="OPC44" s="1044"/>
      <c r="OPD44" s="1044"/>
      <c r="OPE44" s="1044"/>
      <c r="OPF44" s="1044"/>
      <c r="OPG44" s="1044"/>
      <c r="OPH44" s="1044"/>
      <c r="OPI44" s="1044"/>
      <c r="OPJ44" s="1044"/>
      <c r="OPK44" s="1044"/>
      <c r="OPL44" s="1044"/>
      <c r="OPM44" s="1044"/>
      <c r="OPN44" s="1044"/>
      <c r="OPO44" s="1044"/>
      <c r="OPP44" s="1044"/>
      <c r="OPQ44" s="1044"/>
      <c r="OPR44" s="1044"/>
      <c r="OPS44" s="1044"/>
      <c r="OPT44" s="1044"/>
      <c r="OPU44" s="1044"/>
      <c r="OPV44" s="1044"/>
      <c r="OPW44" s="1044"/>
      <c r="OPX44" s="1044"/>
      <c r="OPY44" s="1044"/>
      <c r="OPZ44" s="1044"/>
      <c r="OQA44" s="1044"/>
      <c r="OQB44" s="1044"/>
      <c r="OQC44" s="1044"/>
      <c r="OQD44" s="1044"/>
      <c r="OQE44" s="1044"/>
      <c r="OQF44" s="1044"/>
      <c r="OQG44" s="1044"/>
      <c r="OQH44" s="1044"/>
      <c r="OQI44" s="1044"/>
      <c r="OQJ44" s="1044"/>
      <c r="OQK44" s="1044"/>
      <c r="OQL44" s="1044"/>
      <c r="OQM44" s="1044"/>
      <c r="OQN44" s="1044"/>
      <c r="OQO44" s="1044"/>
      <c r="OQP44" s="1044"/>
      <c r="OQQ44" s="1044"/>
      <c r="OQR44" s="1044"/>
      <c r="OQS44" s="1044"/>
      <c r="OQT44" s="1044"/>
      <c r="OQU44" s="1044"/>
      <c r="OQV44" s="1044"/>
      <c r="OQW44" s="1044"/>
      <c r="OQX44" s="1044"/>
      <c r="OQY44" s="1044"/>
      <c r="OQZ44" s="1044"/>
      <c r="ORA44" s="1044"/>
      <c r="ORB44" s="1044"/>
      <c r="ORC44" s="1044"/>
      <c r="ORD44" s="1044"/>
      <c r="ORE44" s="1044"/>
      <c r="ORF44" s="1044"/>
      <c r="ORG44" s="1044"/>
      <c r="ORH44" s="1044"/>
      <c r="ORI44" s="1044"/>
      <c r="ORJ44" s="1044"/>
      <c r="ORK44" s="1044"/>
      <c r="ORL44" s="1044"/>
      <c r="ORM44" s="1044"/>
      <c r="ORN44" s="1044"/>
      <c r="ORO44" s="1044"/>
      <c r="ORP44" s="1044"/>
      <c r="ORQ44" s="1044"/>
      <c r="ORR44" s="1044"/>
      <c r="ORS44" s="1044"/>
      <c r="ORT44" s="1044"/>
      <c r="ORU44" s="1044"/>
      <c r="ORV44" s="1044"/>
      <c r="ORW44" s="1044"/>
      <c r="ORX44" s="1044"/>
      <c r="ORY44" s="1044"/>
      <c r="ORZ44" s="1044"/>
      <c r="OSA44" s="1044"/>
      <c r="OSB44" s="1044"/>
      <c r="OSC44" s="1044"/>
      <c r="OSD44" s="1044"/>
      <c r="OSE44" s="1044"/>
      <c r="OSF44" s="1044"/>
      <c r="OSG44" s="1044"/>
      <c r="OSH44" s="1044"/>
      <c r="OSI44" s="1044"/>
      <c r="OSJ44" s="1044"/>
      <c r="OSK44" s="1044"/>
      <c r="OSL44" s="1044"/>
      <c r="OSM44" s="1044"/>
      <c r="OSN44" s="1044"/>
      <c r="OSO44" s="1044"/>
      <c r="OSP44" s="1044"/>
      <c r="OSQ44" s="1044"/>
      <c r="OSR44" s="1044"/>
      <c r="OSS44" s="1044"/>
      <c r="OST44" s="1044"/>
      <c r="OSU44" s="1044"/>
      <c r="OSV44" s="1044"/>
      <c r="OSW44" s="1044"/>
      <c r="OSX44" s="1044"/>
      <c r="OSY44" s="1044"/>
      <c r="OSZ44" s="1044"/>
      <c r="OTA44" s="1044"/>
      <c r="OTB44" s="1044"/>
      <c r="OTC44" s="1044"/>
      <c r="OTD44" s="1044"/>
      <c r="OTE44" s="1044"/>
      <c r="OTF44" s="1044"/>
      <c r="OTG44" s="1044"/>
      <c r="OTH44" s="1044"/>
      <c r="OTI44" s="1044"/>
      <c r="OTJ44" s="1044"/>
      <c r="OTK44" s="1044"/>
      <c r="OTL44" s="1044"/>
      <c r="OTM44" s="1044"/>
      <c r="OTN44" s="1044"/>
      <c r="OTO44" s="1044"/>
      <c r="OTP44" s="1044"/>
      <c r="OTQ44" s="1044"/>
      <c r="OTR44" s="1044"/>
      <c r="OTS44" s="1044"/>
      <c r="OTT44" s="1044"/>
      <c r="OTU44" s="1044"/>
      <c r="OTV44" s="1044"/>
      <c r="OTW44" s="1044"/>
      <c r="OTX44" s="1044"/>
      <c r="OTY44" s="1044"/>
      <c r="OTZ44" s="1044"/>
      <c r="OUA44" s="1044"/>
      <c r="OUB44" s="1044"/>
      <c r="OUC44" s="1044"/>
      <c r="OUD44" s="1044"/>
      <c r="OUE44" s="1044"/>
      <c r="OUF44" s="1044"/>
      <c r="OUG44" s="1044"/>
      <c r="OUH44" s="1044"/>
      <c r="OUI44" s="1044"/>
      <c r="OUJ44" s="1044"/>
      <c r="OUK44" s="1044"/>
      <c r="OUL44" s="1044"/>
      <c r="OUM44" s="1044"/>
      <c r="OUN44" s="1044"/>
      <c r="OUO44" s="1044"/>
      <c r="OUP44" s="1044"/>
      <c r="OUQ44" s="1044"/>
      <c r="OUR44" s="1044"/>
      <c r="OUS44" s="1044"/>
      <c r="OUT44" s="1044"/>
      <c r="OUU44" s="1044"/>
      <c r="OUV44" s="1044"/>
      <c r="OUW44" s="1044"/>
      <c r="OUX44" s="1044"/>
      <c r="OUY44" s="1044"/>
      <c r="OUZ44" s="1044"/>
      <c r="OVA44" s="1044"/>
      <c r="OVB44" s="1044"/>
      <c r="OVC44" s="1044"/>
      <c r="OVD44" s="1044"/>
      <c r="OVE44" s="1044"/>
      <c r="OVF44" s="1044"/>
      <c r="OVG44" s="1044"/>
      <c r="OVH44" s="1044"/>
      <c r="OVI44" s="1044"/>
      <c r="OVJ44" s="1044"/>
      <c r="OVK44" s="1044"/>
      <c r="OVL44" s="1044"/>
      <c r="OVM44" s="1044"/>
      <c r="OVN44" s="1044"/>
      <c r="OVO44" s="1044"/>
      <c r="OVP44" s="1044"/>
      <c r="OVQ44" s="1044"/>
      <c r="OVR44" s="1044"/>
      <c r="OVS44" s="1044"/>
      <c r="OVT44" s="1044"/>
      <c r="OVU44" s="1044"/>
      <c r="OVV44" s="1044"/>
      <c r="OVW44" s="1044"/>
      <c r="OVX44" s="1044"/>
      <c r="OVY44" s="1044"/>
      <c r="OVZ44" s="1044"/>
      <c r="OWA44" s="1044"/>
      <c r="OWB44" s="1044"/>
      <c r="OWC44" s="1044"/>
      <c r="OWD44" s="1044"/>
      <c r="OWE44" s="1044"/>
      <c r="OWF44" s="1044"/>
      <c r="OWG44" s="1044"/>
      <c r="OWH44" s="1044"/>
      <c r="OWI44" s="1044"/>
      <c r="OWJ44" s="1044"/>
      <c r="OWK44" s="1044"/>
      <c r="OWL44" s="1044"/>
      <c r="OWM44" s="1044"/>
      <c r="OWN44" s="1044"/>
      <c r="OWO44" s="1044"/>
      <c r="OWP44" s="1044"/>
      <c r="OWQ44" s="1044"/>
      <c r="OWR44" s="1044"/>
      <c r="OWS44" s="1044"/>
      <c r="OWT44" s="1044"/>
      <c r="OWU44" s="1044"/>
      <c r="OWV44" s="1044"/>
      <c r="OWW44" s="1044"/>
      <c r="OWX44" s="1044"/>
      <c r="OWY44" s="1044"/>
      <c r="OWZ44" s="1044"/>
      <c r="OXA44" s="1044"/>
      <c r="OXB44" s="1044"/>
      <c r="OXC44" s="1044"/>
      <c r="OXD44" s="1044"/>
      <c r="OXE44" s="1044"/>
      <c r="OXF44" s="1044"/>
      <c r="OXG44" s="1044"/>
      <c r="OXH44" s="1044"/>
      <c r="OXI44" s="1044"/>
      <c r="OXJ44" s="1044"/>
      <c r="OXK44" s="1044"/>
      <c r="OXL44" s="1044"/>
      <c r="OXM44" s="1044"/>
      <c r="OXN44" s="1044"/>
      <c r="OXO44" s="1044"/>
      <c r="OXP44" s="1044"/>
      <c r="OXQ44" s="1044"/>
      <c r="OXR44" s="1044"/>
      <c r="OXS44" s="1044"/>
      <c r="OXT44" s="1044"/>
      <c r="OXU44" s="1044"/>
      <c r="OXV44" s="1044"/>
      <c r="OXW44" s="1044"/>
      <c r="OXX44" s="1044"/>
      <c r="OXY44" s="1044"/>
      <c r="OXZ44" s="1044"/>
      <c r="OYA44" s="1044"/>
      <c r="OYB44" s="1044"/>
      <c r="OYC44" s="1044"/>
      <c r="OYD44" s="1044"/>
      <c r="OYE44" s="1044"/>
      <c r="OYF44" s="1044"/>
      <c r="OYG44" s="1044"/>
      <c r="OYH44" s="1044"/>
      <c r="OYI44" s="1044"/>
      <c r="OYJ44" s="1044"/>
      <c r="OYK44" s="1044"/>
      <c r="OYL44" s="1044"/>
      <c r="OYM44" s="1044"/>
      <c r="OYN44" s="1044"/>
      <c r="OYO44" s="1044"/>
      <c r="OYP44" s="1044"/>
      <c r="OYQ44" s="1044"/>
      <c r="OYR44" s="1044"/>
      <c r="OYS44" s="1044"/>
      <c r="OYT44" s="1044"/>
      <c r="OYU44" s="1044"/>
      <c r="OYV44" s="1044"/>
      <c r="OYW44" s="1044"/>
      <c r="OYX44" s="1044"/>
      <c r="OYY44" s="1044"/>
      <c r="OYZ44" s="1044"/>
      <c r="OZA44" s="1044"/>
      <c r="OZB44" s="1044"/>
      <c r="OZC44" s="1044"/>
      <c r="OZD44" s="1044"/>
      <c r="OZE44" s="1044"/>
      <c r="OZF44" s="1044"/>
      <c r="OZG44" s="1044"/>
      <c r="OZH44" s="1044"/>
      <c r="OZI44" s="1044"/>
      <c r="OZJ44" s="1044"/>
      <c r="OZK44" s="1044"/>
      <c r="OZL44" s="1044"/>
      <c r="OZM44" s="1044"/>
      <c r="OZN44" s="1044"/>
      <c r="OZO44" s="1044"/>
      <c r="OZP44" s="1044"/>
      <c r="OZQ44" s="1044"/>
      <c r="OZR44" s="1044"/>
      <c r="OZS44" s="1044"/>
      <c r="OZT44" s="1044"/>
      <c r="OZU44" s="1044"/>
      <c r="OZV44" s="1044"/>
      <c r="OZW44" s="1044"/>
      <c r="OZX44" s="1044"/>
      <c r="OZY44" s="1044"/>
      <c r="OZZ44" s="1044"/>
      <c r="PAA44" s="1044"/>
      <c r="PAB44" s="1044"/>
      <c r="PAC44" s="1044"/>
      <c r="PAD44" s="1044"/>
      <c r="PAE44" s="1044"/>
      <c r="PAF44" s="1044"/>
      <c r="PAG44" s="1044"/>
      <c r="PAH44" s="1044"/>
      <c r="PAI44" s="1044"/>
      <c r="PAJ44" s="1044"/>
      <c r="PAK44" s="1044"/>
      <c r="PAL44" s="1044"/>
      <c r="PAM44" s="1044"/>
      <c r="PAN44" s="1044"/>
      <c r="PAO44" s="1044"/>
      <c r="PAP44" s="1044"/>
      <c r="PAQ44" s="1044"/>
      <c r="PAR44" s="1044"/>
      <c r="PAS44" s="1044"/>
      <c r="PAT44" s="1044"/>
      <c r="PAU44" s="1044"/>
      <c r="PAV44" s="1044"/>
      <c r="PAW44" s="1044"/>
      <c r="PAX44" s="1044"/>
      <c r="PAY44" s="1044"/>
      <c r="PAZ44" s="1044"/>
      <c r="PBA44" s="1044"/>
      <c r="PBB44" s="1044"/>
      <c r="PBC44" s="1044"/>
      <c r="PBD44" s="1044"/>
      <c r="PBE44" s="1044"/>
      <c r="PBF44" s="1044"/>
      <c r="PBG44" s="1044"/>
      <c r="PBH44" s="1044"/>
      <c r="PBI44" s="1044"/>
      <c r="PBJ44" s="1044"/>
      <c r="PBK44" s="1044"/>
      <c r="PBL44" s="1044"/>
      <c r="PBM44" s="1044"/>
      <c r="PBN44" s="1044"/>
      <c r="PBO44" s="1044"/>
      <c r="PBP44" s="1044"/>
      <c r="PBQ44" s="1044"/>
      <c r="PBR44" s="1044"/>
      <c r="PBS44" s="1044"/>
      <c r="PBT44" s="1044"/>
      <c r="PBU44" s="1044"/>
      <c r="PBV44" s="1044"/>
      <c r="PBW44" s="1044"/>
      <c r="PBX44" s="1044"/>
      <c r="PBY44" s="1044"/>
      <c r="PBZ44" s="1044"/>
      <c r="PCA44" s="1044"/>
      <c r="PCB44" s="1044"/>
      <c r="PCC44" s="1044"/>
      <c r="PCD44" s="1044"/>
      <c r="PCE44" s="1044"/>
      <c r="PCF44" s="1044"/>
      <c r="PCG44" s="1044"/>
      <c r="PCH44" s="1044"/>
      <c r="PCI44" s="1044"/>
      <c r="PCJ44" s="1044"/>
      <c r="PCK44" s="1044"/>
      <c r="PCL44" s="1044"/>
      <c r="PCM44" s="1044"/>
      <c r="PCN44" s="1044"/>
      <c r="PCO44" s="1044"/>
      <c r="PCP44" s="1044"/>
      <c r="PCQ44" s="1044"/>
      <c r="PCR44" s="1044"/>
      <c r="PCS44" s="1044"/>
      <c r="PCT44" s="1044"/>
      <c r="PCU44" s="1044"/>
      <c r="PCV44" s="1044"/>
      <c r="PCW44" s="1044"/>
      <c r="PCX44" s="1044"/>
      <c r="PCY44" s="1044"/>
      <c r="PCZ44" s="1044"/>
      <c r="PDA44" s="1044"/>
      <c r="PDB44" s="1044"/>
      <c r="PDC44" s="1044"/>
      <c r="PDD44" s="1044"/>
      <c r="PDE44" s="1044"/>
      <c r="PDF44" s="1044"/>
      <c r="PDG44" s="1044"/>
      <c r="PDH44" s="1044"/>
      <c r="PDI44" s="1044"/>
      <c r="PDJ44" s="1044"/>
      <c r="PDK44" s="1044"/>
      <c r="PDL44" s="1044"/>
      <c r="PDM44" s="1044"/>
      <c r="PDN44" s="1044"/>
      <c r="PDO44" s="1044"/>
      <c r="PDP44" s="1044"/>
      <c r="PDQ44" s="1044"/>
      <c r="PDR44" s="1044"/>
      <c r="PDS44" s="1044"/>
      <c r="PDT44" s="1044"/>
      <c r="PDU44" s="1044"/>
      <c r="PDV44" s="1044"/>
      <c r="PDW44" s="1044"/>
      <c r="PDX44" s="1044"/>
      <c r="PDY44" s="1044"/>
      <c r="PDZ44" s="1044"/>
      <c r="PEA44" s="1044"/>
      <c r="PEB44" s="1044"/>
      <c r="PEC44" s="1044"/>
      <c r="PED44" s="1044"/>
      <c r="PEE44" s="1044"/>
      <c r="PEF44" s="1044"/>
      <c r="PEG44" s="1044"/>
      <c r="PEH44" s="1044"/>
      <c r="PEI44" s="1044"/>
      <c r="PEJ44" s="1044"/>
      <c r="PEK44" s="1044"/>
      <c r="PEL44" s="1044"/>
      <c r="PEM44" s="1044"/>
      <c r="PEN44" s="1044"/>
      <c r="PEO44" s="1044"/>
      <c r="PEP44" s="1044"/>
      <c r="PEQ44" s="1044"/>
      <c r="PER44" s="1044"/>
      <c r="PES44" s="1044"/>
      <c r="PET44" s="1044"/>
      <c r="PEU44" s="1044"/>
      <c r="PEV44" s="1044"/>
      <c r="PEW44" s="1044"/>
      <c r="PEX44" s="1044"/>
      <c r="PEY44" s="1044"/>
      <c r="PEZ44" s="1044"/>
      <c r="PFA44" s="1044"/>
      <c r="PFB44" s="1044"/>
      <c r="PFC44" s="1044"/>
      <c r="PFD44" s="1044"/>
      <c r="PFE44" s="1044"/>
      <c r="PFF44" s="1044"/>
      <c r="PFG44" s="1044"/>
      <c r="PFH44" s="1044"/>
      <c r="PFI44" s="1044"/>
      <c r="PFJ44" s="1044"/>
      <c r="PFK44" s="1044"/>
      <c r="PFL44" s="1044"/>
      <c r="PFM44" s="1044"/>
      <c r="PFN44" s="1044"/>
      <c r="PFO44" s="1044"/>
      <c r="PFP44" s="1044"/>
      <c r="PFQ44" s="1044"/>
      <c r="PFR44" s="1044"/>
      <c r="PFS44" s="1044"/>
      <c r="PFT44" s="1044"/>
      <c r="PFU44" s="1044"/>
      <c r="PFV44" s="1044"/>
      <c r="PFW44" s="1044"/>
      <c r="PFX44" s="1044"/>
      <c r="PFY44" s="1044"/>
      <c r="PFZ44" s="1044"/>
      <c r="PGA44" s="1044"/>
      <c r="PGB44" s="1044"/>
      <c r="PGC44" s="1044"/>
      <c r="PGD44" s="1044"/>
      <c r="PGE44" s="1044"/>
      <c r="PGF44" s="1044"/>
      <c r="PGG44" s="1044"/>
      <c r="PGH44" s="1044"/>
      <c r="PGI44" s="1044"/>
      <c r="PGJ44" s="1044"/>
      <c r="PGK44" s="1044"/>
      <c r="PGL44" s="1044"/>
      <c r="PGM44" s="1044"/>
      <c r="PGN44" s="1044"/>
      <c r="PGO44" s="1044"/>
      <c r="PGP44" s="1044"/>
      <c r="PGQ44" s="1044"/>
      <c r="PGR44" s="1044"/>
      <c r="PGS44" s="1044"/>
      <c r="PGT44" s="1044"/>
      <c r="PGU44" s="1044"/>
      <c r="PGV44" s="1044"/>
      <c r="PGW44" s="1044"/>
      <c r="PGX44" s="1044"/>
      <c r="PGY44" s="1044"/>
      <c r="PGZ44" s="1044"/>
      <c r="PHA44" s="1044"/>
      <c r="PHB44" s="1044"/>
      <c r="PHC44" s="1044"/>
      <c r="PHD44" s="1044"/>
      <c r="PHE44" s="1044"/>
      <c r="PHF44" s="1044"/>
      <c r="PHG44" s="1044"/>
      <c r="PHH44" s="1044"/>
      <c r="PHI44" s="1044"/>
      <c r="PHJ44" s="1044"/>
      <c r="PHK44" s="1044"/>
      <c r="PHL44" s="1044"/>
      <c r="PHM44" s="1044"/>
      <c r="PHN44" s="1044"/>
      <c r="PHO44" s="1044"/>
      <c r="PHP44" s="1044"/>
      <c r="PHQ44" s="1044"/>
      <c r="PHR44" s="1044"/>
      <c r="PHS44" s="1044"/>
      <c r="PHT44" s="1044"/>
      <c r="PHU44" s="1044"/>
      <c r="PHV44" s="1044"/>
      <c r="PHW44" s="1044"/>
      <c r="PHX44" s="1044"/>
      <c r="PHY44" s="1044"/>
      <c r="PHZ44" s="1044"/>
      <c r="PIA44" s="1044"/>
      <c r="PIB44" s="1044"/>
      <c r="PIC44" s="1044"/>
      <c r="PID44" s="1044"/>
      <c r="PIE44" s="1044"/>
      <c r="PIF44" s="1044"/>
      <c r="PIG44" s="1044"/>
      <c r="PIH44" s="1044"/>
      <c r="PII44" s="1044"/>
      <c r="PIJ44" s="1044"/>
      <c r="PIK44" s="1044"/>
      <c r="PIL44" s="1044"/>
      <c r="PIM44" s="1044"/>
      <c r="PIN44" s="1044"/>
      <c r="PIO44" s="1044"/>
      <c r="PIP44" s="1044"/>
      <c r="PIQ44" s="1044"/>
      <c r="PIR44" s="1044"/>
      <c r="PIS44" s="1044"/>
      <c r="PIT44" s="1044"/>
      <c r="PIU44" s="1044"/>
      <c r="PIV44" s="1044"/>
      <c r="PIW44" s="1044"/>
      <c r="PIX44" s="1044"/>
      <c r="PIY44" s="1044"/>
      <c r="PIZ44" s="1044"/>
      <c r="PJA44" s="1044"/>
      <c r="PJB44" s="1044"/>
      <c r="PJC44" s="1044"/>
      <c r="PJD44" s="1044"/>
      <c r="PJE44" s="1044"/>
      <c r="PJF44" s="1044"/>
      <c r="PJG44" s="1044"/>
      <c r="PJH44" s="1044"/>
      <c r="PJI44" s="1044"/>
      <c r="PJJ44" s="1044"/>
      <c r="PJK44" s="1044"/>
      <c r="PJL44" s="1044"/>
      <c r="PJM44" s="1044"/>
      <c r="PJN44" s="1044"/>
      <c r="PJO44" s="1044"/>
      <c r="PJP44" s="1044"/>
      <c r="PJQ44" s="1044"/>
      <c r="PJR44" s="1044"/>
      <c r="PJS44" s="1044"/>
      <c r="PJT44" s="1044"/>
      <c r="PJU44" s="1044"/>
      <c r="PJV44" s="1044"/>
      <c r="PJW44" s="1044"/>
      <c r="PJX44" s="1044"/>
      <c r="PJY44" s="1044"/>
      <c r="PJZ44" s="1044"/>
      <c r="PKA44" s="1044"/>
      <c r="PKB44" s="1044"/>
      <c r="PKC44" s="1044"/>
      <c r="PKD44" s="1044"/>
      <c r="PKE44" s="1044"/>
      <c r="PKF44" s="1044"/>
      <c r="PKG44" s="1044"/>
      <c r="PKH44" s="1044"/>
      <c r="PKI44" s="1044"/>
      <c r="PKJ44" s="1044"/>
      <c r="PKK44" s="1044"/>
      <c r="PKL44" s="1044"/>
      <c r="PKM44" s="1044"/>
      <c r="PKN44" s="1044"/>
      <c r="PKO44" s="1044"/>
      <c r="PKP44" s="1044"/>
      <c r="PKQ44" s="1044"/>
      <c r="PKR44" s="1044"/>
      <c r="PKS44" s="1044"/>
      <c r="PKT44" s="1044"/>
      <c r="PKU44" s="1044"/>
      <c r="PKV44" s="1044"/>
      <c r="PKW44" s="1044"/>
      <c r="PKX44" s="1044"/>
      <c r="PKY44" s="1044"/>
      <c r="PKZ44" s="1044"/>
      <c r="PLA44" s="1044"/>
      <c r="PLB44" s="1044"/>
      <c r="PLC44" s="1044"/>
      <c r="PLD44" s="1044"/>
      <c r="PLE44" s="1044"/>
      <c r="PLF44" s="1044"/>
      <c r="PLG44" s="1044"/>
      <c r="PLH44" s="1044"/>
      <c r="PLI44" s="1044"/>
      <c r="PLJ44" s="1044"/>
      <c r="PLK44" s="1044"/>
      <c r="PLL44" s="1044"/>
      <c r="PLM44" s="1044"/>
      <c r="PLN44" s="1044"/>
      <c r="PLO44" s="1044"/>
      <c r="PLP44" s="1044"/>
      <c r="PLQ44" s="1044"/>
      <c r="PLR44" s="1044"/>
      <c r="PLS44" s="1044"/>
      <c r="PLT44" s="1044"/>
      <c r="PLU44" s="1044"/>
      <c r="PLV44" s="1044"/>
      <c r="PLW44" s="1044"/>
      <c r="PLX44" s="1044"/>
      <c r="PLY44" s="1044"/>
      <c r="PLZ44" s="1044"/>
      <c r="PMA44" s="1044"/>
      <c r="PMB44" s="1044"/>
      <c r="PMC44" s="1044"/>
      <c r="PMD44" s="1044"/>
      <c r="PME44" s="1044"/>
      <c r="PMF44" s="1044"/>
      <c r="PMG44" s="1044"/>
      <c r="PMH44" s="1044"/>
      <c r="PMI44" s="1044"/>
      <c r="PMJ44" s="1044"/>
      <c r="PMK44" s="1044"/>
      <c r="PML44" s="1044"/>
      <c r="PMM44" s="1044"/>
      <c r="PMN44" s="1044"/>
      <c r="PMO44" s="1044"/>
      <c r="PMP44" s="1044"/>
      <c r="PMQ44" s="1044"/>
      <c r="PMR44" s="1044"/>
      <c r="PMS44" s="1044"/>
      <c r="PMT44" s="1044"/>
      <c r="PMU44" s="1044"/>
      <c r="PMV44" s="1044"/>
      <c r="PMW44" s="1044"/>
      <c r="PMX44" s="1044"/>
      <c r="PMY44" s="1044"/>
      <c r="PMZ44" s="1044"/>
      <c r="PNA44" s="1044"/>
      <c r="PNB44" s="1044"/>
      <c r="PNC44" s="1044"/>
      <c r="PND44" s="1044"/>
      <c r="PNE44" s="1044"/>
      <c r="PNF44" s="1044"/>
      <c r="PNG44" s="1044"/>
      <c r="PNH44" s="1044"/>
      <c r="PNI44" s="1044"/>
      <c r="PNJ44" s="1044"/>
      <c r="PNK44" s="1044"/>
      <c r="PNL44" s="1044"/>
      <c r="PNM44" s="1044"/>
      <c r="PNN44" s="1044"/>
      <c r="PNO44" s="1044"/>
      <c r="PNP44" s="1044"/>
      <c r="PNQ44" s="1044"/>
      <c r="PNR44" s="1044"/>
      <c r="PNS44" s="1044"/>
      <c r="PNT44" s="1044"/>
      <c r="PNU44" s="1044"/>
      <c r="PNV44" s="1044"/>
      <c r="PNW44" s="1044"/>
      <c r="PNX44" s="1044"/>
      <c r="PNY44" s="1044"/>
      <c r="PNZ44" s="1044"/>
      <c r="POA44" s="1044"/>
      <c r="POB44" s="1044"/>
      <c r="POC44" s="1044"/>
      <c r="POD44" s="1044"/>
      <c r="POE44" s="1044"/>
      <c r="POF44" s="1044"/>
      <c r="POG44" s="1044"/>
      <c r="POH44" s="1044"/>
      <c r="POI44" s="1044"/>
      <c r="POJ44" s="1044"/>
      <c r="POK44" s="1044"/>
      <c r="POL44" s="1044"/>
      <c r="POM44" s="1044"/>
      <c r="PON44" s="1044"/>
      <c r="POO44" s="1044"/>
      <c r="POP44" s="1044"/>
      <c r="POQ44" s="1044"/>
      <c r="POR44" s="1044"/>
      <c r="POS44" s="1044"/>
      <c r="POT44" s="1044"/>
      <c r="POU44" s="1044"/>
      <c r="POV44" s="1044"/>
      <c r="POW44" s="1044"/>
      <c r="POX44" s="1044"/>
      <c r="POY44" s="1044"/>
      <c r="POZ44" s="1044"/>
      <c r="PPA44" s="1044"/>
      <c r="PPB44" s="1044"/>
      <c r="PPC44" s="1044"/>
      <c r="PPD44" s="1044"/>
      <c r="PPE44" s="1044"/>
      <c r="PPF44" s="1044"/>
      <c r="PPG44" s="1044"/>
      <c r="PPH44" s="1044"/>
      <c r="PPI44" s="1044"/>
      <c r="PPJ44" s="1044"/>
      <c r="PPK44" s="1044"/>
      <c r="PPL44" s="1044"/>
      <c r="PPM44" s="1044"/>
      <c r="PPN44" s="1044"/>
      <c r="PPO44" s="1044"/>
      <c r="PPP44" s="1044"/>
      <c r="PPQ44" s="1044"/>
      <c r="PPR44" s="1044"/>
      <c r="PPS44" s="1044"/>
      <c r="PPT44" s="1044"/>
      <c r="PPU44" s="1044"/>
      <c r="PPV44" s="1044"/>
      <c r="PPW44" s="1044"/>
      <c r="PPX44" s="1044"/>
      <c r="PPY44" s="1044"/>
      <c r="PPZ44" s="1044"/>
      <c r="PQA44" s="1044"/>
      <c r="PQB44" s="1044"/>
      <c r="PQC44" s="1044"/>
      <c r="PQD44" s="1044"/>
      <c r="PQE44" s="1044"/>
      <c r="PQF44" s="1044"/>
      <c r="PQG44" s="1044"/>
      <c r="PQH44" s="1044"/>
      <c r="PQI44" s="1044"/>
      <c r="PQJ44" s="1044"/>
      <c r="PQK44" s="1044"/>
      <c r="PQL44" s="1044"/>
      <c r="PQM44" s="1044"/>
      <c r="PQN44" s="1044"/>
      <c r="PQO44" s="1044"/>
      <c r="PQP44" s="1044"/>
      <c r="PQQ44" s="1044"/>
      <c r="PQR44" s="1044"/>
      <c r="PQS44" s="1044"/>
      <c r="PQT44" s="1044"/>
      <c r="PQU44" s="1044"/>
      <c r="PQV44" s="1044"/>
      <c r="PQW44" s="1044"/>
      <c r="PQX44" s="1044"/>
      <c r="PQY44" s="1044"/>
      <c r="PQZ44" s="1044"/>
      <c r="PRA44" s="1044"/>
      <c r="PRB44" s="1044"/>
      <c r="PRC44" s="1044"/>
      <c r="PRD44" s="1044"/>
      <c r="PRE44" s="1044"/>
      <c r="PRF44" s="1044"/>
      <c r="PRG44" s="1044"/>
      <c r="PRH44" s="1044"/>
      <c r="PRI44" s="1044"/>
      <c r="PRJ44" s="1044"/>
      <c r="PRK44" s="1044"/>
      <c r="PRL44" s="1044"/>
      <c r="PRM44" s="1044"/>
      <c r="PRN44" s="1044"/>
      <c r="PRO44" s="1044"/>
      <c r="PRP44" s="1044"/>
      <c r="PRQ44" s="1044"/>
      <c r="PRR44" s="1044"/>
      <c r="PRS44" s="1044"/>
      <c r="PRT44" s="1044"/>
      <c r="PRU44" s="1044"/>
      <c r="PRV44" s="1044"/>
      <c r="PRW44" s="1044"/>
      <c r="PRX44" s="1044"/>
      <c r="PRY44" s="1044"/>
      <c r="PRZ44" s="1044"/>
      <c r="PSA44" s="1044"/>
      <c r="PSB44" s="1044"/>
      <c r="PSC44" s="1044"/>
      <c r="PSD44" s="1044"/>
      <c r="PSE44" s="1044"/>
      <c r="PSF44" s="1044"/>
      <c r="PSG44" s="1044"/>
      <c r="PSH44" s="1044"/>
      <c r="PSI44" s="1044"/>
      <c r="PSJ44" s="1044"/>
      <c r="PSK44" s="1044"/>
      <c r="PSL44" s="1044"/>
      <c r="PSM44" s="1044"/>
      <c r="PSN44" s="1044"/>
      <c r="PSO44" s="1044"/>
      <c r="PSP44" s="1044"/>
      <c r="PSQ44" s="1044"/>
      <c r="PSR44" s="1044"/>
      <c r="PSS44" s="1044"/>
      <c r="PST44" s="1044"/>
      <c r="PSU44" s="1044"/>
      <c r="PSV44" s="1044"/>
      <c r="PSW44" s="1044"/>
      <c r="PSX44" s="1044"/>
      <c r="PSY44" s="1044"/>
      <c r="PSZ44" s="1044"/>
      <c r="PTA44" s="1044"/>
      <c r="PTB44" s="1044"/>
      <c r="PTC44" s="1044"/>
      <c r="PTD44" s="1044"/>
      <c r="PTE44" s="1044"/>
      <c r="PTF44" s="1044"/>
      <c r="PTG44" s="1044"/>
      <c r="PTH44" s="1044"/>
      <c r="PTI44" s="1044"/>
      <c r="PTJ44" s="1044"/>
      <c r="PTK44" s="1044"/>
      <c r="PTL44" s="1044"/>
      <c r="PTM44" s="1044"/>
      <c r="PTN44" s="1044"/>
      <c r="PTO44" s="1044"/>
      <c r="PTP44" s="1044"/>
      <c r="PTQ44" s="1044"/>
      <c r="PTR44" s="1044"/>
      <c r="PTS44" s="1044"/>
      <c r="PTT44" s="1044"/>
      <c r="PTU44" s="1044"/>
      <c r="PTV44" s="1044"/>
      <c r="PTW44" s="1044"/>
      <c r="PTX44" s="1044"/>
      <c r="PTY44" s="1044"/>
      <c r="PTZ44" s="1044"/>
      <c r="PUA44" s="1044"/>
      <c r="PUB44" s="1044"/>
      <c r="PUC44" s="1044"/>
      <c r="PUD44" s="1044"/>
      <c r="PUE44" s="1044"/>
      <c r="PUF44" s="1044"/>
      <c r="PUG44" s="1044"/>
      <c r="PUH44" s="1044"/>
      <c r="PUI44" s="1044"/>
      <c r="PUJ44" s="1044"/>
      <c r="PUK44" s="1044"/>
      <c r="PUL44" s="1044"/>
      <c r="PUM44" s="1044"/>
      <c r="PUN44" s="1044"/>
      <c r="PUO44" s="1044"/>
      <c r="PUP44" s="1044"/>
      <c r="PUQ44" s="1044"/>
      <c r="PUR44" s="1044"/>
      <c r="PUS44" s="1044"/>
      <c r="PUT44" s="1044"/>
      <c r="PUU44" s="1044"/>
      <c r="PUV44" s="1044"/>
      <c r="PUW44" s="1044"/>
      <c r="PUX44" s="1044"/>
      <c r="PUY44" s="1044"/>
      <c r="PUZ44" s="1044"/>
      <c r="PVA44" s="1044"/>
      <c r="PVB44" s="1044"/>
      <c r="PVC44" s="1044"/>
      <c r="PVD44" s="1044"/>
      <c r="PVE44" s="1044"/>
      <c r="PVF44" s="1044"/>
      <c r="PVG44" s="1044"/>
      <c r="PVH44" s="1044"/>
      <c r="PVI44" s="1044"/>
      <c r="PVJ44" s="1044"/>
      <c r="PVK44" s="1044"/>
      <c r="PVL44" s="1044"/>
      <c r="PVM44" s="1044"/>
      <c r="PVN44" s="1044"/>
      <c r="PVO44" s="1044"/>
      <c r="PVP44" s="1044"/>
      <c r="PVQ44" s="1044"/>
      <c r="PVR44" s="1044"/>
      <c r="PVS44" s="1044"/>
      <c r="PVT44" s="1044"/>
      <c r="PVU44" s="1044"/>
      <c r="PVV44" s="1044"/>
      <c r="PVW44" s="1044"/>
      <c r="PVX44" s="1044"/>
      <c r="PVY44" s="1044"/>
      <c r="PVZ44" s="1044"/>
      <c r="PWA44" s="1044"/>
      <c r="PWB44" s="1044"/>
      <c r="PWC44" s="1044"/>
      <c r="PWD44" s="1044"/>
      <c r="PWE44" s="1044"/>
      <c r="PWF44" s="1044"/>
      <c r="PWG44" s="1044"/>
      <c r="PWH44" s="1044"/>
      <c r="PWI44" s="1044"/>
      <c r="PWJ44" s="1044"/>
      <c r="PWK44" s="1044"/>
      <c r="PWL44" s="1044"/>
      <c r="PWM44" s="1044"/>
      <c r="PWN44" s="1044"/>
      <c r="PWO44" s="1044"/>
      <c r="PWP44" s="1044"/>
      <c r="PWQ44" s="1044"/>
      <c r="PWR44" s="1044"/>
      <c r="PWS44" s="1044"/>
      <c r="PWT44" s="1044"/>
      <c r="PWU44" s="1044"/>
      <c r="PWV44" s="1044"/>
      <c r="PWW44" s="1044"/>
      <c r="PWX44" s="1044"/>
      <c r="PWY44" s="1044"/>
      <c r="PWZ44" s="1044"/>
      <c r="PXA44" s="1044"/>
      <c r="PXB44" s="1044"/>
      <c r="PXC44" s="1044"/>
      <c r="PXD44" s="1044"/>
      <c r="PXE44" s="1044"/>
      <c r="PXF44" s="1044"/>
      <c r="PXG44" s="1044"/>
      <c r="PXH44" s="1044"/>
      <c r="PXI44" s="1044"/>
      <c r="PXJ44" s="1044"/>
      <c r="PXK44" s="1044"/>
      <c r="PXL44" s="1044"/>
      <c r="PXM44" s="1044"/>
      <c r="PXN44" s="1044"/>
      <c r="PXO44" s="1044"/>
      <c r="PXP44" s="1044"/>
      <c r="PXQ44" s="1044"/>
      <c r="PXR44" s="1044"/>
      <c r="PXS44" s="1044"/>
      <c r="PXT44" s="1044"/>
      <c r="PXU44" s="1044"/>
      <c r="PXV44" s="1044"/>
      <c r="PXW44" s="1044"/>
      <c r="PXX44" s="1044"/>
      <c r="PXY44" s="1044"/>
      <c r="PXZ44" s="1044"/>
      <c r="PYA44" s="1044"/>
      <c r="PYB44" s="1044"/>
      <c r="PYC44" s="1044"/>
      <c r="PYD44" s="1044"/>
      <c r="PYE44" s="1044"/>
      <c r="PYF44" s="1044"/>
      <c r="PYG44" s="1044"/>
      <c r="PYH44" s="1044"/>
      <c r="PYI44" s="1044"/>
      <c r="PYJ44" s="1044"/>
      <c r="PYK44" s="1044"/>
      <c r="PYL44" s="1044"/>
      <c r="PYM44" s="1044"/>
      <c r="PYN44" s="1044"/>
      <c r="PYO44" s="1044"/>
      <c r="PYP44" s="1044"/>
      <c r="PYQ44" s="1044"/>
      <c r="PYR44" s="1044"/>
      <c r="PYS44" s="1044"/>
      <c r="PYT44" s="1044"/>
      <c r="PYU44" s="1044"/>
      <c r="PYV44" s="1044"/>
      <c r="PYW44" s="1044"/>
      <c r="PYX44" s="1044"/>
      <c r="PYY44" s="1044"/>
      <c r="PYZ44" s="1044"/>
      <c r="PZA44" s="1044"/>
      <c r="PZB44" s="1044"/>
      <c r="PZC44" s="1044"/>
      <c r="PZD44" s="1044"/>
      <c r="PZE44" s="1044"/>
      <c r="PZF44" s="1044"/>
      <c r="PZG44" s="1044"/>
      <c r="PZH44" s="1044"/>
      <c r="PZI44" s="1044"/>
      <c r="PZJ44" s="1044"/>
      <c r="PZK44" s="1044"/>
      <c r="PZL44" s="1044"/>
      <c r="PZM44" s="1044"/>
      <c r="PZN44" s="1044"/>
      <c r="PZO44" s="1044"/>
      <c r="PZP44" s="1044"/>
      <c r="PZQ44" s="1044"/>
      <c r="PZR44" s="1044"/>
      <c r="PZS44" s="1044"/>
      <c r="PZT44" s="1044"/>
      <c r="PZU44" s="1044"/>
      <c r="PZV44" s="1044"/>
      <c r="PZW44" s="1044"/>
      <c r="PZX44" s="1044"/>
      <c r="PZY44" s="1044"/>
      <c r="PZZ44" s="1044"/>
      <c r="QAA44" s="1044"/>
      <c r="QAB44" s="1044"/>
      <c r="QAC44" s="1044"/>
      <c r="QAD44" s="1044"/>
      <c r="QAE44" s="1044"/>
      <c r="QAF44" s="1044"/>
      <c r="QAG44" s="1044"/>
      <c r="QAH44" s="1044"/>
      <c r="QAI44" s="1044"/>
      <c r="QAJ44" s="1044"/>
      <c r="QAK44" s="1044"/>
      <c r="QAL44" s="1044"/>
      <c r="QAM44" s="1044"/>
      <c r="QAN44" s="1044"/>
      <c r="QAO44" s="1044"/>
      <c r="QAP44" s="1044"/>
      <c r="QAQ44" s="1044"/>
      <c r="QAR44" s="1044"/>
      <c r="QAS44" s="1044"/>
      <c r="QAT44" s="1044"/>
      <c r="QAU44" s="1044"/>
      <c r="QAV44" s="1044"/>
      <c r="QAW44" s="1044"/>
      <c r="QAX44" s="1044"/>
      <c r="QAY44" s="1044"/>
      <c r="QAZ44" s="1044"/>
      <c r="QBA44" s="1044"/>
      <c r="QBB44" s="1044"/>
      <c r="QBC44" s="1044"/>
      <c r="QBD44" s="1044"/>
      <c r="QBE44" s="1044"/>
      <c r="QBF44" s="1044"/>
      <c r="QBG44" s="1044"/>
      <c r="QBH44" s="1044"/>
      <c r="QBI44" s="1044"/>
      <c r="QBJ44" s="1044"/>
      <c r="QBK44" s="1044"/>
      <c r="QBL44" s="1044"/>
      <c r="QBM44" s="1044"/>
      <c r="QBN44" s="1044"/>
      <c r="QBO44" s="1044"/>
      <c r="QBP44" s="1044"/>
      <c r="QBQ44" s="1044"/>
      <c r="QBR44" s="1044"/>
      <c r="QBS44" s="1044"/>
      <c r="QBT44" s="1044"/>
      <c r="QBU44" s="1044"/>
      <c r="QBV44" s="1044"/>
      <c r="QBW44" s="1044"/>
      <c r="QBX44" s="1044"/>
      <c r="QBY44" s="1044"/>
      <c r="QBZ44" s="1044"/>
      <c r="QCA44" s="1044"/>
      <c r="QCB44" s="1044"/>
      <c r="QCC44" s="1044"/>
      <c r="QCD44" s="1044"/>
      <c r="QCE44" s="1044"/>
      <c r="QCF44" s="1044"/>
      <c r="QCG44" s="1044"/>
      <c r="QCH44" s="1044"/>
      <c r="QCI44" s="1044"/>
      <c r="QCJ44" s="1044"/>
      <c r="QCK44" s="1044"/>
      <c r="QCL44" s="1044"/>
      <c r="QCM44" s="1044"/>
      <c r="QCN44" s="1044"/>
      <c r="QCO44" s="1044"/>
      <c r="QCP44" s="1044"/>
      <c r="QCQ44" s="1044"/>
      <c r="QCR44" s="1044"/>
      <c r="QCS44" s="1044"/>
      <c r="QCT44" s="1044"/>
      <c r="QCU44" s="1044"/>
      <c r="QCV44" s="1044"/>
      <c r="QCW44" s="1044"/>
      <c r="QCX44" s="1044"/>
      <c r="QCY44" s="1044"/>
      <c r="QCZ44" s="1044"/>
      <c r="QDA44" s="1044"/>
      <c r="QDB44" s="1044"/>
      <c r="QDC44" s="1044"/>
      <c r="QDD44" s="1044"/>
      <c r="QDE44" s="1044"/>
      <c r="QDF44" s="1044"/>
      <c r="QDG44" s="1044"/>
      <c r="QDH44" s="1044"/>
      <c r="QDI44" s="1044"/>
      <c r="QDJ44" s="1044"/>
      <c r="QDK44" s="1044"/>
      <c r="QDL44" s="1044"/>
      <c r="QDM44" s="1044"/>
      <c r="QDN44" s="1044"/>
      <c r="QDO44" s="1044"/>
      <c r="QDP44" s="1044"/>
      <c r="QDQ44" s="1044"/>
      <c r="QDR44" s="1044"/>
      <c r="QDS44" s="1044"/>
      <c r="QDT44" s="1044"/>
      <c r="QDU44" s="1044"/>
      <c r="QDV44" s="1044"/>
      <c r="QDW44" s="1044"/>
      <c r="QDX44" s="1044"/>
      <c r="QDY44" s="1044"/>
      <c r="QDZ44" s="1044"/>
      <c r="QEA44" s="1044"/>
      <c r="QEB44" s="1044"/>
      <c r="QEC44" s="1044"/>
      <c r="QED44" s="1044"/>
      <c r="QEE44" s="1044"/>
      <c r="QEF44" s="1044"/>
      <c r="QEG44" s="1044"/>
      <c r="QEH44" s="1044"/>
      <c r="QEI44" s="1044"/>
      <c r="QEJ44" s="1044"/>
      <c r="QEK44" s="1044"/>
      <c r="QEL44" s="1044"/>
      <c r="QEM44" s="1044"/>
      <c r="QEN44" s="1044"/>
      <c r="QEO44" s="1044"/>
      <c r="QEP44" s="1044"/>
      <c r="QEQ44" s="1044"/>
      <c r="QER44" s="1044"/>
      <c r="QES44" s="1044"/>
      <c r="QET44" s="1044"/>
      <c r="QEU44" s="1044"/>
      <c r="QEV44" s="1044"/>
      <c r="QEW44" s="1044"/>
      <c r="QEX44" s="1044"/>
      <c r="QEY44" s="1044"/>
      <c r="QEZ44" s="1044"/>
      <c r="QFA44" s="1044"/>
      <c r="QFB44" s="1044"/>
      <c r="QFC44" s="1044"/>
      <c r="QFD44" s="1044"/>
      <c r="QFE44" s="1044"/>
      <c r="QFF44" s="1044"/>
      <c r="QFG44" s="1044"/>
      <c r="QFH44" s="1044"/>
      <c r="QFI44" s="1044"/>
      <c r="QFJ44" s="1044"/>
      <c r="QFK44" s="1044"/>
      <c r="QFL44" s="1044"/>
      <c r="QFM44" s="1044"/>
      <c r="QFN44" s="1044"/>
      <c r="QFO44" s="1044"/>
      <c r="QFP44" s="1044"/>
      <c r="QFQ44" s="1044"/>
      <c r="QFR44" s="1044"/>
      <c r="QFS44" s="1044"/>
      <c r="QFT44" s="1044"/>
      <c r="QFU44" s="1044"/>
      <c r="QFV44" s="1044"/>
      <c r="QFW44" s="1044"/>
      <c r="QFX44" s="1044"/>
      <c r="QFY44" s="1044"/>
      <c r="QFZ44" s="1044"/>
      <c r="QGA44" s="1044"/>
      <c r="QGB44" s="1044"/>
      <c r="QGC44" s="1044"/>
      <c r="QGD44" s="1044"/>
      <c r="QGE44" s="1044"/>
      <c r="QGF44" s="1044"/>
      <c r="QGG44" s="1044"/>
      <c r="QGH44" s="1044"/>
      <c r="QGI44" s="1044"/>
      <c r="QGJ44" s="1044"/>
      <c r="QGK44" s="1044"/>
      <c r="QGL44" s="1044"/>
      <c r="QGM44" s="1044"/>
      <c r="QGN44" s="1044"/>
      <c r="QGO44" s="1044"/>
      <c r="QGP44" s="1044"/>
      <c r="QGQ44" s="1044"/>
      <c r="QGR44" s="1044"/>
      <c r="QGS44" s="1044"/>
      <c r="QGT44" s="1044"/>
      <c r="QGU44" s="1044"/>
      <c r="QGV44" s="1044"/>
      <c r="QGW44" s="1044"/>
      <c r="QGX44" s="1044"/>
      <c r="QGY44" s="1044"/>
      <c r="QGZ44" s="1044"/>
      <c r="QHA44" s="1044"/>
      <c r="QHB44" s="1044"/>
      <c r="QHC44" s="1044"/>
      <c r="QHD44" s="1044"/>
      <c r="QHE44" s="1044"/>
      <c r="QHF44" s="1044"/>
      <c r="QHG44" s="1044"/>
      <c r="QHH44" s="1044"/>
      <c r="QHI44" s="1044"/>
      <c r="QHJ44" s="1044"/>
      <c r="QHK44" s="1044"/>
      <c r="QHL44" s="1044"/>
      <c r="QHM44" s="1044"/>
      <c r="QHN44" s="1044"/>
      <c r="QHO44" s="1044"/>
      <c r="QHP44" s="1044"/>
      <c r="QHQ44" s="1044"/>
      <c r="QHR44" s="1044"/>
      <c r="QHS44" s="1044"/>
      <c r="QHT44" s="1044"/>
      <c r="QHU44" s="1044"/>
      <c r="QHV44" s="1044"/>
      <c r="QHW44" s="1044"/>
      <c r="QHX44" s="1044"/>
      <c r="QHY44" s="1044"/>
      <c r="QHZ44" s="1044"/>
      <c r="QIA44" s="1044"/>
      <c r="QIB44" s="1044"/>
      <c r="QIC44" s="1044"/>
      <c r="QID44" s="1044"/>
      <c r="QIE44" s="1044"/>
      <c r="QIF44" s="1044"/>
      <c r="QIG44" s="1044"/>
      <c r="QIH44" s="1044"/>
      <c r="QII44" s="1044"/>
      <c r="QIJ44" s="1044"/>
      <c r="QIK44" s="1044"/>
      <c r="QIL44" s="1044"/>
      <c r="QIM44" s="1044"/>
      <c r="QIN44" s="1044"/>
      <c r="QIO44" s="1044"/>
      <c r="QIP44" s="1044"/>
      <c r="QIQ44" s="1044"/>
      <c r="QIR44" s="1044"/>
      <c r="QIS44" s="1044"/>
      <c r="QIT44" s="1044"/>
      <c r="QIU44" s="1044"/>
      <c r="QIV44" s="1044"/>
      <c r="QIW44" s="1044"/>
      <c r="QIX44" s="1044"/>
      <c r="QIY44" s="1044"/>
      <c r="QIZ44" s="1044"/>
      <c r="QJA44" s="1044"/>
      <c r="QJB44" s="1044"/>
      <c r="QJC44" s="1044"/>
      <c r="QJD44" s="1044"/>
      <c r="QJE44" s="1044"/>
      <c r="QJF44" s="1044"/>
      <c r="QJG44" s="1044"/>
      <c r="QJH44" s="1044"/>
      <c r="QJI44" s="1044"/>
      <c r="QJJ44" s="1044"/>
      <c r="QJK44" s="1044"/>
      <c r="QJL44" s="1044"/>
      <c r="QJM44" s="1044"/>
      <c r="QJN44" s="1044"/>
      <c r="QJO44" s="1044"/>
      <c r="QJP44" s="1044"/>
      <c r="QJQ44" s="1044"/>
      <c r="QJR44" s="1044"/>
      <c r="QJS44" s="1044"/>
      <c r="QJT44" s="1044"/>
      <c r="QJU44" s="1044"/>
      <c r="QJV44" s="1044"/>
      <c r="QJW44" s="1044"/>
      <c r="QJX44" s="1044"/>
      <c r="QJY44" s="1044"/>
      <c r="QJZ44" s="1044"/>
      <c r="QKA44" s="1044"/>
      <c r="QKB44" s="1044"/>
      <c r="QKC44" s="1044"/>
      <c r="QKD44" s="1044"/>
      <c r="QKE44" s="1044"/>
      <c r="QKF44" s="1044"/>
      <c r="QKG44" s="1044"/>
      <c r="QKH44" s="1044"/>
      <c r="QKI44" s="1044"/>
      <c r="QKJ44" s="1044"/>
      <c r="QKK44" s="1044"/>
      <c r="QKL44" s="1044"/>
      <c r="QKM44" s="1044"/>
      <c r="QKN44" s="1044"/>
      <c r="QKO44" s="1044"/>
      <c r="QKP44" s="1044"/>
      <c r="QKQ44" s="1044"/>
      <c r="QKR44" s="1044"/>
      <c r="QKS44" s="1044"/>
      <c r="QKT44" s="1044"/>
      <c r="QKU44" s="1044"/>
      <c r="QKV44" s="1044"/>
      <c r="QKW44" s="1044"/>
      <c r="QKX44" s="1044"/>
      <c r="QKY44" s="1044"/>
      <c r="QKZ44" s="1044"/>
      <c r="QLA44" s="1044"/>
      <c r="QLB44" s="1044"/>
      <c r="QLC44" s="1044"/>
      <c r="QLD44" s="1044"/>
      <c r="QLE44" s="1044"/>
      <c r="QLF44" s="1044"/>
      <c r="QLG44" s="1044"/>
      <c r="QLH44" s="1044"/>
      <c r="QLI44" s="1044"/>
      <c r="QLJ44" s="1044"/>
      <c r="QLK44" s="1044"/>
      <c r="QLL44" s="1044"/>
      <c r="QLM44" s="1044"/>
      <c r="QLN44" s="1044"/>
      <c r="QLO44" s="1044"/>
      <c r="QLP44" s="1044"/>
      <c r="QLQ44" s="1044"/>
      <c r="QLR44" s="1044"/>
      <c r="QLS44" s="1044"/>
      <c r="QLT44" s="1044"/>
      <c r="QLU44" s="1044"/>
      <c r="QLV44" s="1044"/>
      <c r="QLW44" s="1044"/>
      <c r="QLX44" s="1044"/>
      <c r="QLY44" s="1044"/>
      <c r="QLZ44" s="1044"/>
      <c r="QMA44" s="1044"/>
      <c r="QMB44" s="1044"/>
      <c r="QMC44" s="1044"/>
      <c r="QMD44" s="1044"/>
      <c r="QME44" s="1044"/>
      <c r="QMF44" s="1044"/>
      <c r="QMG44" s="1044"/>
      <c r="QMH44" s="1044"/>
      <c r="QMI44" s="1044"/>
      <c r="QMJ44" s="1044"/>
      <c r="QMK44" s="1044"/>
      <c r="QML44" s="1044"/>
      <c r="QMM44" s="1044"/>
      <c r="QMN44" s="1044"/>
      <c r="QMO44" s="1044"/>
      <c r="QMP44" s="1044"/>
      <c r="QMQ44" s="1044"/>
      <c r="QMR44" s="1044"/>
      <c r="QMS44" s="1044"/>
      <c r="QMT44" s="1044"/>
      <c r="QMU44" s="1044"/>
      <c r="QMV44" s="1044"/>
      <c r="QMW44" s="1044"/>
      <c r="QMX44" s="1044"/>
      <c r="QMY44" s="1044"/>
      <c r="QMZ44" s="1044"/>
      <c r="QNA44" s="1044"/>
      <c r="QNB44" s="1044"/>
      <c r="QNC44" s="1044"/>
      <c r="QND44" s="1044"/>
      <c r="QNE44" s="1044"/>
      <c r="QNF44" s="1044"/>
      <c r="QNG44" s="1044"/>
      <c r="QNH44" s="1044"/>
      <c r="QNI44" s="1044"/>
      <c r="QNJ44" s="1044"/>
      <c r="QNK44" s="1044"/>
      <c r="QNL44" s="1044"/>
      <c r="QNM44" s="1044"/>
      <c r="QNN44" s="1044"/>
      <c r="QNO44" s="1044"/>
      <c r="QNP44" s="1044"/>
      <c r="QNQ44" s="1044"/>
      <c r="QNR44" s="1044"/>
      <c r="QNS44" s="1044"/>
      <c r="QNT44" s="1044"/>
      <c r="QNU44" s="1044"/>
      <c r="QNV44" s="1044"/>
      <c r="QNW44" s="1044"/>
      <c r="QNX44" s="1044"/>
      <c r="QNY44" s="1044"/>
      <c r="QNZ44" s="1044"/>
      <c r="QOA44" s="1044"/>
      <c r="QOB44" s="1044"/>
      <c r="QOC44" s="1044"/>
      <c r="QOD44" s="1044"/>
      <c r="QOE44" s="1044"/>
      <c r="QOF44" s="1044"/>
      <c r="QOG44" s="1044"/>
      <c r="QOH44" s="1044"/>
      <c r="QOI44" s="1044"/>
      <c r="QOJ44" s="1044"/>
      <c r="QOK44" s="1044"/>
      <c r="QOL44" s="1044"/>
      <c r="QOM44" s="1044"/>
      <c r="QON44" s="1044"/>
      <c r="QOO44" s="1044"/>
      <c r="QOP44" s="1044"/>
      <c r="QOQ44" s="1044"/>
      <c r="QOR44" s="1044"/>
      <c r="QOS44" s="1044"/>
      <c r="QOT44" s="1044"/>
      <c r="QOU44" s="1044"/>
      <c r="QOV44" s="1044"/>
      <c r="QOW44" s="1044"/>
      <c r="QOX44" s="1044"/>
      <c r="QOY44" s="1044"/>
      <c r="QOZ44" s="1044"/>
      <c r="QPA44" s="1044"/>
      <c r="QPB44" s="1044"/>
      <c r="QPC44" s="1044"/>
      <c r="QPD44" s="1044"/>
      <c r="QPE44" s="1044"/>
      <c r="QPF44" s="1044"/>
      <c r="QPG44" s="1044"/>
      <c r="QPH44" s="1044"/>
      <c r="QPI44" s="1044"/>
      <c r="QPJ44" s="1044"/>
      <c r="QPK44" s="1044"/>
      <c r="QPL44" s="1044"/>
      <c r="QPM44" s="1044"/>
      <c r="QPN44" s="1044"/>
      <c r="QPO44" s="1044"/>
      <c r="QPP44" s="1044"/>
      <c r="QPQ44" s="1044"/>
      <c r="QPR44" s="1044"/>
      <c r="QPS44" s="1044"/>
      <c r="QPT44" s="1044"/>
      <c r="QPU44" s="1044"/>
      <c r="QPV44" s="1044"/>
      <c r="QPW44" s="1044"/>
      <c r="QPX44" s="1044"/>
      <c r="QPY44" s="1044"/>
      <c r="QPZ44" s="1044"/>
      <c r="QQA44" s="1044"/>
      <c r="QQB44" s="1044"/>
      <c r="QQC44" s="1044"/>
      <c r="QQD44" s="1044"/>
      <c r="QQE44" s="1044"/>
      <c r="QQF44" s="1044"/>
      <c r="QQG44" s="1044"/>
      <c r="QQH44" s="1044"/>
      <c r="QQI44" s="1044"/>
      <c r="QQJ44" s="1044"/>
      <c r="QQK44" s="1044"/>
      <c r="QQL44" s="1044"/>
      <c r="QQM44" s="1044"/>
      <c r="QQN44" s="1044"/>
      <c r="QQO44" s="1044"/>
      <c r="QQP44" s="1044"/>
      <c r="QQQ44" s="1044"/>
      <c r="QQR44" s="1044"/>
      <c r="QQS44" s="1044"/>
      <c r="QQT44" s="1044"/>
      <c r="QQU44" s="1044"/>
      <c r="QQV44" s="1044"/>
      <c r="QQW44" s="1044"/>
      <c r="QQX44" s="1044"/>
      <c r="QQY44" s="1044"/>
      <c r="QQZ44" s="1044"/>
      <c r="QRA44" s="1044"/>
      <c r="QRB44" s="1044"/>
      <c r="QRC44" s="1044"/>
      <c r="QRD44" s="1044"/>
      <c r="QRE44" s="1044"/>
      <c r="QRF44" s="1044"/>
      <c r="QRG44" s="1044"/>
      <c r="QRH44" s="1044"/>
      <c r="QRI44" s="1044"/>
      <c r="QRJ44" s="1044"/>
      <c r="QRK44" s="1044"/>
      <c r="QRL44" s="1044"/>
      <c r="QRM44" s="1044"/>
      <c r="QRN44" s="1044"/>
      <c r="QRO44" s="1044"/>
      <c r="QRP44" s="1044"/>
      <c r="QRQ44" s="1044"/>
      <c r="QRR44" s="1044"/>
      <c r="QRS44" s="1044"/>
      <c r="QRT44" s="1044"/>
      <c r="QRU44" s="1044"/>
      <c r="QRV44" s="1044"/>
      <c r="QRW44" s="1044"/>
      <c r="QRX44" s="1044"/>
      <c r="QRY44" s="1044"/>
      <c r="QRZ44" s="1044"/>
      <c r="QSA44" s="1044"/>
      <c r="QSB44" s="1044"/>
      <c r="QSC44" s="1044"/>
      <c r="QSD44" s="1044"/>
      <c r="QSE44" s="1044"/>
      <c r="QSF44" s="1044"/>
      <c r="QSG44" s="1044"/>
      <c r="QSH44" s="1044"/>
      <c r="QSI44" s="1044"/>
      <c r="QSJ44" s="1044"/>
      <c r="QSK44" s="1044"/>
      <c r="QSL44" s="1044"/>
      <c r="QSM44" s="1044"/>
      <c r="QSN44" s="1044"/>
      <c r="QSO44" s="1044"/>
      <c r="QSP44" s="1044"/>
      <c r="QSQ44" s="1044"/>
      <c r="QSR44" s="1044"/>
      <c r="QSS44" s="1044"/>
      <c r="QST44" s="1044"/>
      <c r="QSU44" s="1044"/>
      <c r="QSV44" s="1044"/>
      <c r="QSW44" s="1044"/>
      <c r="QSX44" s="1044"/>
      <c r="QSY44" s="1044"/>
      <c r="QSZ44" s="1044"/>
      <c r="QTA44" s="1044"/>
      <c r="QTB44" s="1044"/>
      <c r="QTC44" s="1044"/>
      <c r="QTD44" s="1044"/>
      <c r="QTE44" s="1044"/>
      <c r="QTF44" s="1044"/>
      <c r="QTG44" s="1044"/>
      <c r="QTH44" s="1044"/>
      <c r="QTI44" s="1044"/>
      <c r="QTJ44" s="1044"/>
      <c r="QTK44" s="1044"/>
      <c r="QTL44" s="1044"/>
      <c r="QTM44" s="1044"/>
      <c r="QTN44" s="1044"/>
      <c r="QTO44" s="1044"/>
      <c r="QTP44" s="1044"/>
      <c r="QTQ44" s="1044"/>
      <c r="QTR44" s="1044"/>
      <c r="QTS44" s="1044"/>
      <c r="QTT44" s="1044"/>
      <c r="QTU44" s="1044"/>
      <c r="QTV44" s="1044"/>
      <c r="QTW44" s="1044"/>
      <c r="QTX44" s="1044"/>
      <c r="QTY44" s="1044"/>
      <c r="QTZ44" s="1044"/>
      <c r="QUA44" s="1044"/>
      <c r="QUB44" s="1044"/>
      <c r="QUC44" s="1044"/>
      <c r="QUD44" s="1044"/>
      <c r="QUE44" s="1044"/>
      <c r="QUF44" s="1044"/>
      <c r="QUG44" s="1044"/>
      <c r="QUH44" s="1044"/>
      <c r="QUI44" s="1044"/>
      <c r="QUJ44" s="1044"/>
      <c r="QUK44" s="1044"/>
      <c r="QUL44" s="1044"/>
      <c r="QUM44" s="1044"/>
      <c r="QUN44" s="1044"/>
      <c r="QUO44" s="1044"/>
      <c r="QUP44" s="1044"/>
      <c r="QUQ44" s="1044"/>
      <c r="QUR44" s="1044"/>
      <c r="QUS44" s="1044"/>
      <c r="QUT44" s="1044"/>
      <c r="QUU44" s="1044"/>
      <c r="QUV44" s="1044"/>
      <c r="QUW44" s="1044"/>
      <c r="QUX44" s="1044"/>
      <c r="QUY44" s="1044"/>
      <c r="QUZ44" s="1044"/>
      <c r="QVA44" s="1044"/>
      <c r="QVB44" s="1044"/>
      <c r="QVC44" s="1044"/>
      <c r="QVD44" s="1044"/>
      <c r="QVE44" s="1044"/>
      <c r="QVF44" s="1044"/>
      <c r="QVG44" s="1044"/>
      <c r="QVH44" s="1044"/>
      <c r="QVI44" s="1044"/>
      <c r="QVJ44" s="1044"/>
      <c r="QVK44" s="1044"/>
      <c r="QVL44" s="1044"/>
      <c r="QVM44" s="1044"/>
      <c r="QVN44" s="1044"/>
      <c r="QVO44" s="1044"/>
      <c r="QVP44" s="1044"/>
      <c r="QVQ44" s="1044"/>
      <c r="QVR44" s="1044"/>
      <c r="QVS44" s="1044"/>
      <c r="QVT44" s="1044"/>
      <c r="QVU44" s="1044"/>
      <c r="QVV44" s="1044"/>
      <c r="QVW44" s="1044"/>
      <c r="QVX44" s="1044"/>
      <c r="QVY44" s="1044"/>
      <c r="QVZ44" s="1044"/>
      <c r="QWA44" s="1044"/>
      <c r="QWB44" s="1044"/>
      <c r="QWC44" s="1044"/>
      <c r="QWD44" s="1044"/>
      <c r="QWE44" s="1044"/>
      <c r="QWF44" s="1044"/>
      <c r="QWG44" s="1044"/>
      <c r="QWH44" s="1044"/>
      <c r="QWI44" s="1044"/>
      <c r="QWJ44" s="1044"/>
      <c r="QWK44" s="1044"/>
      <c r="QWL44" s="1044"/>
      <c r="QWM44" s="1044"/>
      <c r="QWN44" s="1044"/>
      <c r="QWO44" s="1044"/>
      <c r="QWP44" s="1044"/>
      <c r="QWQ44" s="1044"/>
      <c r="QWR44" s="1044"/>
      <c r="QWS44" s="1044"/>
      <c r="QWT44" s="1044"/>
      <c r="QWU44" s="1044"/>
      <c r="QWV44" s="1044"/>
      <c r="QWW44" s="1044"/>
      <c r="QWX44" s="1044"/>
      <c r="QWY44" s="1044"/>
      <c r="QWZ44" s="1044"/>
      <c r="QXA44" s="1044"/>
      <c r="QXB44" s="1044"/>
      <c r="QXC44" s="1044"/>
      <c r="QXD44" s="1044"/>
      <c r="QXE44" s="1044"/>
      <c r="QXF44" s="1044"/>
      <c r="QXG44" s="1044"/>
      <c r="QXH44" s="1044"/>
      <c r="QXI44" s="1044"/>
      <c r="QXJ44" s="1044"/>
      <c r="QXK44" s="1044"/>
      <c r="QXL44" s="1044"/>
      <c r="QXM44" s="1044"/>
      <c r="QXN44" s="1044"/>
      <c r="QXO44" s="1044"/>
      <c r="QXP44" s="1044"/>
      <c r="QXQ44" s="1044"/>
      <c r="QXR44" s="1044"/>
      <c r="QXS44" s="1044"/>
      <c r="QXT44" s="1044"/>
      <c r="QXU44" s="1044"/>
      <c r="QXV44" s="1044"/>
      <c r="QXW44" s="1044"/>
      <c r="QXX44" s="1044"/>
      <c r="QXY44" s="1044"/>
      <c r="QXZ44" s="1044"/>
      <c r="QYA44" s="1044"/>
      <c r="QYB44" s="1044"/>
      <c r="QYC44" s="1044"/>
      <c r="QYD44" s="1044"/>
      <c r="QYE44" s="1044"/>
      <c r="QYF44" s="1044"/>
      <c r="QYG44" s="1044"/>
      <c r="QYH44" s="1044"/>
      <c r="QYI44" s="1044"/>
      <c r="QYJ44" s="1044"/>
      <c r="QYK44" s="1044"/>
      <c r="QYL44" s="1044"/>
      <c r="QYM44" s="1044"/>
      <c r="QYN44" s="1044"/>
      <c r="QYO44" s="1044"/>
      <c r="QYP44" s="1044"/>
      <c r="QYQ44" s="1044"/>
      <c r="QYR44" s="1044"/>
      <c r="QYS44" s="1044"/>
      <c r="QYT44" s="1044"/>
      <c r="QYU44" s="1044"/>
      <c r="QYV44" s="1044"/>
      <c r="QYW44" s="1044"/>
      <c r="QYX44" s="1044"/>
      <c r="QYY44" s="1044"/>
      <c r="QYZ44" s="1044"/>
      <c r="QZA44" s="1044"/>
      <c r="QZB44" s="1044"/>
      <c r="QZC44" s="1044"/>
      <c r="QZD44" s="1044"/>
      <c r="QZE44" s="1044"/>
      <c r="QZF44" s="1044"/>
      <c r="QZG44" s="1044"/>
      <c r="QZH44" s="1044"/>
      <c r="QZI44" s="1044"/>
      <c r="QZJ44" s="1044"/>
      <c r="QZK44" s="1044"/>
      <c r="QZL44" s="1044"/>
      <c r="QZM44" s="1044"/>
      <c r="QZN44" s="1044"/>
      <c r="QZO44" s="1044"/>
      <c r="QZP44" s="1044"/>
      <c r="QZQ44" s="1044"/>
      <c r="QZR44" s="1044"/>
      <c r="QZS44" s="1044"/>
      <c r="QZT44" s="1044"/>
      <c r="QZU44" s="1044"/>
      <c r="QZV44" s="1044"/>
      <c r="QZW44" s="1044"/>
      <c r="QZX44" s="1044"/>
      <c r="QZY44" s="1044"/>
      <c r="QZZ44" s="1044"/>
      <c r="RAA44" s="1044"/>
      <c r="RAB44" s="1044"/>
      <c r="RAC44" s="1044"/>
      <c r="RAD44" s="1044"/>
      <c r="RAE44" s="1044"/>
      <c r="RAF44" s="1044"/>
      <c r="RAG44" s="1044"/>
      <c r="RAH44" s="1044"/>
      <c r="RAI44" s="1044"/>
      <c r="RAJ44" s="1044"/>
      <c r="RAK44" s="1044"/>
      <c r="RAL44" s="1044"/>
      <c r="RAM44" s="1044"/>
      <c r="RAN44" s="1044"/>
      <c r="RAO44" s="1044"/>
      <c r="RAP44" s="1044"/>
      <c r="RAQ44" s="1044"/>
      <c r="RAR44" s="1044"/>
      <c r="RAS44" s="1044"/>
      <c r="RAT44" s="1044"/>
      <c r="RAU44" s="1044"/>
      <c r="RAV44" s="1044"/>
      <c r="RAW44" s="1044"/>
      <c r="RAX44" s="1044"/>
      <c r="RAY44" s="1044"/>
      <c r="RAZ44" s="1044"/>
      <c r="RBA44" s="1044"/>
      <c r="RBB44" s="1044"/>
      <c r="RBC44" s="1044"/>
      <c r="RBD44" s="1044"/>
      <c r="RBE44" s="1044"/>
      <c r="RBF44" s="1044"/>
      <c r="RBG44" s="1044"/>
      <c r="RBH44" s="1044"/>
      <c r="RBI44" s="1044"/>
      <c r="RBJ44" s="1044"/>
      <c r="RBK44" s="1044"/>
      <c r="RBL44" s="1044"/>
      <c r="RBM44" s="1044"/>
      <c r="RBN44" s="1044"/>
      <c r="RBO44" s="1044"/>
      <c r="RBP44" s="1044"/>
      <c r="RBQ44" s="1044"/>
      <c r="RBR44" s="1044"/>
      <c r="RBS44" s="1044"/>
      <c r="RBT44" s="1044"/>
      <c r="RBU44" s="1044"/>
      <c r="RBV44" s="1044"/>
      <c r="RBW44" s="1044"/>
      <c r="RBX44" s="1044"/>
      <c r="RBY44" s="1044"/>
      <c r="RBZ44" s="1044"/>
      <c r="RCA44" s="1044"/>
      <c r="RCB44" s="1044"/>
      <c r="RCC44" s="1044"/>
      <c r="RCD44" s="1044"/>
      <c r="RCE44" s="1044"/>
      <c r="RCF44" s="1044"/>
      <c r="RCG44" s="1044"/>
      <c r="RCH44" s="1044"/>
      <c r="RCI44" s="1044"/>
      <c r="RCJ44" s="1044"/>
      <c r="RCK44" s="1044"/>
      <c r="RCL44" s="1044"/>
      <c r="RCM44" s="1044"/>
      <c r="RCN44" s="1044"/>
      <c r="RCO44" s="1044"/>
      <c r="RCP44" s="1044"/>
      <c r="RCQ44" s="1044"/>
      <c r="RCR44" s="1044"/>
      <c r="RCS44" s="1044"/>
      <c r="RCT44" s="1044"/>
      <c r="RCU44" s="1044"/>
      <c r="RCV44" s="1044"/>
      <c r="RCW44" s="1044"/>
      <c r="RCX44" s="1044"/>
      <c r="RCY44" s="1044"/>
      <c r="RCZ44" s="1044"/>
      <c r="RDA44" s="1044"/>
      <c r="RDB44" s="1044"/>
      <c r="RDC44" s="1044"/>
      <c r="RDD44" s="1044"/>
      <c r="RDE44" s="1044"/>
      <c r="RDF44" s="1044"/>
      <c r="RDG44" s="1044"/>
      <c r="RDH44" s="1044"/>
      <c r="RDI44" s="1044"/>
      <c r="RDJ44" s="1044"/>
      <c r="RDK44" s="1044"/>
      <c r="RDL44" s="1044"/>
      <c r="RDM44" s="1044"/>
      <c r="RDN44" s="1044"/>
      <c r="RDO44" s="1044"/>
      <c r="RDP44" s="1044"/>
      <c r="RDQ44" s="1044"/>
      <c r="RDR44" s="1044"/>
      <c r="RDS44" s="1044"/>
      <c r="RDT44" s="1044"/>
      <c r="RDU44" s="1044"/>
      <c r="RDV44" s="1044"/>
      <c r="RDW44" s="1044"/>
      <c r="RDX44" s="1044"/>
      <c r="RDY44" s="1044"/>
      <c r="RDZ44" s="1044"/>
      <c r="REA44" s="1044"/>
      <c r="REB44" s="1044"/>
      <c r="REC44" s="1044"/>
      <c r="RED44" s="1044"/>
      <c r="REE44" s="1044"/>
      <c r="REF44" s="1044"/>
      <c r="REG44" s="1044"/>
      <c r="REH44" s="1044"/>
      <c r="REI44" s="1044"/>
      <c r="REJ44" s="1044"/>
      <c r="REK44" s="1044"/>
      <c r="REL44" s="1044"/>
      <c r="REM44" s="1044"/>
      <c r="REN44" s="1044"/>
      <c r="REO44" s="1044"/>
      <c r="REP44" s="1044"/>
      <c r="REQ44" s="1044"/>
      <c r="RER44" s="1044"/>
      <c r="RES44" s="1044"/>
      <c r="RET44" s="1044"/>
      <c r="REU44" s="1044"/>
      <c r="REV44" s="1044"/>
      <c r="REW44" s="1044"/>
      <c r="REX44" s="1044"/>
      <c r="REY44" s="1044"/>
      <c r="REZ44" s="1044"/>
      <c r="RFA44" s="1044"/>
      <c r="RFB44" s="1044"/>
      <c r="RFC44" s="1044"/>
      <c r="RFD44" s="1044"/>
      <c r="RFE44" s="1044"/>
      <c r="RFF44" s="1044"/>
      <c r="RFG44" s="1044"/>
      <c r="RFH44" s="1044"/>
      <c r="RFI44" s="1044"/>
      <c r="RFJ44" s="1044"/>
      <c r="RFK44" s="1044"/>
      <c r="RFL44" s="1044"/>
      <c r="RFM44" s="1044"/>
      <c r="RFN44" s="1044"/>
      <c r="RFO44" s="1044"/>
      <c r="RFP44" s="1044"/>
      <c r="RFQ44" s="1044"/>
      <c r="RFR44" s="1044"/>
      <c r="RFS44" s="1044"/>
      <c r="RFT44" s="1044"/>
      <c r="RFU44" s="1044"/>
      <c r="RFV44" s="1044"/>
      <c r="RFW44" s="1044"/>
      <c r="RFX44" s="1044"/>
      <c r="RFY44" s="1044"/>
      <c r="RFZ44" s="1044"/>
      <c r="RGA44" s="1044"/>
      <c r="RGB44" s="1044"/>
      <c r="RGC44" s="1044"/>
      <c r="RGD44" s="1044"/>
      <c r="RGE44" s="1044"/>
      <c r="RGF44" s="1044"/>
      <c r="RGG44" s="1044"/>
      <c r="RGH44" s="1044"/>
      <c r="RGI44" s="1044"/>
      <c r="RGJ44" s="1044"/>
      <c r="RGK44" s="1044"/>
      <c r="RGL44" s="1044"/>
      <c r="RGM44" s="1044"/>
      <c r="RGN44" s="1044"/>
      <c r="RGO44" s="1044"/>
      <c r="RGP44" s="1044"/>
      <c r="RGQ44" s="1044"/>
      <c r="RGR44" s="1044"/>
      <c r="RGS44" s="1044"/>
      <c r="RGT44" s="1044"/>
      <c r="RGU44" s="1044"/>
      <c r="RGV44" s="1044"/>
      <c r="RGW44" s="1044"/>
      <c r="RGX44" s="1044"/>
      <c r="RGY44" s="1044"/>
      <c r="RGZ44" s="1044"/>
      <c r="RHA44" s="1044"/>
      <c r="RHB44" s="1044"/>
      <c r="RHC44" s="1044"/>
      <c r="RHD44" s="1044"/>
      <c r="RHE44" s="1044"/>
      <c r="RHF44" s="1044"/>
      <c r="RHG44" s="1044"/>
      <c r="RHH44" s="1044"/>
      <c r="RHI44" s="1044"/>
      <c r="RHJ44" s="1044"/>
      <c r="RHK44" s="1044"/>
      <c r="RHL44" s="1044"/>
      <c r="RHM44" s="1044"/>
      <c r="RHN44" s="1044"/>
      <c r="RHO44" s="1044"/>
      <c r="RHP44" s="1044"/>
      <c r="RHQ44" s="1044"/>
      <c r="RHR44" s="1044"/>
      <c r="RHS44" s="1044"/>
      <c r="RHT44" s="1044"/>
      <c r="RHU44" s="1044"/>
      <c r="RHV44" s="1044"/>
      <c r="RHW44" s="1044"/>
      <c r="RHX44" s="1044"/>
      <c r="RHY44" s="1044"/>
      <c r="RHZ44" s="1044"/>
      <c r="RIA44" s="1044"/>
      <c r="RIB44" s="1044"/>
      <c r="RIC44" s="1044"/>
      <c r="RID44" s="1044"/>
      <c r="RIE44" s="1044"/>
      <c r="RIF44" s="1044"/>
      <c r="RIG44" s="1044"/>
      <c r="RIH44" s="1044"/>
      <c r="RII44" s="1044"/>
      <c r="RIJ44" s="1044"/>
      <c r="RIK44" s="1044"/>
      <c r="RIL44" s="1044"/>
      <c r="RIM44" s="1044"/>
      <c r="RIN44" s="1044"/>
      <c r="RIO44" s="1044"/>
      <c r="RIP44" s="1044"/>
      <c r="RIQ44" s="1044"/>
      <c r="RIR44" s="1044"/>
      <c r="RIS44" s="1044"/>
      <c r="RIT44" s="1044"/>
      <c r="RIU44" s="1044"/>
      <c r="RIV44" s="1044"/>
      <c r="RIW44" s="1044"/>
      <c r="RIX44" s="1044"/>
      <c r="RIY44" s="1044"/>
      <c r="RIZ44" s="1044"/>
      <c r="RJA44" s="1044"/>
      <c r="RJB44" s="1044"/>
      <c r="RJC44" s="1044"/>
      <c r="RJD44" s="1044"/>
      <c r="RJE44" s="1044"/>
      <c r="RJF44" s="1044"/>
      <c r="RJG44" s="1044"/>
      <c r="RJH44" s="1044"/>
      <c r="RJI44" s="1044"/>
      <c r="RJJ44" s="1044"/>
      <c r="RJK44" s="1044"/>
      <c r="RJL44" s="1044"/>
      <c r="RJM44" s="1044"/>
      <c r="RJN44" s="1044"/>
      <c r="RJO44" s="1044"/>
      <c r="RJP44" s="1044"/>
      <c r="RJQ44" s="1044"/>
      <c r="RJR44" s="1044"/>
      <c r="RJS44" s="1044"/>
      <c r="RJT44" s="1044"/>
      <c r="RJU44" s="1044"/>
      <c r="RJV44" s="1044"/>
      <c r="RJW44" s="1044"/>
      <c r="RJX44" s="1044"/>
      <c r="RJY44" s="1044"/>
      <c r="RJZ44" s="1044"/>
      <c r="RKA44" s="1044"/>
      <c r="RKB44" s="1044"/>
      <c r="RKC44" s="1044"/>
      <c r="RKD44" s="1044"/>
      <c r="RKE44" s="1044"/>
      <c r="RKF44" s="1044"/>
      <c r="RKG44" s="1044"/>
      <c r="RKH44" s="1044"/>
      <c r="RKI44" s="1044"/>
      <c r="RKJ44" s="1044"/>
      <c r="RKK44" s="1044"/>
      <c r="RKL44" s="1044"/>
      <c r="RKM44" s="1044"/>
      <c r="RKN44" s="1044"/>
      <c r="RKO44" s="1044"/>
      <c r="RKP44" s="1044"/>
      <c r="RKQ44" s="1044"/>
      <c r="RKR44" s="1044"/>
      <c r="RKS44" s="1044"/>
      <c r="RKT44" s="1044"/>
      <c r="RKU44" s="1044"/>
      <c r="RKV44" s="1044"/>
      <c r="RKW44" s="1044"/>
      <c r="RKX44" s="1044"/>
      <c r="RKY44" s="1044"/>
      <c r="RKZ44" s="1044"/>
      <c r="RLA44" s="1044"/>
      <c r="RLB44" s="1044"/>
      <c r="RLC44" s="1044"/>
      <c r="RLD44" s="1044"/>
      <c r="RLE44" s="1044"/>
      <c r="RLF44" s="1044"/>
      <c r="RLG44" s="1044"/>
      <c r="RLH44" s="1044"/>
      <c r="RLI44" s="1044"/>
      <c r="RLJ44" s="1044"/>
      <c r="RLK44" s="1044"/>
      <c r="RLL44" s="1044"/>
      <c r="RLM44" s="1044"/>
      <c r="RLN44" s="1044"/>
      <c r="RLO44" s="1044"/>
      <c r="RLP44" s="1044"/>
      <c r="RLQ44" s="1044"/>
      <c r="RLR44" s="1044"/>
      <c r="RLS44" s="1044"/>
      <c r="RLT44" s="1044"/>
      <c r="RLU44" s="1044"/>
      <c r="RLV44" s="1044"/>
      <c r="RLW44" s="1044"/>
      <c r="RLX44" s="1044"/>
      <c r="RLY44" s="1044"/>
      <c r="RLZ44" s="1044"/>
      <c r="RMA44" s="1044"/>
      <c r="RMB44" s="1044"/>
      <c r="RMC44" s="1044"/>
      <c r="RMD44" s="1044"/>
      <c r="RME44" s="1044"/>
      <c r="RMF44" s="1044"/>
      <c r="RMG44" s="1044"/>
      <c r="RMH44" s="1044"/>
      <c r="RMI44" s="1044"/>
      <c r="RMJ44" s="1044"/>
      <c r="RMK44" s="1044"/>
      <c r="RML44" s="1044"/>
      <c r="RMM44" s="1044"/>
      <c r="RMN44" s="1044"/>
      <c r="RMO44" s="1044"/>
      <c r="RMP44" s="1044"/>
      <c r="RMQ44" s="1044"/>
      <c r="RMR44" s="1044"/>
      <c r="RMS44" s="1044"/>
      <c r="RMT44" s="1044"/>
      <c r="RMU44" s="1044"/>
      <c r="RMV44" s="1044"/>
      <c r="RMW44" s="1044"/>
      <c r="RMX44" s="1044"/>
      <c r="RMY44" s="1044"/>
      <c r="RMZ44" s="1044"/>
      <c r="RNA44" s="1044"/>
      <c r="RNB44" s="1044"/>
      <c r="RNC44" s="1044"/>
      <c r="RND44" s="1044"/>
      <c r="RNE44" s="1044"/>
      <c r="RNF44" s="1044"/>
      <c r="RNG44" s="1044"/>
      <c r="RNH44" s="1044"/>
      <c r="RNI44" s="1044"/>
      <c r="RNJ44" s="1044"/>
      <c r="RNK44" s="1044"/>
      <c r="RNL44" s="1044"/>
      <c r="RNM44" s="1044"/>
      <c r="RNN44" s="1044"/>
      <c r="RNO44" s="1044"/>
      <c r="RNP44" s="1044"/>
      <c r="RNQ44" s="1044"/>
      <c r="RNR44" s="1044"/>
      <c r="RNS44" s="1044"/>
      <c r="RNT44" s="1044"/>
      <c r="RNU44" s="1044"/>
      <c r="RNV44" s="1044"/>
      <c r="RNW44" s="1044"/>
      <c r="RNX44" s="1044"/>
      <c r="RNY44" s="1044"/>
      <c r="RNZ44" s="1044"/>
      <c r="ROA44" s="1044"/>
      <c r="ROB44" s="1044"/>
      <c r="ROC44" s="1044"/>
      <c r="ROD44" s="1044"/>
      <c r="ROE44" s="1044"/>
      <c r="ROF44" s="1044"/>
      <c r="ROG44" s="1044"/>
      <c r="ROH44" s="1044"/>
      <c r="ROI44" s="1044"/>
      <c r="ROJ44" s="1044"/>
      <c r="ROK44" s="1044"/>
      <c r="ROL44" s="1044"/>
      <c r="ROM44" s="1044"/>
      <c r="RON44" s="1044"/>
      <c r="ROO44" s="1044"/>
      <c r="ROP44" s="1044"/>
      <c r="ROQ44" s="1044"/>
      <c r="ROR44" s="1044"/>
      <c r="ROS44" s="1044"/>
      <c r="ROT44" s="1044"/>
      <c r="ROU44" s="1044"/>
      <c r="ROV44" s="1044"/>
      <c r="ROW44" s="1044"/>
      <c r="ROX44" s="1044"/>
      <c r="ROY44" s="1044"/>
      <c r="ROZ44" s="1044"/>
      <c r="RPA44" s="1044"/>
      <c r="RPB44" s="1044"/>
      <c r="RPC44" s="1044"/>
      <c r="RPD44" s="1044"/>
      <c r="RPE44" s="1044"/>
      <c r="RPF44" s="1044"/>
      <c r="RPG44" s="1044"/>
      <c r="RPH44" s="1044"/>
      <c r="RPI44" s="1044"/>
      <c r="RPJ44" s="1044"/>
      <c r="RPK44" s="1044"/>
      <c r="RPL44" s="1044"/>
      <c r="RPM44" s="1044"/>
      <c r="RPN44" s="1044"/>
      <c r="RPO44" s="1044"/>
      <c r="RPP44" s="1044"/>
      <c r="RPQ44" s="1044"/>
      <c r="RPR44" s="1044"/>
      <c r="RPS44" s="1044"/>
      <c r="RPT44" s="1044"/>
      <c r="RPU44" s="1044"/>
      <c r="RPV44" s="1044"/>
      <c r="RPW44" s="1044"/>
      <c r="RPX44" s="1044"/>
      <c r="RPY44" s="1044"/>
      <c r="RPZ44" s="1044"/>
      <c r="RQA44" s="1044"/>
      <c r="RQB44" s="1044"/>
      <c r="RQC44" s="1044"/>
      <c r="RQD44" s="1044"/>
      <c r="RQE44" s="1044"/>
      <c r="RQF44" s="1044"/>
      <c r="RQG44" s="1044"/>
      <c r="RQH44" s="1044"/>
      <c r="RQI44" s="1044"/>
      <c r="RQJ44" s="1044"/>
      <c r="RQK44" s="1044"/>
      <c r="RQL44" s="1044"/>
      <c r="RQM44" s="1044"/>
      <c r="RQN44" s="1044"/>
      <c r="RQO44" s="1044"/>
      <c r="RQP44" s="1044"/>
      <c r="RQQ44" s="1044"/>
      <c r="RQR44" s="1044"/>
      <c r="RQS44" s="1044"/>
      <c r="RQT44" s="1044"/>
      <c r="RQU44" s="1044"/>
      <c r="RQV44" s="1044"/>
      <c r="RQW44" s="1044"/>
      <c r="RQX44" s="1044"/>
      <c r="RQY44" s="1044"/>
      <c r="RQZ44" s="1044"/>
      <c r="RRA44" s="1044"/>
      <c r="RRB44" s="1044"/>
      <c r="RRC44" s="1044"/>
      <c r="RRD44" s="1044"/>
      <c r="RRE44" s="1044"/>
      <c r="RRF44" s="1044"/>
      <c r="RRG44" s="1044"/>
      <c r="RRH44" s="1044"/>
      <c r="RRI44" s="1044"/>
      <c r="RRJ44" s="1044"/>
      <c r="RRK44" s="1044"/>
      <c r="RRL44" s="1044"/>
      <c r="RRM44" s="1044"/>
      <c r="RRN44" s="1044"/>
      <c r="RRO44" s="1044"/>
      <c r="RRP44" s="1044"/>
      <c r="RRQ44" s="1044"/>
      <c r="RRR44" s="1044"/>
      <c r="RRS44" s="1044"/>
      <c r="RRT44" s="1044"/>
      <c r="RRU44" s="1044"/>
      <c r="RRV44" s="1044"/>
      <c r="RRW44" s="1044"/>
      <c r="RRX44" s="1044"/>
      <c r="RRY44" s="1044"/>
      <c r="RRZ44" s="1044"/>
      <c r="RSA44" s="1044"/>
      <c r="RSB44" s="1044"/>
      <c r="RSC44" s="1044"/>
      <c r="RSD44" s="1044"/>
      <c r="RSE44" s="1044"/>
      <c r="RSF44" s="1044"/>
      <c r="RSG44" s="1044"/>
      <c r="RSH44" s="1044"/>
      <c r="RSI44" s="1044"/>
      <c r="RSJ44" s="1044"/>
      <c r="RSK44" s="1044"/>
      <c r="RSL44" s="1044"/>
      <c r="RSM44" s="1044"/>
      <c r="RSN44" s="1044"/>
      <c r="RSO44" s="1044"/>
      <c r="RSP44" s="1044"/>
      <c r="RSQ44" s="1044"/>
      <c r="RSR44" s="1044"/>
      <c r="RSS44" s="1044"/>
      <c r="RST44" s="1044"/>
      <c r="RSU44" s="1044"/>
      <c r="RSV44" s="1044"/>
      <c r="RSW44" s="1044"/>
      <c r="RSX44" s="1044"/>
      <c r="RSY44" s="1044"/>
      <c r="RSZ44" s="1044"/>
      <c r="RTA44" s="1044"/>
      <c r="RTB44" s="1044"/>
      <c r="RTC44" s="1044"/>
      <c r="RTD44" s="1044"/>
      <c r="RTE44" s="1044"/>
      <c r="RTF44" s="1044"/>
      <c r="RTG44" s="1044"/>
      <c r="RTH44" s="1044"/>
      <c r="RTI44" s="1044"/>
      <c r="RTJ44" s="1044"/>
      <c r="RTK44" s="1044"/>
      <c r="RTL44" s="1044"/>
      <c r="RTM44" s="1044"/>
      <c r="RTN44" s="1044"/>
      <c r="RTO44" s="1044"/>
      <c r="RTP44" s="1044"/>
      <c r="RTQ44" s="1044"/>
      <c r="RTR44" s="1044"/>
      <c r="RTS44" s="1044"/>
      <c r="RTT44" s="1044"/>
      <c r="RTU44" s="1044"/>
      <c r="RTV44" s="1044"/>
      <c r="RTW44" s="1044"/>
      <c r="RTX44" s="1044"/>
      <c r="RTY44" s="1044"/>
      <c r="RTZ44" s="1044"/>
      <c r="RUA44" s="1044"/>
      <c r="RUB44" s="1044"/>
      <c r="RUC44" s="1044"/>
      <c r="RUD44" s="1044"/>
      <c r="RUE44" s="1044"/>
      <c r="RUF44" s="1044"/>
      <c r="RUG44" s="1044"/>
      <c r="RUH44" s="1044"/>
      <c r="RUI44" s="1044"/>
      <c r="RUJ44" s="1044"/>
      <c r="RUK44" s="1044"/>
      <c r="RUL44" s="1044"/>
      <c r="RUM44" s="1044"/>
      <c r="RUN44" s="1044"/>
      <c r="RUO44" s="1044"/>
      <c r="RUP44" s="1044"/>
      <c r="RUQ44" s="1044"/>
      <c r="RUR44" s="1044"/>
      <c r="RUS44" s="1044"/>
      <c r="RUT44" s="1044"/>
      <c r="RUU44" s="1044"/>
      <c r="RUV44" s="1044"/>
      <c r="RUW44" s="1044"/>
      <c r="RUX44" s="1044"/>
      <c r="RUY44" s="1044"/>
      <c r="RUZ44" s="1044"/>
      <c r="RVA44" s="1044"/>
      <c r="RVB44" s="1044"/>
      <c r="RVC44" s="1044"/>
      <c r="RVD44" s="1044"/>
      <c r="RVE44" s="1044"/>
      <c r="RVF44" s="1044"/>
      <c r="RVG44" s="1044"/>
      <c r="RVH44" s="1044"/>
      <c r="RVI44" s="1044"/>
      <c r="RVJ44" s="1044"/>
      <c r="RVK44" s="1044"/>
      <c r="RVL44" s="1044"/>
      <c r="RVM44" s="1044"/>
      <c r="RVN44" s="1044"/>
      <c r="RVO44" s="1044"/>
      <c r="RVP44" s="1044"/>
      <c r="RVQ44" s="1044"/>
      <c r="RVR44" s="1044"/>
      <c r="RVS44" s="1044"/>
      <c r="RVT44" s="1044"/>
      <c r="RVU44" s="1044"/>
      <c r="RVV44" s="1044"/>
      <c r="RVW44" s="1044"/>
      <c r="RVX44" s="1044"/>
      <c r="RVY44" s="1044"/>
      <c r="RVZ44" s="1044"/>
      <c r="RWA44" s="1044"/>
      <c r="RWB44" s="1044"/>
      <c r="RWC44" s="1044"/>
      <c r="RWD44" s="1044"/>
      <c r="RWE44" s="1044"/>
      <c r="RWF44" s="1044"/>
      <c r="RWG44" s="1044"/>
      <c r="RWH44" s="1044"/>
      <c r="RWI44" s="1044"/>
      <c r="RWJ44" s="1044"/>
      <c r="RWK44" s="1044"/>
      <c r="RWL44" s="1044"/>
      <c r="RWM44" s="1044"/>
      <c r="RWN44" s="1044"/>
      <c r="RWO44" s="1044"/>
      <c r="RWP44" s="1044"/>
      <c r="RWQ44" s="1044"/>
      <c r="RWR44" s="1044"/>
      <c r="RWS44" s="1044"/>
      <c r="RWT44" s="1044"/>
      <c r="RWU44" s="1044"/>
      <c r="RWV44" s="1044"/>
      <c r="RWW44" s="1044"/>
      <c r="RWX44" s="1044"/>
      <c r="RWY44" s="1044"/>
      <c r="RWZ44" s="1044"/>
      <c r="RXA44" s="1044"/>
      <c r="RXB44" s="1044"/>
      <c r="RXC44" s="1044"/>
      <c r="RXD44" s="1044"/>
      <c r="RXE44" s="1044"/>
      <c r="RXF44" s="1044"/>
      <c r="RXG44" s="1044"/>
      <c r="RXH44" s="1044"/>
      <c r="RXI44" s="1044"/>
      <c r="RXJ44" s="1044"/>
      <c r="RXK44" s="1044"/>
      <c r="RXL44" s="1044"/>
      <c r="RXM44" s="1044"/>
      <c r="RXN44" s="1044"/>
      <c r="RXO44" s="1044"/>
      <c r="RXP44" s="1044"/>
      <c r="RXQ44" s="1044"/>
      <c r="RXR44" s="1044"/>
      <c r="RXS44" s="1044"/>
      <c r="RXT44" s="1044"/>
      <c r="RXU44" s="1044"/>
      <c r="RXV44" s="1044"/>
      <c r="RXW44" s="1044"/>
      <c r="RXX44" s="1044"/>
      <c r="RXY44" s="1044"/>
      <c r="RXZ44" s="1044"/>
      <c r="RYA44" s="1044"/>
      <c r="RYB44" s="1044"/>
      <c r="RYC44" s="1044"/>
      <c r="RYD44" s="1044"/>
      <c r="RYE44" s="1044"/>
      <c r="RYF44" s="1044"/>
      <c r="RYG44" s="1044"/>
      <c r="RYH44" s="1044"/>
      <c r="RYI44" s="1044"/>
      <c r="RYJ44" s="1044"/>
      <c r="RYK44" s="1044"/>
      <c r="RYL44" s="1044"/>
      <c r="RYM44" s="1044"/>
      <c r="RYN44" s="1044"/>
      <c r="RYO44" s="1044"/>
      <c r="RYP44" s="1044"/>
      <c r="RYQ44" s="1044"/>
      <c r="RYR44" s="1044"/>
      <c r="RYS44" s="1044"/>
      <c r="RYT44" s="1044"/>
      <c r="RYU44" s="1044"/>
      <c r="RYV44" s="1044"/>
      <c r="RYW44" s="1044"/>
      <c r="RYX44" s="1044"/>
      <c r="RYY44" s="1044"/>
      <c r="RYZ44" s="1044"/>
      <c r="RZA44" s="1044"/>
      <c r="RZB44" s="1044"/>
      <c r="RZC44" s="1044"/>
      <c r="RZD44" s="1044"/>
      <c r="RZE44" s="1044"/>
      <c r="RZF44" s="1044"/>
      <c r="RZG44" s="1044"/>
      <c r="RZH44" s="1044"/>
      <c r="RZI44" s="1044"/>
      <c r="RZJ44" s="1044"/>
      <c r="RZK44" s="1044"/>
      <c r="RZL44" s="1044"/>
      <c r="RZM44" s="1044"/>
      <c r="RZN44" s="1044"/>
      <c r="RZO44" s="1044"/>
      <c r="RZP44" s="1044"/>
      <c r="RZQ44" s="1044"/>
      <c r="RZR44" s="1044"/>
      <c r="RZS44" s="1044"/>
      <c r="RZT44" s="1044"/>
      <c r="RZU44" s="1044"/>
      <c r="RZV44" s="1044"/>
      <c r="RZW44" s="1044"/>
      <c r="RZX44" s="1044"/>
      <c r="RZY44" s="1044"/>
      <c r="RZZ44" s="1044"/>
      <c r="SAA44" s="1044"/>
      <c r="SAB44" s="1044"/>
      <c r="SAC44" s="1044"/>
      <c r="SAD44" s="1044"/>
      <c r="SAE44" s="1044"/>
      <c r="SAF44" s="1044"/>
      <c r="SAG44" s="1044"/>
      <c r="SAH44" s="1044"/>
      <c r="SAI44" s="1044"/>
      <c r="SAJ44" s="1044"/>
      <c r="SAK44" s="1044"/>
      <c r="SAL44" s="1044"/>
      <c r="SAM44" s="1044"/>
      <c r="SAN44" s="1044"/>
      <c r="SAO44" s="1044"/>
      <c r="SAP44" s="1044"/>
      <c r="SAQ44" s="1044"/>
      <c r="SAR44" s="1044"/>
      <c r="SAS44" s="1044"/>
      <c r="SAT44" s="1044"/>
      <c r="SAU44" s="1044"/>
      <c r="SAV44" s="1044"/>
      <c r="SAW44" s="1044"/>
      <c r="SAX44" s="1044"/>
      <c r="SAY44" s="1044"/>
      <c r="SAZ44" s="1044"/>
      <c r="SBA44" s="1044"/>
      <c r="SBB44" s="1044"/>
      <c r="SBC44" s="1044"/>
      <c r="SBD44" s="1044"/>
      <c r="SBE44" s="1044"/>
      <c r="SBF44" s="1044"/>
      <c r="SBG44" s="1044"/>
      <c r="SBH44" s="1044"/>
      <c r="SBI44" s="1044"/>
      <c r="SBJ44" s="1044"/>
      <c r="SBK44" s="1044"/>
      <c r="SBL44" s="1044"/>
      <c r="SBM44" s="1044"/>
      <c r="SBN44" s="1044"/>
      <c r="SBO44" s="1044"/>
      <c r="SBP44" s="1044"/>
      <c r="SBQ44" s="1044"/>
      <c r="SBR44" s="1044"/>
      <c r="SBS44" s="1044"/>
      <c r="SBT44" s="1044"/>
      <c r="SBU44" s="1044"/>
      <c r="SBV44" s="1044"/>
      <c r="SBW44" s="1044"/>
      <c r="SBX44" s="1044"/>
      <c r="SBY44" s="1044"/>
      <c r="SBZ44" s="1044"/>
      <c r="SCA44" s="1044"/>
      <c r="SCB44" s="1044"/>
      <c r="SCC44" s="1044"/>
      <c r="SCD44" s="1044"/>
      <c r="SCE44" s="1044"/>
      <c r="SCF44" s="1044"/>
      <c r="SCG44" s="1044"/>
      <c r="SCH44" s="1044"/>
      <c r="SCI44" s="1044"/>
      <c r="SCJ44" s="1044"/>
      <c r="SCK44" s="1044"/>
      <c r="SCL44" s="1044"/>
      <c r="SCM44" s="1044"/>
      <c r="SCN44" s="1044"/>
      <c r="SCO44" s="1044"/>
      <c r="SCP44" s="1044"/>
      <c r="SCQ44" s="1044"/>
      <c r="SCR44" s="1044"/>
      <c r="SCS44" s="1044"/>
      <c r="SCT44" s="1044"/>
      <c r="SCU44" s="1044"/>
      <c r="SCV44" s="1044"/>
      <c r="SCW44" s="1044"/>
      <c r="SCX44" s="1044"/>
      <c r="SCY44" s="1044"/>
      <c r="SCZ44" s="1044"/>
      <c r="SDA44" s="1044"/>
      <c r="SDB44" s="1044"/>
      <c r="SDC44" s="1044"/>
      <c r="SDD44" s="1044"/>
      <c r="SDE44" s="1044"/>
      <c r="SDF44" s="1044"/>
      <c r="SDG44" s="1044"/>
      <c r="SDH44" s="1044"/>
      <c r="SDI44" s="1044"/>
      <c r="SDJ44" s="1044"/>
      <c r="SDK44" s="1044"/>
      <c r="SDL44" s="1044"/>
      <c r="SDM44" s="1044"/>
      <c r="SDN44" s="1044"/>
      <c r="SDO44" s="1044"/>
      <c r="SDP44" s="1044"/>
      <c r="SDQ44" s="1044"/>
      <c r="SDR44" s="1044"/>
      <c r="SDS44" s="1044"/>
      <c r="SDT44" s="1044"/>
      <c r="SDU44" s="1044"/>
      <c r="SDV44" s="1044"/>
      <c r="SDW44" s="1044"/>
      <c r="SDX44" s="1044"/>
      <c r="SDY44" s="1044"/>
      <c r="SDZ44" s="1044"/>
      <c r="SEA44" s="1044"/>
      <c r="SEB44" s="1044"/>
      <c r="SEC44" s="1044"/>
      <c r="SED44" s="1044"/>
      <c r="SEE44" s="1044"/>
      <c r="SEF44" s="1044"/>
      <c r="SEG44" s="1044"/>
      <c r="SEH44" s="1044"/>
      <c r="SEI44" s="1044"/>
      <c r="SEJ44" s="1044"/>
      <c r="SEK44" s="1044"/>
      <c r="SEL44" s="1044"/>
      <c r="SEM44" s="1044"/>
      <c r="SEN44" s="1044"/>
      <c r="SEO44" s="1044"/>
      <c r="SEP44" s="1044"/>
      <c r="SEQ44" s="1044"/>
      <c r="SER44" s="1044"/>
      <c r="SES44" s="1044"/>
      <c r="SET44" s="1044"/>
      <c r="SEU44" s="1044"/>
      <c r="SEV44" s="1044"/>
      <c r="SEW44" s="1044"/>
      <c r="SEX44" s="1044"/>
      <c r="SEY44" s="1044"/>
      <c r="SEZ44" s="1044"/>
      <c r="SFA44" s="1044"/>
      <c r="SFB44" s="1044"/>
      <c r="SFC44" s="1044"/>
      <c r="SFD44" s="1044"/>
      <c r="SFE44" s="1044"/>
      <c r="SFF44" s="1044"/>
      <c r="SFG44" s="1044"/>
      <c r="SFH44" s="1044"/>
      <c r="SFI44" s="1044"/>
      <c r="SFJ44" s="1044"/>
      <c r="SFK44" s="1044"/>
      <c r="SFL44" s="1044"/>
      <c r="SFM44" s="1044"/>
      <c r="SFN44" s="1044"/>
      <c r="SFO44" s="1044"/>
      <c r="SFP44" s="1044"/>
      <c r="SFQ44" s="1044"/>
      <c r="SFR44" s="1044"/>
      <c r="SFS44" s="1044"/>
      <c r="SFT44" s="1044"/>
      <c r="SFU44" s="1044"/>
      <c r="SFV44" s="1044"/>
      <c r="SFW44" s="1044"/>
      <c r="SFX44" s="1044"/>
      <c r="SFY44" s="1044"/>
      <c r="SFZ44" s="1044"/>
      <c r="SGA44" s="1044"/>
      <c r="SGB44" s="1044"/>
      <c r="SGC44" s="1044"/>
      <c r="SGD44" s="1044"/>
      <c r="SGE44" s="1044"/>
      <c r="SGF44" s="1044"/>
      <c r="SGG44" s="1044"/>
      <c r="SGH44" s="1044"/>
      <c r="SGI44" s="1044"/>
      <c r="SGJ44" s="1044"/>
      <c r="SGK44" s="1044"/>
      <c r="SGL44" s="1044"/>
      <c r="SGM44" s="1044"/>
      <c r="SGN44" s="1044"/>
      <c r="SGO44" s="1044"/>
      <c r="SGP44" s="1044"/>
      <c r="SGQ44" s="1044"/>
      <c r="SGR44" s="1044"/>
      <c r="SGS44" s="1044"/>
      <c r="SGT44" s="1044"/>
      <c r="SGU44" s="1044"/>
      <c r="SGV44" s="1044"/>
      <c r="SGW44" s="1044"/>
      <c r="SGX44" s="1044"/>
      <c r="SGY44" s="1044"/>
      <c r="SGZ44" s="1044"/>
      <c r="SHA44" s="1044"/>
      <c r="SHB44" s="1044"/>
      <c r="SHC44" s="1044"/>
      <c r="SHD44" s="1044"/>
      <c r="SHE44" s="1044"/>
      <c r="SHF44" s="1044"/>
      <c r="SHG44" s="1044"/>
      <c r="SHH44" s="1044"/>
      <c r="SHI44" s="1044"/>
      <c r="SHJ44" s="1044"/>
      <c r="SHK44" s="1044"/>
      <c r="SHL44" s="1044"/>
      <c r="SHM44" s="1044"/>
      <c r="SHN44" s="1044"/>
      <c r="SHO44" s="1044"/>
      <c r="SHP44" s="1044"/>
      <c r="SHQ44" s="1044"/>
      <c r="SHR44" s="1044"/>
      <c r="SHS44" s="1044"/>
      <c r="SHT44" s="1044"/>
      <c r="SHU44" s="1044"/>
      <c r="SHV44" s="1044"/>
      <c r="SHW44" s="1044"/>
      <c r="SHX44" s="1044"/>
      <c r="SHY44" s="1044"/>
      <c r="SHZ44" s="1044"/>
      <c r="SIA44" s="1044"/>
      <c r="SIB44" s="1044"/>
      <c r="SIC44" s="1044"/>
      <c r="SID44" s="1044"/>
      <c r="SIE44" s="1044"/>
      <c r="SIF44" s="1044"/>
      <c r="SIG44" s="1044"/>
      <c r="SIH44" s="1044"/>
      <c r="SII44" s="1044"/>
      <c r="SIJ44" s="1044"/>
      <c r="SIK44" s="1044"/>
      <c r="SIL44" s="1044"/>
      <c r="SIM44" s="1044"/>
      <c r="SIN44" s="1044"/>
      <c r="SIO44" s="1044"/>
      <c r="SIP44" s="1044"/>
      <c r="SIQ44" s="1044"/>
      <c r="SIR44" s="1044"/>
      <c r="SIS44" s="1044"/>
      <c r="SIT44" s="1044"/>
      <c r="SIU44" s="1044"/>
      <c r="SIV44" s="1044"/>
      <c r="SIW44" s="1044"/>
      <c r="SIX44" s="1044"/>
      <c r="SIY44" s="1044"/>
      <c r="SIZ44" s="1044"/>
      <c r="SJA44" s="1044"/>
      <c r="SJB44" s="1044"/>
      <c r="SJC44" s="1044"/>
      <c r="SJD44" s="1044"/>
      <c r="SJE44" s="1044"/>
      <c r="SJF44" s="1044"/>
      <c r="SJG44" s="1044"/>
      <c r="SJH44" s="1044"/>
      <c r="SJI44" s="1044"/>
      <c r="SJJ44" s="1044"/>
      <c r="SJK44" s="1044"/>
      <c r="SJL44" s="1044"/>
      <c r="SJM44" s="1044"/>
      <c r="SJN44" s="1044"/>
      <c r="SJO44" s="1044"/>
      <c r="SJP44" s="1044"/>
      <c r="SJQ44" s="1044"/>
      <c r="SJR44" s="1044"/>
      <c r="SJS44" s="1044"/>
      <c r="SJT44" s="1044"/>
      <c r="SJU44" s="1044"/>
      <c r="SJV44" s="1044"/>
      <c r="SJW44" s="1044"/>
      <c r="SJX44" s="1044"/>
      <c r="SJY44" s="1044"/>
      <c r="SJZ44" s="1044"/>
      <c r="SKA44" s="1044"/>
      <c r="SKB44" s="1044"/>
      <c r="SKC44" s="1044"/>
      <c r="SKD44" s="1044"/>
      <c r="SKE44" s="1044"/>
      <c r="SKF44" s="1044"/>
      <c r="SKG44" s="1044"/>
      <c r="SKH44" s="1044"/>
      <c r="SKI44" s="1044"/>
      <c r="SKJ44" s="1044"/>
      <c r="SKK44" s="1044"/>
      <c r="SKL44" s="1044"/>
      <c r="SKM44" s="1044"/>
      <c r="SKN44" s="1044"/>
      <c r="SKO44" s="1044"/>
      <c r="SKP44" s="1044"/>
      <c r="SKQ44" s="1044"/>
      <c r="SKR44" s="1044"/>
      <c r="SKS44" s="1044"/>
      <c r="SKT44" s="1044"/>
      <c r="SKU44" s="1044"/>
      <c r="SKV44" s="1044"/>
      <c r="SKW44" s="1044"/>
      <c r="SKX44" s="1044"/>
      <c r="SKY44" s="1044"/>
      <c r="SKZ44" s="1044"/>
      <c r="SLA44" s="1044"/>
      <c r="SLB44" s="1044"/>
      <c r="SLC44" s="1044"/>
      <c r="SLD44" s="1044"/>
      <c r="SLE44" s="1044"/>
      <c r="SLF44" s="1044"/>
      <c r="SLG44" s="1044"/>
      <c r="SLH44" s="1044"/>
      <c r="SLI44" s="1044"/>
      <c r="SLJ44" s="1044"/>
      <c r="SLK44" s="1044"/>
      <c r="SLL44" s="1044"/>
      <c r="SLM44" s="1044"/>
      <c r="SLN44" s="1044"/>
      <c r="SLO44" s="1044"/>
      <c r="SLP44" s="1044"/>
      <c r="SLQ44" s="1044"/>
      <c r="SLR44" s="1044"/>
      <c r="SLS44" s="1044"/>
      <c r="SLT44" s="1044"/>
      <c r="SLU44" s="1044"/>
      <c r="SLV44" s="1044"/>
      <c r="SLW44" s="1044"/>
      <c r="SLX44" s="1044"/>
      <c r="SLY44" s="1044"/>
      <c r="SLZ44" s="1044"/>
      <c r="SMA44" s="1044"/>
      <c r="SMB44" s="1044"/>
      <c r="SMC44" s="1044"/>
      <c r="SMD44" s="1044"/>
      <c r="SME44" s="1044"/>
      <c r="SMF44" s="1044"/>
      <c r="SMG44" s="1044"/>
      <c r="SMH44" s="1044"/>
      <c r="SMI44" s="1044"/>
      <c r="SMJ44" s="1044"/>
      <c r="SMK44" s="1044"/>
      <c r="SML44" s="1044"/>
      <c r="SMM44" s="1044"/>
      <c r="SMN44" s="1044"/>
      <c r="SMO44" s="1044"/>
      <c r="SMP44" s="1044"/>
      <c r="SMQ44" s="1044"/>
      <c r="SMR44" s="1044"/>
      <c r="SMS44" s="1044"/>
      <c r="SMT44" s="1044"/>
      <c r="SMU44" s="1044"/>
      <c r="SMV44" s="1044"/>
      <c r="SMW44" s="1044"/>
      <c r="SMX44" s="1044"/>
      <c r="SMY44" s="1044"/>
      <c r="SMZ44" s="1044"/>
      <c r="SNA44" s="1044"/>
      <c r="SNB44" s="1044"/>
      <c r="SNC44" s="1044"/>
      <c r="SND44" s="1044"/>
      <c r="SNE44" s="1044"/>
      <c r="SNF44" s="1044"/>
      <c r="SNG44" s="1044"/>
      <c r="SNH44" s="1044"/>
      <c r="SNI44" s="1044"/>
      <c r="SNJ44" s="1044"/>
      <c r="SNK44" s="1044"/>
      <c r="SNL44" s="1044"/>
      <c r="SNM44" s="1044"/>
      <c r="SNN44" s="1044"/>
      <c r="SNO44" s="1044"/>
      <c r="SNP44" s="1044"/>
      <c r="SNQ44" s="1044"/>
      <c r="SNR44" s="1044"/>
      <c r="SNS44" s="1044"/>
      <c r="SNT44" s="1044"/>
      <c r="SNU44" s="1044"/>
      <c r="SNV44" s="1044"/>
      <c r="SNW44" s="1044"/>
      <c r="SNX44" s="1044"/>
      <c r="SNY44" s="1044"/>
      <c r="SNZ44" s="1044"/>
      <c r="SOA44" s="1044"/>
      <c r="SOB44" s="1044"/>
      <c r="SOC44" s="1044"/>
      <c r="SOD44" s="1044"/>
      <c r="SOE44" s="1044"/>
      <c r="SOF44" s="1044"/>
      <c r="SOG44" s="1044"/>
      <c r="SOH44" s="1044"/>
      <c r="SOI44" s="1044"/>
      <c r="SOJ44" s="1044"/>
      <c r="SOK44" s="1044"/>
      <c r="SOL44" s="1044"/>
      <c r="SOM44" s="1044"/>
      <c r="SON44" s="1044"/>
      <c r="SOO44" s="1044"/>
      <c r="SOP44" s="1044"/>
      <c r="SOQ44" s="1044"/>
      <c r="SOR44" s="1044"/>
      <c r="SOS44" s="1044"/>
      <c r="SOT44" s="1044"/>
      <c r="SOU44" s="1044"/>
      <c r="SOV44" s="1044"/>
      <c r="SOW44" s="1044"/>
      <c r="SOX44" s="1044"/>
      <c r="SOY44" s="1044"/>
      <c r="SOZ44" s="1044"/>
      <c r="SPA44" s="1044"/>
      <c r="SPB44" s="1044"/>
      <c r="SPC44" s="1044"/>
      <c r="SPD44" s="1044"/>
      <c r="SPE44" s="1044"/>
      <c r="SPF44" s="1044"/>
      <c r="SPG44" s="1044"/>
      <c r="SPH44" s="1044"/>
      <c r="SPI44" s="1044"/>
      <c r="SPJ44" s="1044"/>
      <c r="SPK44" s="1044"/>
      <c r="SPL44" s="1044"/>
      <c r="SPM44" s="1044"/>
      <c r="SPN44" s="1044"/>
      <c r="SPO44" s="1044"/>
      <c r="SPP44" s="1044"/>
      <c r="SPQ44" s="1044"/>
      <c r="SPR44" s="1044"/>
      <c r="SPS44" s="1044"/>
      <c r="SPT44" s="1044"/>
      <c r="SPU44" s="1044"/>
      <c r="SPV44" s="1044"/>
      <c r="SPW44" s="1044"/>
      <c r="SPX44" s="1044"/>
      <c r="SPY44" s="1044"/>
      <c r="SPZ44" s="1044"/>
      <c r="SQA44" s="1044"/>
      <c r="SQB44" s="1044"/>
      <c r="SQC44" s="1044"/>
      <c r="SQD44" s="1044"/>
      <c r="SQE44" s="1044"/>
      <c r="SQF44" s="1044"/>
      <c r="SQG44" s="1044"/>
      <c r="SQH44" s="1044"/>
      <c r="SQI44" s="1044"/>
      <c r="SQJ44" s="1044"/>
      <c r="SQK44" s="1044"/>
      <c r="SQL44" s="1044"/>
      <c r="SQM44" s="1044"/>
      <c r="SQN44" s="1044"/>
      <c r="SQO44" s="1044"/>
      <c r="SQP44" s="1044"/>
      <c r="SQQ44" s="1044"/>
      <c r="SQR44" s="1044"/>
      <c r="SQS44" s="1044"/>
      <c r="SQT44" s="1044"/>
      <c r="SQU44" s="1044"/>
      <c r="SQV44" s="1044"/>
      <c r="SQW44" s="1044"/>
      <c r="SQX44" s="1044"/>
      <c r="SQY44" s="1044"/>
      <c r="SQZ44" s="1044"/>
      <c r="SRA44" s="1044"/>
      <c r="SRB44" s="1044"/>
      <c r="SRC44" s="1044"/>
      <c r="SRD44" s="1044"/>
      <c r="SRE44" s="1044"/>
      <c r="SRF44" s="1044"/>
      <c r="SRG44" s="1044"/>
      <c r="SRH44" s="1044"/>
      <c r="SRI44" s="1044"/>
      <c r="SRJ44" s="1044"/>
      <c r="SRK44" s="1044"/>
      <c r="SRL44" s="1044"/>
      <c r="SRM44" s="1044"/>
      <c r="SRN44" s="1044"/>
      <c r="SRO44" s="1044"/>
      <c r="SRP44" s="1044"/>
      <c r="SRQ44" s="1044"/>
      <c r="SRR44" s="1044"/>
      <c r="SRS44" s="1044"/>
      <c r="SRT44" s="1044"/>
      <c r="SRU44" s="1044"/>
      <c r="SRV44" s="1044"/>
      <c r="SRW44" s="1044"/>
      <c r="SRX44" s="1044"/>
      <c r="SRY44" s="1044"/>
      <c r="SRZ44" s="1044"/>
      <c r="SSA44" s="1044"/>
      <c r="SSB44" s="1044"/>
      <c r="SSC44" s="1044"/>
      <c r="SSD44" s="1044"/>
      <c r="SSE44" s="1044"/>
      <c r="SSF44" s="1044"/>
      <c r="SSG44" s="1044"/>
      <c r="SSH44" s="1044"/>
      <c r="SSI44" s="1044"/>
      <c r="SSJ44" s="1044"/>
      <c r="SSK44" s="1044"/>
      <c r="SSL44" s="1044"/>
      <c r="SSM44" s="1044"/>
      <c r="SSN44" s="1044"/>
      <c r="SSO44" s="1044"/>
      <c r="SSP44" s="1044"/>
      <c r="SSQ44" s="1044"/>
      <c r="SSR44" s="1044"/>
      <c r="SSS44" s="1044"/>
      <c r="SST44" s="1044"/>
      <c r="SSU44" s="1044"/>
      <c r="SSV44" s="1044"/>
      <c r="SSW44" s="1044"/>
      <c r="SSX44" s="1044"/>
      <c r="SSY44" s="1044"/>
      <c r="SSZ44" s="1044"/>
      <c r="STA44" s="1044"/>
      <c r="STB44" s="1044"/>
      <c r="STC44" s="1044"/>
      <c r="STD44" s="1044"/>
      <c r="STE44" s="1044"/>
      <c r="STF44" s="1044"/>
      <c r="STG44" s="1044"/>
      <c r="STH44" s="1044"/>
      <c r="STI44" s="1044"/>
      <c r="STJ44" s="1044"/>
      <c r="STK44" s="1044"/>
      <c r="STL44" s="1044"/>
      <c r="STM44" s="1044"/>
      <c r="STN44" s="1044"/>
      <c r="STO44" s="1044"/>
      <c r="STP44" s="1044"/>
      <c r="STQ44" s="1044"/>
      <c r="STR44" s="1044"/>
      <c r="STS44" s="1044"/>
      <c r="STT44" s="1044"/>
      <c r="STU44" s="1044"/>
      <c r="STV44" s="1044"/>
      <c r="STW44" s="1044"/>
      <c r="STX44" s="1044"/>
      <c r="STY44" s="1044"/>
      <c r="STZ44" s="1044"/>
      <c r="SUA44" s="1044"/>
      <c r="SUB44" s="1044"/>
      <c r="SUC44" s="1044"/>
      <c r="SUD44" s="1044"/>
      <c r="SUE44" s="1044"/>
      <c r="SUF44" s="1044"/>
      <c r="SUG44" s="1044"/>
      <c r="SUH44" s="1044"/>
      <c r="SUI44" s="1044"/>
      <c r="SUJ44" s="1044"/>
      <c r="SUK44" s="1044"/>
      <c r="SUL44" s="1044"/>
      <c r="SUM44" s="1044"/>
      <c r="SUN44" s="1044"/>
      <c r="SUO44" s="1044"/>
      <c r="SUP44" s="1044"/>
      <c r="SUQ44" s="1044"/>
      <c r="SUR44" s="1044"/>
      <c r="SUS44" s="1044"/>
      <c r="SUT44" s="1044"/>
      <c r="SUU44" s="1044"/>
      <c r="SUV44" s="1044"/>
      <c r="SUW44" s="1044"/>
      <c r="SUX44" s="1044"/>
      <c r="SUY44" s="1044"/>
      <c r="SUZ44" s="1044"/>
      <c r="SVA44" s="1044"/>
      <c r="SVB44" s="1044"/>
      <c r="SVC44" s="1044"/>
      <c r="SVD44" s="1044"/>
      <c r="SVE44" s="1044"/>
      <c r="SVF44" s="1044"/>
      <c r="SVG44" s="1044"/>
      <c r="SVH44" s="1044"/>
      <c r="SVI44" s="1044"/>
      <c r="SVJ44" s="1044"/>
      <c r="SVK44" s="1044"/>
      <c r="SVL44" s="1044"/>
      <c r="SVM44" s="1044"/>
      <c r="SVN44" s="1044"/>
      <c r="SVO44" s="1044"/>
      <c r="SVP44" s="1044"/>
      <c r="SVQ44" s="1044"/>
      <c r="SVR44" s="1044"/>
      <c r="SVS44" s="1044"/>
      <c r="SVT44" s="1044"/>
      <c r="SVU44" s="1044"/>
      <c r="SVV44" s="1044"/>
      <c r="SVW44" s="1044"/>
      <c r="SVX44" s="1044"/>
      <c r="SVY44" s="1044"/>
      <c r="SVZ44" s="1044"/>
      <c r="SWA44" s="1044"/>
      <c r="SWB44" s="1044"/>
      <c r="SWC44" s="1044"/>
      <c r="SWD44" s="1044"/>
      <c r="SWE44" s="1044"/>
      <c r="SWF44" s="1044"/>
      <c r="SWG44" s="1044"/>
      <c r="SWH44" s="1044"/>
      <c r="SWI44" s="1044"/>
      <c r="SWJ44" s="1044"/>
      <c r="SWK44" s="1044"/>
      <c r="SWL44" s="1044"/>
      <c r="SWM44" s="1044"/>
      <c r="SWN44" s="1044"/>
      <c r="SWO44" s="1044"/>
      <c r="SWP44" s="1044"/>
      <c r="SWQ44" s="1044"/>
      <c r="SWR44" s="1044"/>
      <c r="SWS44" s="1044"/>
      <c r="SWT44" s="1044"/>
      <c r="SWU44" s="1044"/>
      <c r="SWV44" s="1044"/>
      <c r="SWW44" s="1044"/>
      <c r="SWX44" s="1044"/>
      <c r="SWY44" s="1044"/>
      <c r="SWZ44" s="1044"/>
      <c r="SXA44" s="1044"/>
      <c r="SXB44" s="1044"/>
      <c r="SXC44" s="1044"/>
      <c r="SXD44" s="1044"/>
      <c r="SXE44" s="1044"/>
      <c r="SXF44" s="1044"/>
      <c r="SXG44" s="1044"/>
      <c r="SXH44" s="1044"/>
      <c r="SXI44" s="1044"/>
      <c r="SXJ44" s="1044"/>
      <c r="SXK44" s="1044"/>
      <c r="SXL44" s="1044"/>
      <c r="SXM44" s="1044"/>
      <c r="SXN44" s="1044"/>
      <c r="SXO44" s="1044"/>
      <c r="SXP44" s="1044"/>
      <c r="SXQ44" s="1044"/>
      <c r="SXR44" s="1044"/>
      <c r="SXS44" s="1044"/>
      <c r="SXT44" s="1044"/>
      <c r="SXU44" s="1044"/>
      <c r="SXV44" s="1044"/>
      <c r="SXW44" s="1044"/>
      <c r="SXX44" s="1044"/>
      <c r="SXY44" s="1044"/>
      <c r="SXZ44" s="1044"/>
      <c r="SYA44" s="1044"/>
      <c r="SYB44" s="1044"/>
      <c r="SYC44" s="1044"/>
      <c r="SYD44" s="1044"/>
      <c r="SYE44" s="1044"/>
      <c r="SYF44" s="1044"/>
      <c r="SYG44" s="1044"/>
      <c r="SYH44" s="1044"/>
      <c r="SYI44" s="1044"/>
      <c r="SYJ44" s="1044"/>
      <c r="SYK44" s="1044"/>
      <c r="SYL44" s="1044"/>
      <c r="SYM44" s="1044"/>
      <c r="SYN44" s="1044"/>
      <c r="SYO44" s="1044"/>
      <c r="SYP44" s="1044"/>
      <c r="SYQ44" s="1044"/>
      <c r="SYR44" s="1044"/>
      <c r="SYS44" s="1044"/>
      <c r="SYT44" s="1044"/>
      <c r="SYU44" s="1044"/>
      <c r="SYV44" s="1044"/>
      <c r="SYW44" s="1044"/>
      <c r="SYX44" s="1044"/>
      <c r="SYY44" s="1044"/>
      <c r="SYZ44" s="1044"/>
      <c r="SZA44" s="1044"/>
      <c r="SZB44" s="1044"/>
      <c r="SZC44" s="1044"/>
      <c r="SZD44" s="1044"/>
      <c r="SZE44" s="1044"/>
      <c r="SZF44" s="1044"/>
      <c r="SZG44" s="1044"/>
      <c r="SZH44" s="1044"/>
      <c r="SZI44" s="1044"/>
      <c r="SZJ44" s="1044"/>
      <c r="SZK44" s="1044"/>
      <c r="SZL44" s="1044"/>
      <c r="SZM44" s="1044"/>
      <c r="SZN44" s="1044"/>
      <c r="SZO44" s="1044"/>
      <c r="SZP44" s="1044"/>
      <c r="SZQ44" s="1044"/>
      <c r="SZR44" s="1044"/>
      <c r="SZS44" s="1044"/>
      <c r="SZT44" s="1044"/>
      <c r="SZU44" s="1044"/>
      <c r="SZV44" s="1044"/>
      <c r="SZW44" s="1044"/>
      <c r="SZX44" s="1044"/>
      <c r="SZY44" s="1044"/>
      <c r="SZZ44" s="1044"/>
      <c r="TAA44" s="1044"/>
      <c r="TAB44" s="1044"/>
      <c r="TAC44" s="1044"/>
      <c r="TAD44" s="1044"/>
      <c r="TAE44" s="1044"/>
      <c r="TAF44" s="1044"/>
      <c r="TAG44" s="1044"/>
      <c r="TAH44" s="1044"/>
      <c r="TAI44" s="1044"/>
      <c r="TAJ44" s="1044"/>
      <c r="TAK44" s="1044"/>
      <c r="TAL44" s="1044"/>
      <c r="TAM44" s="1044"/>
      <c r="TAN44" s="1044"/>
      <c r="TAO44" s="1044"/>
      <c r="TAP44" s="1044"/>
      <c r="TAQ44" s="1044"/>
      <c r="TAR44" s="1044"/>
      <c r="TAS44" s="1044"/>
      <c r="TAT44" s="1044"/>
      <c r="TAU44" s="1044"/>
      <c r="TAV44" s="1044"/>
      <c r="TAW44" s="1044"/>
      <c r="TAX44" s="1044"/>
      <c r="TAY44" s="1044"/>
      <c r="TAZ44" s="1044"/>
      <c r="TBA44" s="1044"/>
      <c r="TBB44" s="1044"/>
      <c r="TBC44" s="1044"/>
      <c r="TBD44" s="1044"/>
      <c r="TBE44" s="1044"/>
      <c r="TBF44" s="1044"/>
      <c r="TBG44" s="1044"/>
      <c r="TBH44" s="1044"/>
      <c r="TBI44" s="1044"/>
      <c r="TBJ44" s="1044"/>
      <c r="TBK44" s="1044"/>
      <c r="TBL44" s="1044"/>
      <c r="TBM44" s="1044"/>
      <c r="TBN44" s="1044"/>
      <c r="TBO44" s="1044"/>
      <c r="TBP44" s="1044"/>
      <c r="TBQ44" s="1044"/>
      <c r="TBR44" s="1044"/>
      <c r="TBS44" s="1044"/>
      <c r="TBT44" s="1044"/>
      <c r="TBU44" s="1044"/>
      <c r="TBV44" s="1044"/>
      <c r="TBW44" s="1044"/>
      <c r="TBX44" s="1044"/>
      <c r="TBY44" s="1044"/>
      <c r="TBZ44" s="1044"/>
      <c r="TCA44" s="1044"/>
      <c r="TCB44" s="1044"/>
      <c r="TCC44" s="1044"/>
      <c r="TCD44" s="1044"/>
      <c r="TCE44" s="1044"/>
      <c r="TCF44" s="1044"/>
      <c r="TCG44" s="1044"/>
      <c r="TCH44" s="1044"/>
      <c r="TCI44" s="1044"/>
      <c r="TCJ44" s="1044"/>
      <c r="TCK44" s="1044"/>
      <c r="TCL44" s="1044"/>
      <c r="TCM44" s="1044"/>
      <c r="TCN44" s="1044"/>
      <c r="TCO44" s="1044"/>
      <c r="TCP44" s="1044"/>
      <c r="TCQ44" s="1044"/>
      <c r="TCR44" s="1044"/>
      <c r="TCS44" s="1044"/>
      <c r="TCT44" s="1044"/>
      <c r="TCU44" s="1044"/>
      <c r="TCV44" s="1044"/>
      <c r="TCW44" s="1044"/>
      <c r="TCX44" s="1044"/>
      <c r="TCY44" s="1044"/>
      <c r="TCZ44" s="1044"/>
      <c r="TDA44" s="1044"/>
      <c r="TDB44" s="1044"/>
      <c r="TDC44" s="1044"/>
      <c r="TDD44" s="1044"/>
      <c r="TDE44" s="1044"/>
      <c r="TDF44" s="1044"/>
      <c r="TDG44" s="1044"/>
      <c r="TDH44" s="1044"/>
      <c r="TDI44" s="1044"/>
      <c r="TDJ44" s="1044"/>
      <c r="TDK44" s="1044"/>
      <c r="TDL44" s="1044"/>
      <c r="TDM44" s="1044"/>
      <c r="TDN44" s="1044"/>
      <c r="TDO44" s="1044"/>
      <c r="TDP44" s="1044"/>
      <c r="TDQ44" s="1044"/>
      <c r="TDR44" s="1044"/>
      <c r="TDS44" s="1044"/>
      <c r="TDT44" s="1044"/>
      <c r="TDU44" s="1044"/>
      <c r="TDV44" s="1044"/>
      <c r="TDW44" s="1044"/>
      <c r="TDX44" s="1044"/>
      <c r="TDY44" s="1044"/>
      <c r="TDZ44" s="1044"/>
      <c r="TEA44" s="1044"/>
      <c r="TEB44" s="1044"/>
      <c r="TEC44" s="1044"/>
      <c r="TED44" s="1044"/>
      <c r="TEE44" s="1044"/>
      <c r="TEF44" s="1044"/>
      <c r="TEG44" s="1044"/>
      <c r="TEH44" s="1044"/>
      <c r="TEI44" s="1044"/>
      <c r="TEJ44" s="1044"/>
      <c r="TEK44" s="1044"/>
      <c r="TEL44" s="1044"/>
      <c r="TEM44" s="1044"/>
      <c r="TEN44" s="1044"/>
      <c r="TEO44" s="1044"/>
      <c r="TEP44" s="1044"/>
      <c r="TEQ44" s="1044"/>
      <c r="TER44" s="1044"/>
      <c r="TES44" s="1044"/>
      <c r="TET44" s="1044"/>
      <c r="TEU44" s="1044"/>
      <c r="TEV44" s="1044"/>
      <c r="TEW44" s="1044"/>
      <c r="TEX44" s="1044"/>
      <c r="TEY44" s="1044"/>
      <c r="TEZ44" s="1044"/>
      <c r="TFA44" s="1044"/>
      <c r="TFB44" s="1044"/>
      <c r="TFC44" s="1044"/>
      <c r="TFD44" s="1044"/>
      <c r="TFE44" s="1044"/>
      <c r="TFF44" s="1044"/>
      <c r="TFG44" s="1044"/>
      <c r="TFH44" s="1044"/>
      <c r="TFI44" s="1044"/>
      <c r="TFJ44" s="1044"/>
      <c r="TFK44" s="1044"/>
      <c r="TFL44" s="1044"/>
      <c r="TFM44" s="1044"/>
      <c r="TFN44" s="1044"/>
      <c r="TFO44" s="1044"/>
      <c r="TFP44" s="1044"/>
      <c r="TFQ44" s="1044"/>
      <c r="TFR44" s="1044"/>
      <c r="TFS44" s="1044"/>
      <c r="TFT44" s="1044"/>
      <c r="TFU44" s="1044"/>
      <c r="TFV44" s="1044"/>
      <c r="TFW44" s="1044"/>
      <c r="TFX44" s="1044"/>
      <c r="TFY44" s="1044"/>
      <c r="TFZ44" s="1044"/>
      <c r="TGA44" s="1044"/>
      <c r="TGB44" s="1044"/>
      <c r="TGC44" s="1044"/>
      <c r="TGD44" s="1044"/>
      <c r="TGE44" s="1044"/>
      <c r="TGF44" s="1044"/>
      <c r="TGG44" s="1044"/>
      <c r="TGH44" s="1044"/>
      <c r="TGI44" s="1044"/>
      <c r="TGJ44" s="1044"/>
      <c r="TGK44" s="1044"/>
      <c r="TGL44" s="1044"/>
      <c r="TGM44" s="1044"/>
      <c r="TGN44" s="1044"/>
      <c r="TGO44" s="1044"/>
      <c r="TGP44" s="1044"/>
      <c r="TGQ44" s="1044"/>
      <c r="TGR44" s="1044"/>
      <c r="TGS44" s="1044"/>
      <c r="TGT44" s="1044"/>
      <c r="TGU44" s="1044"/>
      <c r="TGV44" s="1044"/>
      <c r="TGW44" s="1044"/>
      <c r="TGX44" s="1044"/>
      <c r="TGY44" s="1044"/>
      <c r="TGZ44" s="1044"/>
      <c r="THA44" s="1044"/>
      <c r="THB44" s="1044"/>
      <c r="THC44" s="1044"/>
      <c r="THD44" s="1044"/>
      <c r="THE44" s="1044"/>
      <c r="THF44" s="1044"/>
      <c r="THG44" s="1044"/>
      <c r="THH44" s="1044"/>
      <c r="THI44" s="1044"/>
      <c r="THJ44" s="1044"/>
      <c r="THK44" s="1044"/>
      <c r="THL44" s="1044"/>
      <c r="THM44" s="1044"/>
      <c r="THN44" s="1044"/>
      <c r="THO44" s="1044"/>
      <c r="THP44" s="1044"/>
      <c r="THQ44" s="1044"/>
      <c r="THR44" s="1044"/>
      <c r="THS44" s="1044"/>
      <c r="THT44" s="1044"/>
      <c r="THU44" s="1044"/>
      <c r="THV44" s="1044"/>
      <c r="THW44" s="1044"/>
      <c r="THX44" s="1044"/>
      <c r="THY44" s="1044"/>
      <c r="THZ44" s="1044"/>
      <c r="TIA44" s="1044"/>
      <c r="TIB44" s="1044"/>
      <c r="TIC44" s="1044"/>
      <c r="TID44" s="1044"/>
      <c r="TIE44" s="1044"/>
      <c r="TIF44" s="1044"/>
      <c r="TIG44" s="1044"/>
      <c r="TIH44" s="1044"/>
      <c r="TII44" s="1044"/>
      <c r="TIJ44" s="1044"/>
      <c r="TIK44" s="1044"/>
      <c r="TIL44" s="1044"/>
      <c r="TIM44" s="1044"/>
      <c r="TIN44" s="1044"/>
      <c r="TIO44" s="1044"/>
      <c r="TIP44" s="1044"/>
      <c r="TIQ44" s="1044"/>
      <c r="TIR44" s="1044"/>
      <c r="TIS44" s="1044"/>
      <c r="TIT44" s="1044"/>
      <c r="TIU44" s="1044"/>
      <c r="TIV44" s="1044"/>
      <c r="TIW44" s="1044"/>
      <c r="TIX44" s="1044"/>
      <c r="TIY44" s="1044"/>
      <c r="TIZ44" s="1044"/>
      <c r="TJA44" s="1044"/>
      <c r="TJB44" s="1044"/>
      <c r="TJC44" s="1044"/>
      <c r="TJD44" s="1044"/>
      <c r="TJE44" s="1044"/>
      <c r="TJF44" s="1044"/>
      <c r="TJG44" s="1044"/>
      <c r="TJH44" s="1044"/>
      <c r="TJI44" s="1044"/>
      <c r="TJJ44" s="1044"/>
      <c r="TJK44" s="1044"/>
      <c r="TJL44" s="1044"/>
      <c r="TJM44" s="1044"/>
      <c r="TJN44" s="1044"/>
      <c r="TJO44" s="1044"/>
      <c r="TJP44" s="1044"/>
      <c r="TJQ44" s="1044"/>
      <c r="TJR44" s="1044"/>
      <c r="TJS44" s="1044"/>
      <c r="TJT44" s="1044"/>
      <c r="TJU44" s="1044"/>
      <c r="TJV44" s="1044"/>
      <c r="TJW44" s="1044"/>
      <c r="TJX44" s="1044"/>
      <c r="TJY44" s="1044"/>
      <c r="TJZ44" s="1044"/>
      <c r="TKA44" s="1044"/>
      <c r="TKB44" s="1044"/>
      <c r="TKC44" s="1044"/>
      <c r="TKD44" s="1044"/>
      <c r="TKE44" s="1044"/>
      <c r="TKF44" s="1044"/>
      <c r="TKG44" s="1044"/>
      <c r="TKH44" s="1044"/>
      <c r="TKI44" s="1044"/>
      <c r="TKJ44" s="1044"/>
      <c r="TKK44" s="1044"/>
      <c r="TKL44" s="1044"/>
      <c r="TKM44" s="1044"/>
      <c r="TKN44" s="1044"/>
      <c r="TKO44" s="1044"/>
      <c r="TKP44" s="1044"/>
      <c r="TKQ44" s="1044"/>
      <c r="TKR44" s="1044"/>
      <c r="TKS44" s="1044"/>
      <c r="TKT44" s="1044"/>
      <c r="TKU44" s="1044"/>
      <c r="TKV44" s="1044"/>
      <c r="TKW44" s="1044"/>
      <c r="TKX44" s="1044"/>
      <c r="TKY44" s="1044"/>
      <c r="TKZ44" s="1044"/>
      <c r="TLA44" s="1044"/>
      <c r="TLB44" s="1044"/>
      <c r="TLC44" s="1044"/>
      <c r="TLD44" s="1044"/>
      <c r="TLE44" s="1044"/>
      <c r="TLF44" s="1044"/>
      <c r="TLG44" s="1044"/>
      <c r="TLH44" s="1044"/>
      <c r="TLI44" s="1044"/>
      <c r="TLJ44" s="1044"/>
      <c r="TLK44" s="1044"/>
      <c r="TLL44" s="1044"/>
      <c r="TLM44" s="1044"/>
      <c r="TLN44" s="1044"/>
      <c r="TLO44" s="1044"/>
      <c r="TLP44" s="1044"/>
      <c r="TLQ44" s="1044"/>
      <c r="TLR44" s="1044"/>
      <c r="TLS44" s="1044"/>
      <c r="TLT44" s="1044"/>
      <c r="TLU44" s="1044"/>
      <c r="TLV44" s="1044"/>
      <c r="TLW44" s="1044"/>
      <c r="TLX44" s="1044"/>
      <c r="TLY44" s="1044"/>
      <c r="TLZ44" s="1044"/>
      <c r="TMA44" s="1044"/>
      <c r="TMB44" s="1044"/>
      <c r="TMC44" s="1044"/>
      <c r="TMD44" s="1044"/>
      <c r="TME44" s="1044"/>
      <c r="TMF44" s="1044"/>
      <c r="TMG44" s="1044"/>
      <c r="TMH44" s="1044"/>
      <c r="TMI44" s="1044"/>
      <c r="TMJ44" s="1044"/>
      <c r="TMK44" s="1044"/>
      <c r="TML44" s="1044"/>
      <c r="TMM44" s="1044"/>
      <c r="TMN44" s="1044"/>
      <c r="TMO44" s="1044"/>
      <c r="TMP44" s="1044"/>
      <c r="TMQ44" s="1044"/>
      <c r="TMR44" s="1044"/>
      <c r="TMS44" s="1044"/>
      <c r="TMT44" s="1044"/>
      <c r="TMU44" s="1044"/>
      <c r="TMV44" s="1044"/>
      <c r="TMW44" s="1044"/>
      <c r="TMX44" s="1044"/>
      <c r="TMY44" s="1044"/>
      <c r="TMZ44" s="1044"/>
      <c r="TNA44" s="1044"/>
      <c r="TNB44" s="1044"/>
      <c r="TNC44" s="1044"/>
      <c r="TND44" s="1044"/>
      <c r="TNE44" s="1044"/>
      <c r="TNF44" s="1044"/>
      <c r="TNG44" s="1044"/>
      <c r="TNH44" s="1044"/>
      <c r="TNI44" s="1044"/>
      <c r="TNJ44" s="1044"/>
      <c r="TNK44" s="1044"/>
      <c r="TNL44" s="1044"/>
      <c r="TNM44" s="1044"/>
      <c r="TNN44" s="1044"/>
      <c r="TNO44" s="1044"/>
      <c r="TNP44" s="1044"/>
      <c r="TNQ44" s="1044"/>
      <c r="TNR44" s="1044"/>
      <c r="TNS44" s="1044"/>
      <c r="TNT44" s="1044"/>
      <c r="TNU44" s="1044"/>
      <c r="TNV44" s="1044"/>
      <c r="TNW44" s="1044"/>
      <c r="TNX44" s="1044"/>
      <c r="TNY44" s="1044"/>
      <c r="TNZ44" s="1044"/>
      <c r="TOA44" s="1044"/>
      <c r="TOB44" s="1044"/>
      <c r="TOC44" s="1044"/>
      <c r="TOD44" s="1044"/>
      <c r="TOE44" s="1044"/>
      <c r="TOF44" s="1044"/>
      <c r="TOG44" s="1044"/>
      <c r="TOH44" s="1044"/>
      <c r="TOI44" s="1044"/>
      <c r="TOJ44" s="1044"/>
      <c r="TOK44" s="1044"/>
      <c r="TOL44" s="1044"/>
      <c r="TOM44" s="1044"/>
      <c r="TON44" s="1044"/>
      <c r="TOO44" s="1044"/>
      <c r="TOP44" s="1044"/>
      <c r="TOQ44" s="1044"/>
      <c r="TOR44" s="1044"/>
      <c r="TOS44" s="1044"/>
      <c r="TOT44" s="1044"/>
      <c r="TOU44" s="1044"/>
      <c r="TOV44" s="1044"/>
      <c r="TOW44" s="1044"/>
      <c r="TOX44" s="1044"/>
      <c r="TOY44" s="1044"/>
      <c r="TOZ44" s="1044"/>
      <c r="TPA44" s="1044"/>
      <c r="TPB44" s="1044"/>
      <c r="TPC44" s="1044"/>
      <c r="TPD44" s="1044"/>
      <c r="TPE44" s="1044"/>
      <c r="TPF44" s="1044"/>
      <c r="TPG44" s="1044"/>
      <c r="TPH44" s="1044"/>
      <c r="TPI44" s="1044"/>
      <c r="TPJ44" s="1044"/>
      <c r="TPK44" s="1044"/>
      <c r="TPL44" s="1044"/>
      <c r="TPM44" s="1044"/>
      <c r="TPN44" s="1044"/>
      <c r="TPO44" s="1044"/>
      <c r="TPP44" s="1044"/>
      <c r="TPQ44" s="1044"/>
      <c r="TPR44" s="1044"/>
      <c r="TPS44" s="1044"/>
      <c r="TPT44" s="1044"/>
      <c r="TPU44" s="1044"/>
      <c r="TPV44" s="1044"/>
      <c r="TPW44" s="1044"/>
      <c r="TPX44" s="1044"/>
      <c r="TPY44" s="1044"/>
      <c r="TPZ44" s="1044"/>
      <c r="TQA44" s="1044"/>
      <c r="TQB44" s="1044"/>
      <c r="TQC44" s="1044"/>
      <c r="TQD44" s="1044"/>
      <c r="TQE44" s="1044"/>
      <c r="TQF44" s="1044"/>
      <c r="TQG44" s="1044"/>
      <c r="TQH44" s="1044"/>
      <c r="TQI44" s="1044"/>
      <c r="TQJ44" s="1044"/>
      <c r="TQK44" s="1044"/>
      <c r="TQL44" s="1044"/>
      <c r="TQM44" s="1044"/>
      <c r="TQN44" s="1044"/>
      <c r="TQO44" s="1044"/>
      <c r="TQP44" s="1044"/>
      <c r="TQQ44" s="1044"/>
      <c r="TQR44" s="1044"/>
      <c r="TQS44" s="1044"/>
      <c r="TQT44" s="1044"/>
      <c r="TQU44" s="1044"/>
      <c r="TQV44" s="1044"/>
      <c r="TQW44" s="1044"/>
      <c r="TQX44" s="1044"/>
      <c r="TQY44" s="1044"/>
      <c r="TQZ44" s="1044"/>
      <c r="TRA44" s="1044"/>
      <c r="TRB44" s="1044"/>
      <c r="TRC44" s="1044"/>
      <c r="TRD44" s="1044"/>
      <c r="TRE44" s="1044"/>
      <c r="TRF44" s="1044"/>
      <c r="TRG44" s="1044"/>
      <c r="TRH44" s="1044"/>
      <c r="TRI44" s="1044"/>
      <c r="TRJ44" s="1044"/>
      <c r="TRK44" s="1044"/>
      <c r="TRL44" s="1044"/>
      <c r="TRM44" s="1044"/>
      <c r="TRN44" s="1044"/>
      <c r="TRO44" s="1044"/>
      <c r="TRP44" s="1044"/>
      <c r="TRQ44" s="1044"/>
      <c r="TRR44" s="1044"/>
      <c r="TRS44" s="1044"/>
      <c r="TRT44" s="1044"/>
      <c r="TRU44" s="1044"/>
      <c r="TRV44" s="1044"/>
      <c r="TRW44" s="1044"/>
      <c r="TRX44" s="1044"/>
      <c r="TRY44" s="1044"/>
      <c r="TRZ44" s="1044"/>
      <c r="TSA44" s="1044"/>
      <c r="TSB44" s="1044"/>
      <c r="TSC44" s="1044"/>
      <c r="TSD44" s="1044"/>
      <c r="TSE44" s="1044"/>
      <c r="TSF44" s="1044"/>
      <c r="TSG44" s="1044"/>
      <c r="TSH44" s="1044"/>
      <c r="TSI44" s="1044"/>
      <c r="TSJ44" s="1044"/>
      <c r="TSK44" s="1044"/>
      <c r="TSL44" s="1044"/>
      <c r="TSM44" s="1044"/>
      <c r="TSN44" s="1044"/>
      <c r="TSO44" s="1044"/>
      <c r="TSP44" s="1044"/>
      <c r="TSQ44" s="1044"/>
      <c r="TSR44" s="1044"/>
      <c r="TSS44" s="1044"/>
      <c r="TST44" s="1044"/>
      <c r="TSU44" s="1044"/>
      <c r="TSV44" s="1044"/>
      <c r="TSW44" s="1044"/>
      <c r="TSX44" s="1044"/>
      <c r="TSY44" s="1044"/>
      <c r="TSZ44" s="1044"/>
      <c r="TTA44" s="1044"/>
      <c r="TTB44" s="1044"/>
      <c r="TTC44" s="1044"/>
      <c r="TTD44" s="1044"/>
      <c r="TTE44" s="1044"/>
      <c r="TTF44" s="1044"/>
      <c r="TTG44" s="1044"/>
      <c r="TTH44" s="1044"/>
      <c r="TTI44" s="1044"/>
      <c r="TTJ44" s="1044"/>
      <c r="TTK44" s="1044"/>
      <c r="TTL44" s="1044"/>
      <c r="TTM44" s="1044"/>
      <c r="TTN44" s="1044"/>
      <c r="TTO44" s="1044"/>
      <c r="TTP44" s="1044"/>
      <c r="TTQ44" s="1044"/>
      <c r="TTR44" s="1044"/>
      <c r="TTS44" s="1044"/>
      <c r="TTT44" s="1044"/>
      <c r="TTU44" s="1044"/>
      <c r="TTV44" s="1044"/>
      <c r="TTW44" s="1044"/>
      <c r="TTX44" s="1044"/>
      <c r="TTY44" s="1044"/>
      <c r="TTZ44" s="1044"/>
      <c r="TUA44" s="1044"/>
      <c r="TUB44" s="1044"/>
      <c r="TUC44" s="1044"/>
      <c r="TUD44" s="1044"/>
      <c r="TUE44" s="1044"/>
      <c r="TUF44" s="1044"/>
      <c r="TUG44" s="1044"/>
      <c r="TUH44" s="1044"/>
      <c r="TUI44" s="1044"/>
      <c r="TUJ44" s="1044"/>
      <c r="TUK44" s="1044"/>
      <c r="TUL44" s="1044"/>
      <c r="TUM44" s="1044"/>
      <c r="TUN44" s="1044"/>
      <c r="TUO44" s="1044"/>
      <c r="TUP44" s="1044"/>
      <c r="TUQ44" s="1044"/>
      <c r="TUR44" s="1044"/>
      <c r="TUS44" s="1044"/>
      <c r="TUT44" s="1044"/>
      <c r="TUU44" s="1044"/>
      <c r="TUV44" s="1044"/>
      <c r="TUW44" s="1044"/>
      <c r="TUX44" s="1044"/>
      <c r="TUY44" s="1044"/>
      <c r="TUZ44" s="1044"/>
      <c r="TVA44" s="1044"/>
      <c r="TVB44" s="1044"/>
      <c r="TVC44" s="1044"/>
      <c r="TVD44" s="1044"/>
      <c r="TVE44" s="1044"/>
      <c r="TVF44" s="1044"/>
      <c r="TVG44" s="1044"/>
      <c r="TVH44" s="1044"/>
      <c r="TVI44" s="1044"/>
      <c r="TVJ44" s="1044"/>
      <c r="TVK44" s="1044"/>
      <c r="TVL44" s="1044"/>
      <c r="TVM44" s="1044"/>
      <c r="TVN44" s="1044"/>
      <c r="TVO44" s="1044"/>
      <c r="TVP44" s="1044"/>
      <c r="TVQ44" s="1044"/>
      <c r="TVR44" s="1044"/>
      <c r="TVS44" s="1044"/>
      <c r="TVT44" s="1044"/>
      <c r="TVU44" s="1044"/>
      <c r="TVV44" s="1044"/>
      <c r="TVW44" s="1044"/>
      <c r="TVX44" s="1044"/>
      <c r="TVY44" s="1044"/>
      <c r="TVZ44" s="1044"/>
      <c r="TWA44" s="1044"/>
      <c r="TWB44" s="1044"/>
      <c r="TWC44" s="1044"/>
      <c r="TWD44" s="1044"/>
      <c r="TWE44" s="1044"/>
      <c r="TWF44" s="1044"/>
      <c r="TWG44" s="1044"/>
      <c r="TWH44" s="1044"/>
      <c r="TWI44" s="1044"/>
      <c r="TWJ44" s="1044"/>
      <c r="TWK44" s="1044"/>
      <c r="TWL44" s="1044"/>
      <c r="TWM44" s="1044"/>
      <c r="TWN44" s="1044"/>
      <c r="TWO44" s="1044"/>
      <c r="TWP44" s="1044"/>
      <c r="TWQ44" s="1044"/>
      <c r="TWR44" s="1044"/>
      <c r="TWS44" s="1044"/>
      <c r="TWT44" s="1044"/>
      <c r="TWU44" s="1044"/>
      <c r="TWV44" s="1044"/>
      <c r="TWW44" s="1044"/>
      <c r="TWX44" s="1044"/>
      <c r="TWY44" s="1044"/>
      <c r="TWZ44" s="1044"/>
      <c r="TXA44" s="1044"/>
      <c r="TXB44" s="1044"/>
      <c r="TXC44" s="1044"/>
      <c r="TXD44" s="1044"/>
      <c r="TXE44" s="1044"/>
      <c r="TXF44" s="1044"/>
      <c r="TXG44" s="1044"/>
      <c r="TXH44" s="1044"/>
      <c r="TXI44" s="1044"/>
      <c r="TXJ44" s="1044"/>
      <c r="TXK44" s="1044"/>
      <c r="TXL44" s="1044"/>
      <c r="TXM44" s="1044"/>
      <c r="TXN44" s="1044"/>
      <c r="TXO44" s="1044"/>
      <c r="TXP44" s="1044"/>
      <c r="TXQ44" s="1044"/>
      <c r="TXR44" s="1044"/>
      <c r="TXS44" s="1044"/>
      <c r="TXT44" s="1044"/>
      <c r="TXU44" s="1044"/>
      <c r="TXV44" s="1044"/>
      <c r="TXW44" s="1044"/>
      <c r="TXX44" s="1044"/>
      <c r="TXY44" s="1044"/>
      <c r="TXZ44" s="1044"/>
      <c r="TYA44" s="1044"/>
      <c r="TYB44" s="1044"/>
      <c r="TYC44" s="1044"/>
      <c r="TYD44" s="1044"/>
      <c r="TYE44" s="1044"/>
      <c r="TYF44" s="1044"/>
      <c r="TYG44" s="1044"/>
      <c r="TYH44" s="1044"/>
      <c r="TYI44" s="1044"/>
      <c r="TYJ44" s="1044"/>
      <c r="TYK44" s="1044"/>
      <c r="TYL44" s="1044"/>
      <c r="TYM44" s="1044"/>
      <c r="TYN44" s="1044"/>
      <c r="TYO44" s="1044"/>
      <c r="TYP44" s="1044"/>
      <c r="TYQ44" s="1044"/>
      <c r="TYR44" s="1044"/>
      <c r="TYS44" s="1044"/>
      <c r="TYT44" s="1044"/>
      <c r="TYU44" s="1044"/>
      <c r="TYV44" s="1044"/>
      <c r="TYW44" s="1044"/>
      <c r="TYX44" s="1044"/>
      <c r="TYY44" s="1044"/>
      <c r="TYZ44" s="1044"/>
      <c r="TZA44" s="1044"/>
      <c r="TZB44" s="1044"/>
      <c r="TZC44" s="1044"/>
      <c r="TZD44" s="1044"/>
      <c r="TZE44" s="1044"/>
      <c r="TZF44" s="1044"/>
      <c r="TZG44" s="1044"/>
      <c r="TZH44" s="1044"/>
      <c r="TZI44" s="1044"/>
      <c r="TZJ44" s="1044"/>
      <c r="TZK44" s="1044"/>
      <c r="TZL44" s="1044"/>
      <c r="TZM44" s="1044"/>
      <c r="TZN44" s="1044"/>
      <c r="TZO44" s="1044"/>
      <c r="TZP44" s="1044"/>
      <c r="TZQ44" s="1044"/>
      <c r="TZR44" s="1044"/>
      <c r="TZS44" s="1044"/>
      <c r="TZT44" s="1044"/>
      <c r="TZU44" s="1044"/>
      <c r="TZV44" s="1044"/>
      <c r="TZW44" s="1044"/>
      <c r="TZX44" s="1044"/>
      <c r="TZY44" s="1044"/>
      <c r="TZZ44" s="1044"/>
      <c r="UAA44" s="1044"/>
      <c r="UAB44" s="1044"/>
      <c r="UAC44" s="1044"/>
      <c r="UAD44" s="1044"/>
      <c r="UAE44" s="1044"/>
      <c r="UAF44" s="1044"/>
      <c r="UAG44" s="1044"/>
      <c r="UAH44" s="1044"/>
      <c r="UAI44" s="1044"/>
      <c r="UAJ44" s="1044"/>
      <c r="UAK44" s="1044"/>
      <c r="UAL44" s="1044"/>
      <c r="UAM44" s="1044"/>
      <c r="UAN44" s="1044"/>
      <c r="UAO44" s="1044"/>
      <c r="UAP44" s="1044"/>
      <c r="UAQ44" s="1044"/>
      <c r="UAR44" s="1044"/>
      <c r="UAS44" s="1044"/>
      <c r="UAT44" s="1044"/>
      <c r="UAU44" s="1044"/>
      <c r="UAV44" s="1044"/>
      <c r="UAW44" s="1044"/>
      <c r="UAX44" s="1044"/>
      <c r="UAY44" s="1044"/>
      <c r="UAZ44" s="1044"/>
      <c r="UBA44" s="1044"/>
      <c r="UBB44" s="1044"/>
      <c r="UBC44" s="1044"/>
      <c r="UBD44" s="1044"/>
      <c r="UBE44" s="1044"/>
      <c r="UBF44" s="1044"/>
      <c r="UBG44" s="1044"/>
      <c r="UBH44" s="1044"/>
      <c r="UBI44" s="1044"/>
      <c r="UBJ44" s="1044"/>
      <c r="UBK44" s="1044"/>
      <c r="UBL44" s="1044"/>
      <c r="UBM44" s="1044"/>
      <c r="UBN44" s="1044"/>
      <c r="UBO44" s="1044"/>
      <c r="UBP44" s="1044"/>
      <c r="UBQ44" s="1044"/>
      <c r="UBR44" s="1044"/>
      <c r="UBS44" s="1044"/>
      <c r="UBT44" s="1044"/>
      <c r="UBU44" s="1044"/>
      <c r="UBV44" s="1044"/>
      <c r="UBW44" s="1044"/>
      <c r="UBX44" s="1044"/>
      <c r="UBY44" s="1044"/>
      <c r="UBZ44" s="1044"/>
      <c r="UCA44" s="1044"/>
      <c r="UCB44" s="1044"/>
      <c r="UCC44" s="1044"/>
      <c r="UCD44" s="1044"/>
      <c r="UCE44" s="1044"/>
      <c r="UCF44" s="1044"/>
      <c r="UCG44" s="1044"/>
      <c r="UCH44" s="1044"/>
      <c r="UCI44" s="1044"/>
      <c r="UCJ44" s="1044"/>
      <c r="UCK44" s="1044"/>
      <c r="UCL44" s="1044"/>
      <c r="UCM44" s="1044"/>
      <c r="UCN44" s="1044"/>
      <c r="UCO44" s="1044"/>
      <c r="UCP44" s="1044"/>
      <c r="UCQ44" s="1044"/>
      <c r="UCR44" s="1044"/>
      <c r="UCS44" s="1044"/>
      <c r="UCT44" s="1044"/>
      <c r="UCU44" s="1044"/>
      <c r="UCV44" s="1044"/>
      <c r="UCW44" s="1044"/>
      <c r="UCX44" s="1044"/>
      <c r="UCY44" s="1044"/>
      <c r="UCZ44" s="1044"/>
      <c r="UDA44" s="1044"/>
      <c r="UDB44" s="1044"/>
      <c r="UDC44" s="1044"/>
      <c r="UDD44" s="1044"/>
      <c r="UDE44" s="1044"/>
      <c r="UDF44" s="1044"/>
      <c r="UDG44" s="1044"/>
      <c r="UDH44" s="1044"/>
      <c r="UDI44" s="1044"/>
      <c r="UDJ44" s="1044"/>
      <c r="UDK44" s="1044"/>
      <c r="UDL44" s="1044"/>
      <c r="UDM44" s="1044"/>
      <c r="UDN44" s="1044"/>
      <c r="UDO44" s="1044"/>
      <c r="UDP44" s="1044"/>
      <c r="UDQ44" s="1044"/>
      <c r="UDR44" s="1044"/>
      <c r="UDS44" s="1044"/>
      <c r="UDT44" s="1044"/>
      <c r="UDU44" s="1044"/>
      <c r="UDV44" s="1044"/>
      <c r="UDW44" s="1044"/>
      <c r="UDX44" s="1044"/>
      <c r="UDY44" s="1044"/>
      <c r="UDZ44" s="1044"/>
      <c r="UEA44" s="1044"/>
      <c r="UEB44" s="1044"/>
      <c r="UEC44" s="1044"/>
      <c r="UED44" s="1044"/>
      <c r="UEE44" s="1044"/>
      <c r="UEF44" s="1044"/>
      <c r="UEG44" s="1044"/>
      <c r="UEH44" s="1044"/>
      <c r="UEI44" s="1044"/>
      <c r="UEJ44" s="1044"/>
      <c r="UEK44" s="1044"/>
      <c r="UEL44" s="1044"/>
      <c r="UEM44" s="1044"/>
      <c r="UEN44" s="1044"/>
      <c r="UEO44" s="1044"/>
      <c r="UEP44" s="1044"/>
      <c r="UEQ44" s="1044"/>
      <c r="UER44" s="1044"/>
      <c r="UES44" s="1044"/>
      <c r="UET44" s="1044"/>
      <c r="UEU44" s="1044"/>
      <c r="UEV44" s="1044"/>
      <c r="UEW44" s="1044"/>
      <c r="UEX44" s="1044"/>
      <c r="UEY44" s="1044"/>
      <c r="UEZ44" s="1044"/>
      <c r="UFA44" s="1044"/>
      <c r="UFB44" s="1044"/>
      <c r="UFC44" s="1044"/>
      <c r="UFD44" s="1044"/>
      <c r="UFE44" s="1044"/>
      <c r="UFF44" s="1044"/>
      <c r="UFG44" s="1044"/>
      <c r="UFH44" s="1044"/>
      <c r="UFI44" s="1044"/>
      <c r="UFJ44" s="1044"/>
      <c r="UFK44" s="1044"/>
      <c r="UFL44" s="1044"/>
      <c r="UFM44" s="1044"/>
      <c r="UFN44" s="1044"/>
      <c r="UFO44" s="1044"/>
      <c r="UFP44" s="1044"/>
      <c r="UFQ44" s="1044"/>
      <c r="UFR44" s="1044"/>
      <c r="UFS44" s="1044"/>
      <c r="UFT44" s="1044"/>
      <c r="UFU44" s="1044"/>
      <c r="UFV44" s="1044"/>
      <c r="UFW44" s="1044"/>
      <c r="UFX44" s="1044"/>
      <c r="UFY44" s="1044"/>
      <c r="UFZ44" s="1044"/>
      <c r="UGA44" s="1044"/>
      <c r="UGB44" s="1044"/>
      <c r="UGC44" s="1044"/>
      <c r="UGD44" s="1044"/>
      <c r="UGE44" s="1044"/>
      <c r="UGF44" s="1044"/>
      <c r="UGG44" s="1044"/>
      <c r="UGH44" s="1044"/>
      <c r="UGI44" s="1044"/>
      <c r="UGJ44" s="1044"/>
      <c r="UGK44" s="1044"/>
      <c r="UGL44" s="1044"/>
      <c r="UGM44" s="1044"/>
      <c r="UGN44" s="1044"/>
      <c r="UGO44" s="1044"/>
      <c r="UGP44" s="1044"/>
      <c r="UGQ44" s="1044"/>
      <c r="UGR44" s="1044"/>
      <c r="UGS44" s="1044"/>
      <c r="UGT44" s="1044"/>
      <c r="UGU44" s="1044"/>
      <c r="UGV44" s="1044"/>
      <c r="UGW44" s="1044"/>
      <c r="UGX44" s="1044"/>
      <c r="UGY44" s="1044"/>
      <c r="UGZ44" s="1044"/>
      <c r="UHA44" s="1044"/>
      <c r="UHB44" s="1044"/>
      <c r="UHC44" s="1044"/>
      <c r="UHD44" s="1044"/>
      <c r="UHE44" s="1044"/>
      <c r="UHF44" s="1044"/>
      <c r="UHG44" s="1044"/>
      <c r="UHH44" s="1044"/>
      <c r="UHI44" s="1044"/>
      <c r="UHJ44" s="1044"/>
      <c r="UHK44" s="1044"/>
      <c r="UHL44" s="1044"/>
      <c r="UHM44" s="1044"/>
      <c r="UHN44" s="1044"/>
      <c r="UHO44" s="1044"/>
      <c r="UHP44" s="1044"/>
      <c r="UHQ44" s="1044"/>
      <c r="UHR44" s="1044"/>
      <c r="UHS44" s="1044"/>
      <c r="UHT44" s="1044"/>
      <c r="UHU44" s="1044"/>
      <c r="UHV44" s="1044"/>
      <c r="UHW44" s="1044"/>
      <c r="UHX44" s="1044"/>
      <c r="UHY44" s="1044"/>
      <c r="UHZ44" s="1044"/>
      <c r="UIA44" s="1044"/>
      <c r="UIB44" s="1044"/>
      <c r="UIC44" s="1044"/>
      <c r="UID44" s="1044"/>
      <c r="UIE44" s="1044"/>
      <c r="UIF44" s="1044"/>
      <c r="UIG44" s="1044"/>
      <c r="UIH44" s="1044"/>
      <c r="UII44" s="1044"/>
      <c r="UIJ44" s="1044"/>
      <c r="UIK44" s="1044"/>
      <c r="UIL44" s="1044"/>
      <c r="UIM44" s="1044"/>
      <c r="UIN44" s="1044"/>
      <c r="UIO44" s="1044"/>
      <c r="UIP44" s="1044"/>
      <c r="UIQ44" s="1044"/>
      <c r="UIR44" s="1044"/>
      <c r="UIS44" s="1044"/>
      <c r="UIT44" s="1044"/>
      <c r="UIU44" s="1044"/>
      <c r="UIV44" s="1044"/>
      <c r="UIW44" s="1044"/>
      <c r="UIX44" s="1044"/>
      <c r="UIY44" s="1044"/>
      <c r="UIZ44" s="1044"/>
      <c r="UJA44" s="1044"/>
      <c r="UJB44" s="1044"/>
      <c r="UJC44" s="1044"/>
      <c r="UJD44" s="1044"/>
      <c r="UJE44" s="1044"/>
      <c r="UJF44" s="1044"/>
      <c r="UJG44" s="1044"/>
      <c r="UJH44" s="1044"/>
      <c r="UJI44" s="1044"/>
      <c r="UJJ44" s="1044"/>
      <c r="UJK44" s="1044"/>
      <c r="UJL44" s="1044"/>
      <c r="UJM44" s="1044"/>
      <c r="UJN44" s="1044"/>
      <c r="UJO44" s="1044"/>
      <c r="UJP44" s="1044"/>
      <c r="UJQ44" s="1044"/>
      <c r="UJR44" s="1044"/>
      <c r="UJS44" s="1044"/>
      <c r="UJT44" s="1044"/>
      <c r="UJU44" s="1044"/>
      <c r="UJV44" s="1044"/>
      <c r="UJW44" s="1044"/>
      <c r="UJX44" s="1044"/>
      <c r="UJY44" s="1044"/>
      <c r="UJZ44" s="1044"/>
      <c r="UKA44" s="1044"/>
      <c r="UKB44" s="1044"/>
      <c r="UKC44" s="1044"/>
      <c r="UKD44" s="1044"/>
      <c r="UKE44" s="1044"/>
      <c r="UKF44" s="1044"/>
      <c r="UKG44" s="1044"/>
      <c r="UKH44" s="1044"/>
      <c r="UKI44" s="1044"/>
      <c r="UKJ44" s="1044"/>
      <c r="UKK44" s="1044"/>
      <c r="UKL44" s="1044"/>
      <c r="UKM44" s="1044"/>
      <c r="UKN44" s="1044"/>
      <c r="UKO44" s="1044"/>
      <c r="UKP44" s="1044"/>
      <c r="UKQ44" s="1044"/>
      <c r="UKR44" s="1044"/>
      <c r="UKS44" s="1044"/>
      <c r="UKT44" s="1044"/>
      <c r="UKU44" s="1044"/>
      <c r="UKV44" s="1044"/>
      <c r="UKW44" s="1044"/>
      <c r="UKX44" s="1044"/>
      <c r="UKY44" s="1044"/>
      <c r="UKZ44" s="1044"/>
      <c r="ULA44" s="1044"/>
      <c r="ULB44" s="1044"/>
      <c r="ULC44" s="1044"/>
      <c r="ULD44" s="1044"/>
      <c r="ULE44" s="1044"/>
      <c r="ULF44" s="1044"/>
      <c r="ULG44" s="1044"/>
      <c r="ULH44" s="1044"/>
      <c r="ULI44" s="1044"/>
      <c r="ULJ44" s="1044"/>
      <c r="ULK44" s="1044"/>
      <c r="ULL44" s="1044"/>
      <c r="ULM44" s="1044"/>
      <c r="ULN44" s="1044"/>
      <c r="ULO44" s="1044"/>
      <c r="ULP44" s="1044"/>
      <c r="ULQ44" s="1044"/>
      <c r="ULR44" s="1044"/>
      <c r="ULS44" s="1044"/>
      <c r="ULT44" s="1044"/>
      <c r="ULU44" s="1044"/>
      <c r="ULV44" s="1044"/>
      <c r="ULW44" s="1044"/>
      <c r="ULX44" s="1044"/>
      <c r="ULY44" s="1044"/>
      <c r="ULZ44" s="1044"/>
      <c r="UMA44" s="1044"/>
      <c r="UMB44" s="1044"/>
      <c r="UMC44" s="1044"/>
      <c r="UMD44" s="1044"/>
      <c r="UME44" s="1044"/>
      <c r="UMF44" s="1044"/>
      <c r="UMG44" s="1044"/>
      <c r="UMH44" s="1044"/>
      <c r="UMI44" s="1044"/>
      <c r="UMJ44" s="1044"/>
      <c r="UMK44" s="1044"/>
      <c r="UML44" s="1044"/>
      <c r="UMM44" s="1044"/>
      <c r="UMN44" s="1044"/>
      <c r="UMO44" s="1044"/>
      <c r="UMP44" s="1044"/>
      <c r="UMQ44" s="1044"/>
      <c r="UMR44" s="1044"/>
      <c r="UMS44" s="1044"/>
      <c r="UMT44" s="1044"/>
      <c r="UMU44" s="1044"/>
      <c r="UMV44" s="1044"/>
      <c r="UMW44" s="1044"/>
      <c r="UMX44" s="1044"/>
      <c r="UMY44" s="1044"/>
      <c r="UMZ44" s="1044"/>
      <c r="UNA44" s="1044"/>
      <c r="UNB44" s="1044"/>
      <c r="UNC44" s="1044"/>
      <c r="UND44" s="1044"/>
      <c r="UNE44" s="1044"/>
      <c r="UNF44" s="1044"/>
      <c r="UNG44" s="1044"/>
      <c r="UNH44" s="1044"/>
      <c r="UNI44" s="1044"/>
      <c r="UNJ44" s="1044"/>
      <c r="UNK44" s="1044"/>
      <c r="UNL44" s="1044"/>
      <c r="UNM44" s="1044"/>
      <c r="UNN44" s="1044"/>
      <c r="UNO44" s="1044"/>
      <c r="UNP44" s="1044"/>
      <c r="UNQ44" s="1044"/>
      <c r="UNR44" s="1044"/>
      <c r="UNS44" s="1044"/>
      <c r="UNT44" s="1044"/>
      <c r="UNU44" s="1044"/>
      <c r="UNV44" s="1044"/>
      <c r="UNW44" s="1044"/>
      <c r="UNX44" s="1044"/>
      <c r="UNY44" s="1044"/>
      <c r="UNZ44" s="1044"/>
      <c r="UOA44" s="1044"/>
      <c r="UOB44" s="1044"/>
      <c r="UOC44" s="1044"/>
      <c r="UOD44" s="1044"/>
      <c r="UOE44" s="1044"/>
      <c r="UOF44" s="1044"/>
      <c r="UOG44" s="1044"/>
      <c r="UOH44" s="1044"/>
      <c r="UOI44" s="1044"/>
      <c r="UOJ44" s="1044"/>
      <c r="UOK44" s="1044"/>
      <c r="UOL44" s="1044"/>
      <c r="UOM44" s="1044"/>
      <c r="UON44" s="1044"/>
      <c r="UOO44" s="1044"/>
      <c r="UOP44" s="1044"/>
      <c r="UOQ44" s="1044"/>
      <c r="UOR44" s="1044"/>
      <c r="UOS44" s="1044"/>
      <c r="UOT44" s="1044"/>
      <c r="UOU44" s="1044"/>
      <c r="UOV44" s="1044"/>
      <c r="UOW44" s="1044"/>
      <c r="UOX44" s="1044"/>
      <c r="UOY44" s="1044"/>
      <c r="UOZ44" s="1044"/>
      <c r="UPA44" s="1044"/>
      <c r="UPB44" s="1044"/>
      <c r="UPC44" s="1044"/>
      <c r="UPD44" s="1044"/>
      <c r="UPE44" s="1044"/>
      <c r="UPF44" s="1044"/>
      <c r="UPG44" s="1044"/>
      <c r="UPH44" s="1044"/>
      <c r="UPI44" s="1044"/>
      <c r="UPJ44" s="1044"/>
      <c r="UPK44" s="1044"/>
      <c r="UPL44" s="1044"/>
      <c r="UPM44" s="1044"/>
      <c r="UPN44" s="1044"/>
      <c r="UPO44" s="1044"/>
      <c r="UPP44" s="1044"/>
      <c r="UPQ44" s="1044"/>
      <c r="UPR44" s="1044"/>
      <c r="UPS44" s="1044"/>
      <c r="UPT44" s="1044"/>
      <c r="UPU44" s="1044"/>
      <c r="UPV44" s="1044"/>
      <c r="UPW44" s="1044"/>
      <c r="UPX44" s="1044"/>
      <c r="UPY44" s="1044"/>
      <c r="UPZ44" s="1044"/>
      <c r="UQA44" s="1044"/>
      <c r="UQB44" s="1044"/>
      <c r="UQC44" s="1044"/>
      <c r="UQD44" s="1044"/>
      <c r="UQE44" s="1044"/>
      <c r="UQF44" s="1044"/>
      <c r="UQG44" s="1044"/>
      <c r="UQH44" s="1044"/>
      <c r="UQI44" s="1044"/>
      <c r="UQJ44" s="1044"/>
      <c r="UQK44" s="1044"/>
      <c r="UQL44" s="1044"/>
      <c r="UQM44" s="1044"/>
      <c r="UQN44" s="1044"/>
      <c r="UQO44" s="1044"/>
      <c r="UQP44" s="1044"/>
      <c r="UQQ44" s="1044"/>
      <c r="UQR44" s="1044"/>
      <c r="UQS44" s="1044"/>
      <c r="UQT44" s="1044"/>
      <c r="UQU44" s="1044"/>
      <c r="UQV44" s="1044"/>
      <c r="UQW44" s="1044"/>
      <c r="UQX44" s="1044"/>
      <c r="UQY44" s="1044"/>
      <c r="UQZ44" s="1044"/>
      <c r="URA44" s="1044"/>
      <c r="URB44" s="1044"/>
      <c r="URC44" s="1044"/>
      <c r="URD44" s="1044"/>
      <c r="URE44" s="1044"/>
      <c r="URF44" s="1044"/>
      <c r="URG44" s="1044"/>
      <c r="URH44" s="1044"/>
      <c r="URI44" s="1044"/>
      <c r="URJ44" s="1044"/>
      <c r="URK44" s="1044"/>
      <c r="URL44" s="1044"/>
      <c r="URM44" s="1044"/>
      <c r="URN44" s="1044"/>
      <c r="URO44" s="1044"/>
      <c r="URP44" s="1044"/>
      <c r="URQ44" s="1044"/>
      <c r="URR44" s="1044"/>
      <c r="URS44" s="1044"/>
      <c r="URT44" s="1044"/>
      <c r="URU44" s="1044"/>
      <c r="URV44" s="1044"/>
      <c r="URW44" s="1044"/>
      <c r="URX44" s="1044"/>
      <c r="URY44" s="1044"/>
      <c r="URZ44" s="1044"/>
      <c r="USA44" s="1044"/>
      <c r="USB44" s="1044"/>
      <c r="USC44" s="1044"/>
      <c r="USD44" s="1044"/>
      <c r="USE44" s="1044"/>
      <c r="USF44" s="1044"/>
      <c r="USG44" s="1044"/>
      <c r="USH44" s="1044"/>
      <c r="USI44" s="1044"/>
      <c r="USJ44" s="1044"/>
      <c r="USK44" s="1044"/>
      <c r="USL44" s="1044"/>
      <c r="USM44" s="1044"/>
      <c r="USN44" s="1044"/>
      <c r="USO44" s="1044"/>
      <c r="USP44" s="1044"/>
      <c r="USQ44" s="1044"/>
      <c r="USR44" s="1044"/>
      <c r="USS44" s="1044"/>
      <c r="UST44" s="1044"/>
      <c r="USU44" s="1044"/>
      <c r="USV44" s="1044"/>
      <c r="USW44" s="1044"/>
      <c r="USX44" s="1044"/>
      <c r="USY44" s="1044"/>
      <c r="USZ44" s="1044"/>
      <c r="UTA44" s="1044"/>
      <c r="UTB44" s="1044"/>
      <c r="UTC44" s="1044"/>
      <c r="UTD44" s="1044"/>
      <c r="UTE44" s="1044"/>
      <c r="UTF44" s="1044"/>
      <c r="UTG44" s="1044"/>
      <c r="UTH44" s="1044"/>
      <c r="UTI44" s="1044"/>
      <c r="UTJ44" s="1044"/>
      <c r="UTK44" s="1044"/>
      <c r="UTL44" s="1044"/>
      <c r="UTM44" s="1044"/>
      <c r="UTN44" s="1044"/>
      <c r="UTO44" s="1044"/>
      <c r="UTP44" s="1044"/>
      <c r="UTQ44" s="1044"/>
      <c r="UTR44" s="1044"/>
      <c r="UTS44" s="1044"/>
      <c r="UTT44" s="1044"/>
      <c r="UTU44" s="1044"/>
      <c r="UTV44" s="1044"/>
      <c r="UTW44" s="1044"/>
      <c r="UTX44" s="1044"/>
      <c r="UTY44" s="1044"/>
      <c r="UTZ44" s="1044"/>
      <c r="UUA44" s="1044"/>
      <c r="UUB44" s="1044"/>
      <c r="UUC44" s="1044"/>
      <c r="UUD44" s="1044"/>
      <c r="UUE44" s="1044"/>
      <c r="UUF44" s="1044"/>
      <c r="UUG44" s="1044"/>
      <c r="UUH44" s="1044"/>
      <c r="UUI44" s="1044"/>
      <c r="UUJ44" s="1044"/>
      <c r="UUK44" s="1044"/>
      <c r="UUL44" s="1044"/>
      <c r="UUM44" s="1044"/>
      <c r="UUN44" s="1044"/>
      <c r="UUO44" s="1044"/>
      <c r="UUP44" s="1044"/>
      <c r="UUQ44" s="1044"/>
      <c r="UUR44" s="1044"/>
      <c r="UUS44" s="1044"/>
      <c r="UUT44" s="1044"/>
      <c r="UUU44" s="1044"/>
      <c r="UUV44" s="1044"/>
      <c r="UUW44" s="1044"/>
      <c r="UUX44" s="1044"/>
      <c r="UUY44" s="1044"/>
      <c r="UUZ44" s="1044"/>
      <c r="UVA44" s="1044"/>
      <c r="UVB44" s="1044"/>
      <c r="UVC44" s="1044"/>
      <c r="UVD44" s="1044"/>
      <c r="UVE44" s="1044"/>
      <c r="UVF44" s="1044"/>
      <c r="UVG44" s="1044"/>
      <c r="UVH44" s="1044"/>
      <c r="UVI44" s="1044"/>
      <c r="UVJ44" s="1044"/>
      <c r="UVK44" s="1044"/>
      <c r="UVL44" s="1044"/>
      <c r="UVM44" s="1044"/>
      <c r="UVN44" s="1044"/>
      <c r="UVO44" s="1044"/>
      <c r="UVP44" s="1044"/>
      <c r="UVQ44" s="1044"/>
      <c r="UVR44" s="1044"/>
      <c r="UVS44" s="1044"/>
      <c r="UVT44" s="1044"/>
      <c r="UVU44" s="1044"/>
      <c r="UVV44" s="1044"/>
      <c r="UVW44" s="1044"/>
      <c r="UVX44" s="1044"/>
      <c r="UVY44" s="1044"/>
      <c r="UVZ44" s="1044"/>
      <c r="UWA44" s="1044"/>
      <c r="UWB44" s="1044"/>
      <c r="UWC44" s="1044"/>
      <c r="UWD44" s="1044"/>
      <c r="UWE44" s="1044"/>
      <c r="UWF44" s="1044"/>
      <c r="UWG44" s="1044"/>
      <c r="UWH44" s="1044"/>
      <c r="UWI44" s="1044"/>
      <c r="UWJ44" s="1044"/>
      <c r="UWK44" s="1044"/>
      <c r="UWL44" s="1044"/>
      <c r="UWM44" s="1044"/>
      <c r="UWN44" s="1044"/>
      <c r="UWO44" s="1044"/>
      <c r="UWP44" s="1044"/>
      <c r="UWQ44" s="1044"/>
      <c r="UWR44" s="1044"/>
      <c r="UWS44" s="1044"/>
      <c r="UWT44" s="1044"/>
      <c r="UWU44" s="1044"/>
      <c r="UWV44" s="1044"/>
      <c r="UWW44" s="1044"/>
      <c r="UWX44" s="1044"/>
      <c r="UWY44" s="1044"/>
      <c r="UWZ44" s="1044"/>
      <c r="UXA44" s="1044"/>
      <c r="UXB44" s="1044"/>
      <c r="UXC44" s="1044"/>
      <c r="UXD44" s="1044"/>
      <c r="UXE44" s="1044"/>
      <c r="UXF44" s="1044"/>
      <c r="UXG44" s="1044"/>
      <c r="UXH44" s="1044"/>
      <c r="UXI44" s="1044"/>
      <c r="UXJ44" s="1044"/>
      <c r="UXK44" s="1044"/>
      <c r="UXL44" s="1044"/>
      <c r="UXM44" s="1044"/>
      <c r="UXN44" s="1044"/>
      <c r="UXO44" s="1044"/>
      <c r="UXP44" s="1044"/>
      <c r="UXQ44" s="1044"/>
      <c r="UXR44" s="1044"/>
      <c r="UXS44" s="1044"/>
      <c r="UXT44" s="1044"/>
      <c r="UXU44" s="1044"/>
      <c r="UXV44" s="1044"/>
      <c r="UXW44" s="1044"/>
      <c r="UXX44" s="1044"/>
      <c r="UXY44" s="1044"/>
      <c r="UXZ44" s="1044"/>
      <c r="UYA44" s="1044"/>
      <c r="UYB44" s="1044"/>
      <c r="UYC44" s="1044"/>
      <c r="UYD44" s="1044"/>
      <c r="UYE44" s="1044"/>
      <c r="UYF44" s="1044"/>
      <c r="UYG44" s="1044"/>
      <c r="UYH44" s="1044"/>
      <c r="UYI44" s="1044"/>
      <c r="UYJ44" s="1044"/>
      <c r="UYK44" s="1044"/>
      <c r="UYL44" s="1044"/>
      <c r="UYM44" s="1044"/>
      <c r="UYN44" s="1044"/>
      <c r="UYO44" s="1044"/>
      <c r="UYP44" s="1044"/>
      <c r="UYQ44" s="1044"/>
      <c r="UYR44" s="1044"/>
      <c r="UYS44" s="1044"/>
      <c r="UYT44" s="1044"/>
      <c r="UYU44" s="1044"/>
      <c r="UYV44" s="1044"/>
      <c r="UYW44" s="1044"/>
      <c r="UYX44" s="1044"/>
      <c r="UYY44" s="1044"/>
      <c r="UYZ44" s="1044"/>
      <c r="UZA44" s="1044"/>
      <c r="UZB44" s="1044"/>
      <c r="UZC44" s="1044"/>
      <c r="UZD44" s="1044"/>
      <c r="UZE44" s="1044"/>
      <c r="UZF44" s="1044"/>
      <c r="UZG44" s="1044"/>
      <c r="UZH44" s="1044"/>
      <c r="UZI44" s="1044"/>
      <c r="UZJ44" s="1044"/>
      <c r="UZK44" s="1044"/>
      <c r="UZL44" s="1044"/>
      <c r="UZM44" s="1044"/>
      <c r="UZN44" s="1044"/>
      <c r="UZO44" s="1044"/>
      <c r="UZP44" s="1044"/>
      <c r="UZQ44" s="1044"/>
      <c r="UZR44" s="1044"/>
      <c r="UZS44" s="1044"/>
      <c r="UZT44" s="1044"/>
      <c r="UZU44" s="1044"/>
      <c r="UZV44" s="1044"/>
      <c r="UZW44" s="1044"/>
      <c r="UZX44" s="1044"/>
      <c r="UZY44" s="1044"/>
      <c r="UZZ44" s="1044"/>
      <c r="VAA44" s="1044"/>
      <c r="VAB44" s="1044"/>
      <c r="VAC44" s="1044"/>
      <c r="VAD44" s="1044"/>
      <c r="VAE44" s="1044"/>
      <c r="VAF44" s="1044"/>
      <c r="VAG44" s="1044"/>
      <c r="VAH44" s="1044"/>
      <c r="VAI44" s="1044"/>
      <c r="VAJ44" s="1044"/>
      <c r="VAK44" s="1044"/>
      <c r="VAL44" s="1044"/>
      <c r="VAM44" s="1044"/>
      <c r="VAN44" s="1044"/>
      <c r="VAO44" s="1044"/>
      <c r="VAP44" s="1044"/>
      <c r="VAQ44" s="1044"/>
      <c r="VAR44" s="1044"/>
      <c r="VAS44" s="1044"/>
      <c r="VAT44" s="1044"/>
      <c r="VAU44" s="1044"/>
      <c r="VAV44" s="1044"/>
      <c r="VAW44" s="1044"/>
      <c r="VAX44" s="1044"/>
      <c r="VAY44" s="1044"/>
      <c r="VAZ44" s="1044"/>
      <c r="VBA44" s="1044"/>
      <c r="VBB44" s="1044"/>
      <c r="VBC44" s="1044"/>
      <c r="VBD44" s="1044"/>
      <c r="VBE44" s="1044"/>
      <c r="VBF44" s="1044"/>
      <c r="VBG44" s="1044"/>
      <c r="VBH44" s="1044"/>
      <c r="VBI44" s="1044"/>
      <c r="VBJ44" s="1044"/>
      <c r="VBK44" s="1044"/>
      <c r="VBL44" s="1044"/>
      <c r="VBM44" s="1044"/>
      <c r="VBN44" s="1044"/>
      <c r="VBO44" s="1044"/>
      <c r="VBP44" s="1044"/>
      <c r="VBQ44" s="1044"/>
      <c r="VBR44" s="1044"/>
      <c r="VBS44" s="1044"/>
      <c r="VBT44" s="1044"/>
      <c r="VBU44" s="1044"/>
      <c r="VBV44" s="1044"/>
      <c r="VBW44" s="1044"/>
      <c r="VBX44" s="1044"/>
      <c r="VBY44" s="1044"/>
      <c r="VBZ44" s="1044"/>
      <c r="VCA44" s="1044"/>
      <c r="VCB44" s="1044"/>
      <c r="VCC44" s="1044"/>
      <c r="VCD44" s="1044"/>
      <c r="VCE44" s="1044"/>
      <c r="VCF44" s="1044"/>
      <c r="VCG44" s="1044"/>
      <c r="VCH44" s="1044"/>
      <c r="VCI44" s="1044"/>
      <c r="VCJ44" s="1044"/>
      <c r="VCK44" s="1044"/>
      <c r="VCL44" s="1044"/>
      <c r="VCM44" s="1044"/>
      <c r="VCN44" s="1044"/>
      <c r="VCO44" s="1044"/>
      <c r="VCP44" s="1044"/>
      <c r="VCQ44" s="1044"/>
      <c r="VCR44" s="1044"/>
      <c r="VCS44" s="1044"/>
      <c r="VCT44" s="1044"/>
      <c r="VCU44" s="1044"/>
      <c r="VCV44" s="1044"/>
      <c r="VCW44" s="1044"/>
      <c r="VCX44" s="1044"/>
      <c r="VCY44" s="1044"/>
      <c r="VCZ44" s="1044"/>
      <c r="VDA44" s="1044"/>
      <c r="VDB44" s="1044"/>
      <c r="VDC44" s="1044"/>
      <c r="VDD44" s="1044"/>
      <c r="VDE44" s="1044"/>
      <c r="VDF44" s="1044"/>
      <c r="VDG44" s="1044"/>
      <c r="VDH44" s="1044"/>
      <c r="VDI44" s="1044"/>
      <c r="VDJ44" s="1044"/>
      <c r="VDK44" s="1044"/>
      <c r="VDL44" s="1044"/>
      <c r="VDM44" s="1044"/>
      <c r="VDN44" s="1044"/>
      <c r="VDO44" s="1044"/>
      <c r="VDP44" s="1044"/>
      <c r="VDQ44" s="1044"/>
      <c r="VDR44" s="1044"/>
      <c r="VDS44" s="1044"/>
      <c r="VDT44" s="1044"/>
      <c r="VDU44" s="1044"/>
      <c r="VDV44" s="1044"/>
      <c r="VDW44" s="1044"/>
      <c r="VDX44" s="1044"/>
      <c r="VDY44" s="1044"/>
      <c r="VDZ44" s="1044"/>
      <c r="VEA44" s="1044"/>
      <c r="VEB44" s="1044"/>
      <c r="VEC44" s="1044"/>
      <c r="VED44" s="1044"/>
      <c r="VEE44" s="1044"/>
      <c r="VEF44" s="1044"/>
      <c r="VEG44" s="1044"/>
      <c r="VEH44" s="1044"/>
      <c r="VEI44" s="1044"/>
      <c r="VEJ44" s="1044"/>
      <c r="VEK44" s="1044"/>
      <c r="VEL44" s="1044"/>
      <c r="VEM44" s="1044"/>
      <c r="VEN44" s="1044"/>
      <c r="VEO44" s="1044"/>
      <c r="VEP44" s="1044"/>
      <c r="VEQ44" s="1044"/>
      <c r="VER44" s="1044"/>
      <c r="VES44" s="1044"/>
      <c r="VET44" s="1044"/>
      <c r="VEU44" s="1044"/>
      <c r="VEV44" s="1044"/>
      <c r="VEW44" s="1044"/>
      <c r="VEX44" s="1044"/>
      <c r="VEY44" s="1044"/>
      <c r="VEZ44" s="1044"/>
      <c r="VFA44" s="1044"/>
      <c r="VFB44" s="1044"/>
      <c r="VFC44" s="1044"/>
      <c r="VFD44" s="1044"/>
      <c r="VFE44" s="1044"/>
      <c r="VFF44" s="1044"/>
      <c r="VFG44" s="1044"/>
      <c r="VFH44" s="1044"/>
      <c r="VFI44" s="1044"/>
      <c r="VFJ44" s="1044"/>
      <c r="VFK44" s="1044"/>
      <c r="VFL44" s="1044"/>
      <c r="VFM44" s="1044"/>
      <c r="VFN44" s="1044"/>
      <c r="VFO44" s="1044"/>
      <c r="VFP44" s="1044"/>
      <c r="VFQ44" s="1044"/>
      <c r="VFR44" s="1044"/>
      <c r="VFS44" s="1044"/>
      <c r="VFT44" s="1044"/>
      <c r="VFU44" s="1044"/>
      <c r="VFV44" s="1044"/>
      <c r="VFW44" s="1044"/>
      <c r="VFX44" s="1044"/>
      <c r="VFY44" s="1044"/>
      <c r="VFZ44" s="1044"/>
      <c r="VGA44" s="1044"/>
      <c r="VGB44" s="1044"/>
      <c r="VGC44" s="1044"/>
      <c r="VGD44" s="1044"/>
      <c r="VGE44" s="1044"/>
      <c r="VGF44" s="1044"/>
      <c r="VGG44" s="1044"/>
      <c r="VGH44" s="1044"/>
      <c r="VGI44" s="1044"/>
      <c r="VGJ44" s="1044"/>
      <c r="VGK44" s="1044"/>
      <c r="VGL44" s="1044"/>
      <c r="VGM44" s="1044"/>
      <c r="VGN44" s="1044"/>
      <c r="VGO44" s="1044"/>
      <c r="VGP44" s="1044"/>
      <c r="VGQ44" s="1044"/>
      <c r="VGR44" s="1044"/>
      <c r="VGS44" s="1044"/>
      <c r="VGT44" s="1044"/>
      <c r="VGU44" s="1044"/>
      <c r="VGV44" s="1044"/>
      <c r="VGW44" s="1044"/>
      <c r="VGX44" s="1044"/>
      <c r="VGY44" s="1044"/>
      <c r="VGZ44" s="1044"/>
      <c r="VHA44" s="1044"/>
      <c r="VHB44" s="1044"/>
      <c r="VHC44" s="1044"/>
      <c r="VHD44" s="1044"/>
      <c r="VHE44" s="1044"/>
      <c r="VHF44" s="1044"/>
      <c r="VHG44" s="1044"/>
      <c r="VHH44" s="1044"/>
      <c r="VHI44" s="1044"/>
      <c r="VHJ44" s="1044"/>
      <c r="VHK44" s="1044"/>
      <c r="VHL44" s="1044"/>
      <c r="VHM44" s="1044"/>
      <c r="VHN44" s="1044"/>
      <c r="VHO44" s="1044"/>
      <c r="VHP44" s="1044"/>
      <c r="VHQ44" s="1044"/>
      <c r="VHR44" s="1044"/>
      <c r="VHS44" s="1044"/>
      <c r="VHT44" s="1044"/>
      <c r="VHU44" s="1044"/>
      <c r="VHV44" s="1044"/>
      <c r="VHW44" s="1044"/>
      <c r="VHX44" s="1044"/>
      <c r="VHY44" s="1044"/>
      <c r="VHZ44" s="1044"/>
      <c r="VIA44" s="1044"/>
      <c r="VIB44" s="1044"/>
      <c r="VIC44" s="1044"/>
      <c r="VID44" s="1044"/>
      <c r="VIE44" s="1044"/>
      <c r="VIF44" s="1044"/>
      <c r="VIG44" s="1044"/>
      <c r="VIH44" s="1044"/>
      <c r="VII44" s="1044"/>
      <c r="VIJ44" s="1044"/>
      <c r="VIK44" s="1044"/>
      <c r="VIL44" s="1044"/>
      <c r="VIM44" s="1044"/>
      <c r="VIN44" s="1044"/>
      <c r="VIO44" s="1044"/>
      <c r="VIP44" s="1044"/>
      <c r="VIQ44" s="1044"/>
      <c r="VIR44" s="1044"/>
      <c r="VIS44" s="1044"/>
      <c r="VIT44" s="1044"/>
      <c r="VIU44" s="1044"/>
      <c r="VIV44" s="1044"/>
      <c r="VIW44" s="1044"/>
      <c r="VIX44" s="1044"/>
      <c r="VIY44" s="1044"/>
      <c r="VIZ44" s="1044"/>
      <c r="VJA44" s="1044"/>
      <c r="VJB44" s="1044"/>
      <c r="VJC44" s="1044"/>
      <c r="VJD44" s="1044"/>
      <c r="VJE44" s="1044"/>
      <c r="VJF44" s="1044"/>
      <c r="VJG44" s="1044"/>
      <c r="VJH44" s="1044"/>
      <c r="VJI44" s="1044"/>
      <c r="VJJ44" s="1044"/>
      <c r="VJK44" s="1044"/>
      <c r="VJL44" s="1044"/>
      <c r="VJM44" s="1044"/>
      <c r="VJN44" s="1044"/>
      <c r="VJO44" s="1044"/>
      <c r="VJP44" s="1044"/>
      <c r="VJQ44" s="1044"/>
      <c r="VJR44" s="1044"/>
      <c r="VJS44" s="1044"/>
      <c r="VJT44" s="1044"/>
      <c r="VJU44" s="1044"/>
      <c r="VJV44" s="1044"/>
      <c r="VJW44" s="1044"/>
      <c r="VJX44" s="1044"/>
      <c r="VJY44" s="1044"/>
      <c r="VJZ44" s="1044"/>
      <c r="VKA44" s="1044"/>
      <c r="VKB44" s="1044"/>
      <c r="VKC44" s="1044"/>
      <c r="VKD44" s="1044"/>
      <c r="VKE44" s="1044"/>
      <c r="VKF44" s="1044"/>
      <c r="VKG44" s="1044"/>
      <c r="VKH44" s="1044"/>
      <c r="VKI44" s="1044"/>
      <c r="VKJ44" s="1044"/>
      <c r="VKK44" s="1044"/>
      <c r="VKL44" s="1044"/>
      <c r="VKM44" s="1044"/>
      <c r="VKN44" s="1044"/>
      <c r="VKO44" s="1044"/>
      <c r="VKP44" s="1044"/>
      <c r="VKQ44" s="1044"/>
      <c r="VKR44" s="1044"/>
      <c r="VKS44" s="1044"/>
      <c r="VKT44" s="1044"/>
      <c r="VKU44" s="1044"/>
      <c r="VKV44" s="1044"/>
      <c r="VKW44" s="1044"/>
      <c r="VKX44" s="1044"/>
      <c r="VKY44" s="1044"/>
      <c r="VKZ44" s="1044"/>
      <c r="VLA44" s="1044"/>
      <c r="VLB44" s="1044"/>
      <c r="VLC44" s="1044"/>
      <c r="VLD44" s="1044"/>
      <c r="VLE44" s="1044"/>
      <c r="VLF44" s="1044"/>
      <c r="VLG44" s="1044"/>
      <c r="VLH44" s="1044"/>
      <c r="VLI44" s="1044"/>
      <c r="VLJ44" s="1044"/>
      <c r="VLK44" s="1044"/>
      <c r="VLL44" s="1044"/>
      <c r="VLM44" s="1044"/>
      <c r="VLN44" s="1044"/>
      <c r="VLO44" s="1044"/>
      <c r="VLP44" s="1044"/>
      <c r="VLQ44" s="1044"/>
      <c r="VLR44" s="1044"/>
      <c r="VLS44" s="1044"/>
      <c r="VLT44" s="1044"/>
      <c r="VLU44" s="1044"/>
      <c r="VLV44" s="1044"/>
      <c r="VLW44" s="1044"/>
      <c r="VLX44" s="1044"/>
      <c r="VLY44" s="1044"/>
      <c r="VLZ44" s="1044"/>
      <c r="VMA44" s="1044"/>
      <c r="VMB44" s="1044"/>
      <c r="VMC44" s="1044"/>
      <c r="VMD44" s="1044"/>
      <c r="VME44" s="1044"/>
      <c r="VMF44" s="1044"/>
      <c r="VMG44" s="1044"/>
      <c r="VMH44" s="1044"/>
      <c r="VMI44" s="1044"/>
      <c r="VMJ44" s="1044"/>
      <c r="VMK44" s="1044"/>
      <c r="VML44" s="1044"/>
      <c r="VMM44" s="1044"/>
      <c r="VMN44" s="1044"/>
      <c r="VMO44" s="1044"/>
      <c r="VMP44" s="1044"/>
      <c r="VMQ44" s="1044"/>
      <c r="VMR44" s="1044"/>
      <c r="VMS44" s="1044"/>
      <c r="VMT44" s="1044"/>
      <c r="VMU44" s="1044"/>
      <c r="VMV44" s="1044"/>
      <c r="VMW44" s="1044"/>
      <c r="VMX44" s="1044"/>
      <c r="VMY44" s="1044"/>
      <c r="VMZ44" s="1044"/>
      <c r="VNA44" s="1044"/>
      <c r="VNB44" s="1044"/>
      <c r="VNC44" s="1044"/>
      <c r="VND44" s="1044"/>
      <c r="VNE44" s="1044"/>
      <c r="VNF44" s="1044"/>
      <c r="VNG44" s="1044"/>
      <c r="VNH44" s="1044"/>
      <c r="VNI44" s="1044"/>
      <c r="VNJ44" s="1044"/>
      <c r="VNK44" s="1044"/>
      <c r="VNL44" s="1044"/>
      <c r="VNM44" s="1044"/>
      <c r="VNN44" s="1044"/>
      <c r="VNO44" s="1044"/>
      <c r="VNP44" s="1044"/>
      <c r="VNQ44" s="1044"/>
      <c r="VNR44" s="1044"/>
      <c r="VNS44" s="1044"/>
      <c r="VNT44" s="1044"/>
      <c r="VNU44" s="1044"/>
      <c r="VNV44" s="1044"/>
      <c r="VNW44" s="1044"/>
      <c r="VNX44" s="1044"/>
      <c r="VNY44" s="1044"/>
      <c r="VNZ44" s="1044"/>
      <c r="VOA44" s="1044"/>
      <c r="VOB44" s="1044"/>
      <c r="VOC44" s="1044"/>
      <c r="VOD44" s="1044"/>
      <c r="VOE44" s="1044"/>
      <c r="VOF44" s="1044"/>
      <c r="VOG44" s="1044"/>
      <c r="VOH44" s="1044"/>
      <c r="VOI44" s="1044"/>
      <c r="VOJ44" s="1044"/>
      <c r="VOK44" s="1044"/>
      <c r="VOL44" s="1044"/>
      <c r="VOM44" s="1044"/>
      <c r="VON44" s="1044"/>
      <c r="VOO44" s="1044"/>
      <c r="VOP44" s="1044"/>
      <c r="VOQ44" s="1044"/>
      <c r="VOR44" s="1044"/>
      <c r="VOS44" s="1044"/>
      <c r="VOT44" s="1044"/>
      <c r="VOU44" s="1044"/>
      <c r="VOV44" s="1044"/>
      <c r="VOW44" s="1044"/>
      <c r="VOX44" s="1044"/>
      <c r="VOY44" s="1044"/>
      <c r="VOZ44" s="1044"/>
      <c r="VPA44" s="1044"/>
      <c r="VPB44" s="1044"/>
      <c r="VPC44" s="1044"/>
      <c r="VPD44" s="1044"/>
      <c r="VPE44" s="1044"/>
      <c r="VPF44" s="1044"/>
      <c r="VPG44" s="1044"/>
      <c r="VPH44" s="1044"/>
      <c r="VPI44" s="1044"/>
      <c r="VPJ44" s="1044"/>
      <c r="VPK44" s="1044"/>
      <c r="VPL44" s="1044"/>
      <c r="VPM44" s="1044"/>
      <c r="VPN44" s="1044"/>
      <c r="VPO44" s="1044"/>
      <c r="VPP44" s="1044"/>
      <c r="VPQ44" s="1044"/>
      <c r="VPR44" s="1044"/>
      <c r="VPS44" s="1044"/>
      <c r="VPT44" s="1044"/>
      <c r="VPU44" s="1044"/>
      <c r="VPV44" s="1044"/>
      <c r="VPW44" s="1044"/>
      <c r="VPX44" s="1044"/>
      <c r="VPY44" s="1044"/>
      <c r="VPZ44" s="1044"/>
      <c r="VQA44" s="1044"/>
      <c r="VQB44" s="1044"/>
      <c r="VQC44" s="1044"/>
      <c r="VQD44" s="1044"/>
      <c r="VQE44" s="1044"/>
      <c r="VQF44" s="1044"/>
      <c r="VQG44" s="1044"/>
      <c r="VQH44" s="1044"/>
      <c r="VQI44" s="1044"/>
      <c r="VQJ44" s="1044"/>
      <c r="VQK44" s="1044"/>
      <c r="VQL44" s="1044"/>
      <c r="VQM44" s="1044"/>
      <c r="VQN44" s="1044"/>
      <c r="VQO44" s="1044"/>
      <c r="VQP44" s="1044"/>
      <c r="VQQ44" s="1044"/>
      <c r="VQR44" s="1044"/>
      <c r="VQS44" s="1044"/>
      <c r="VQT44" s="1044"/>
      <c r="VQU44" s="1044"/>
      <c r="VQV44" s="1044"/>
      <c r="VQW44" s="1044"/>
      <c r="VQX44" s="1044"/>
      <c r="VQY44" s="1044"/>
      <c r="VQZ44" s="1044"/>
      <c r="VRA44" s="1044"/>
      <c r="VRB44" s="1044"/>
      <c r="VRC44" s="1044"/>
      <c r="VRD44" s="1044"/>
      <c r="VRE44" s="1044"/>
      <c r="VRF44" s="1044"/>
      <c r="VRG44" s="1044"/>
      <c r="VRH44" s="1044"/>
      <c r="VRI44" s="1044"/>
      <c r="VRJ44" s="1044"/>
      <c r="VRK44" s="1044"/>
      <c r="VRL44" s="1044"/>
      <c r="VRM44" s="1044"/>
      <c r="VRN44" s="1044"/>
      <c r="VRO44" s="1044"/>
      <c r="VRP44" s="1044"/>
      <c r="VRQ44" s="1044"/>
      <c r="VRR44" s="1044"/>
      <c r="VRS44" s="1044"/>
      <c r="VRT44" s="1044"/>
      <c r="VRU44" s="1044"/>
      <c r="VRV44" s="1044"/>
      <c r="VRW44" s="1044"/>
      <c r="VRX44" s="1044"/>
      <c r="VRY44" s="1044"/>
      <c r="VRZ44" s="1044"/>
      <c r="VSA44" s="1044"/>
      <c r="VSB44" s="1044"/>
      <c r="VSC44" s="1044"/>
      <c r="VSD44" s="1044"/>
      <c r="VSE44" s="1044"/>
      <c r="VSF44" s="1044"/>
      <c r="VSG44" s="1044"/>
      <c r="VSH44" s="1044"/>
      <c r="VSI44" s="1044"/>
      <c r="VSJ44" s="1044"/>
      <c r="VSK44" s="1044"/>
      <c r="VSL44" s="1044"/>
      <c r="VSM44" s="1044"/>
      <c r="VSN44" s="1044"/>
      <c r="VSO44" s="1044"/>
      <c r="VSP44" s="1044"/>
      <c r="VSQ44" s="1044"/>
      <c r="VSR44" s="1044"/>
      <c r="VSS44" s="1044"/>
      <c r="VST44" s="1044"/>
      <c r="VSU44" s="1044"/>
      <c r="VSV44" s="1044"/>
      <c r="VSW44" s="1044"/>
      <c r="VSX44" s="1044"/>
      <c r="VSY44" s="1044"/>
      <c r="VSZ44" s="1044"/>
      <c r="VTA44" s="1044"/>
      <c r="VTB44" s="1044"/>
      <c r="VTC44" s="1044"/>
      <c r="VTD44" s="1044"/>
      <c r="VTE44" s="1044"/>
      <c r="VTF44" s="1044"/>
      <c r="VTG44" s="1044"/>
      <c r="VTH44" s="1044"/>
      <c r="VTI44" s="1044"/>
      <c r="VTJ44" s="1044"/>
      <c r="VTK44" s="1044"/>
      <c r="VTL44" s="1044"/>
      <c r="VTM44" s="1044"/>
      <c r="VTN44" s="1044"/>
      <c r="VTO44" s="1044"/>
      <c r="VTP44" s="1044"/>
      <c r="VTQ44" s="1044"/>
      <c r="VTR44" s="1044"/>
      <c r="VTS44" s="1044"/>
      <c r="VTT44" s="1044"/>
      <c r="VTU44" s="1044"/>
      <c r="VTV44" s="1044"/>
      <c r="VTW44" s="1044"/>
      <c r="VTX44" s="1044"/>
      <c r="VTY44" s="1044"/>
      <c r="VTZ44" s="1044"/>
      <c r="VUA44" s="1044"/>
      <c r="VUB44" s="1044"/>
      <c r="VUC44" s="1044"/>
      <c r="VUD44" s="1044"/>
      <c r="VUE44" s="1044"/>
      <c r="VUF44" s="1044"/>
      <c r="VUG44" s="1044"/>
      <c r="VUH44" s="1044"/>
      <c r="VUI44" s="1044"/>
      <c r="VUJ44" s="1044"/>
      <c r="VUK44" s="1044"/>
      <c r="VUL44" s="1044"/>
      <c r="VUM44" s="1044"/>
      <c r="VUN44" s="1044"/>
      <c r="VUO44" s="1044"/>
      <c r="VUP44" s="1044"/>
      <c r="VUQ44" s="1044"/>
      <c r="VUR44" s="1044"/>
      <c r="VUS44" s="1044"/>
      <c r="VUT44" s="1044"/>
      <c r="VUU44" s="1044"/>
      <c r="VUV44" s="1044"/>
      <c r="VUW44" s="1044"/>
      <c r="VUX44" s="1044"/>
      <c r="VUY44" s="1044"/>
      <c r="VUZ44" s="1044"/>
      <c r="VVA44" s="1044"/>
      <c r="VVB44" s="1044"/>
      <c r="VVC44" s="1044"/>
      <c r="VVD44" s="1044"/>
      <c r="VVE44" s="1044"/>
      <c r="VVF44" s="1044"/>
      <c r="VVG44" s="1044"/>
      <c r="VVH44" s="1044"/>
      <c r="VVI44" s="1044"/>
      <c r="VVJ44" s="1044"/>
      <c r="VVK44" s="1044"/>
      <c r="VVL44" s="1044"/>
      <c r="VVM44" s="1044"/>
      <c r="VVN44" s="1044"/>
      <c r="VVO44" s="1044"/>
      <c r="VVP44" s="1044"/>
      <c r="VVQ44" s="1044"/>
      <c r="VVR44" s="1044"/>
      <c r="VVS44" s="1044"/>
      <c r="VVT44" s="1044"/>
      <c r="VVU44" s="1044"/>
      <c r="VVV44" s="1044"/>
      <c r="VVW44" s="1044"/>
      <c r="VVX44" s="1044"/>
      <c r="VVY44" s="1044"/>
      <c r="VVZ44" s="1044"/>
      <c r="VWA44" s="1044"/>
      <c r="VWB44" s="1044"/>
      <c r="VWC44" s="1044"/>
      <c r="VWD44" s="1044"/>
      <c r="VWE44" s="1044"/>
      <c r="VWF44" s="1044"/>
      <c r="VWG44" s="1044"/>
      <c r="VWH44" s="1044"/>
      <c r="VWI44" s="1044"/>
      <c r="VWJ44" s="1044"/>
      <c r="VWK44" s="1044"/>
      <c r="VWL44" s="1044"/>
      <c r="VWM44" s="1044"/>
      <c r="VWN44" s="1044"/>
      <c r="VWO44" s="1044"/>
      <c r="VWP44" s="1044"/>
      <c r="VWQ44" s="1044"/>
      <c r="VWR44" s="1044"/>
      <c r="VWS44" s="1044"/>
      <c r="VWT44" s="1044"/>
      <c r="VWU44" s="1044"/>
      <c r="VWV44" s="1044"/>
      <c r="VWW44" s="1044"/>
      <c r="VWX44" s="1044"/>
      <c r="VWY44" s="1044"/>
      <c r="VWZ44" s="1044"/>
      <c r="VXA44" s="1044"/>
      <c r="VXB44" s="1044"/>
      <c r="VXC44" s="1044"/>
      <c r="VXD44" s="1044"/>
      <c r="VXE44" s="1044"/>
      <c r="VXF44" s="1044"/>
      <c r="VXG44" s="1044"/>
      <c r="VXH44" s="1044"/>
      <c r="VXI44" s="1044"/>
      <c r="VXJ44" s="1044"/>
      <c r="VXK44" s="1044"/>
      <c r="VXL44" s="1044"/>
      <c r="VXM44" s="1044"/>
      <c r="VXN44" s="1044"/>
      <c r="VXO44" s="1044"/>
      <c r="VXP44" s="1044"/>
      <c r="VXQ44" s="1044"/>
      <c r="VXR44" s="1044"/>
      <c r="VXS44" s="1044"/>
      <c r="VXT44" s="1044"/>
      <c r="VXU44" s="1044"/>
      <c r="VXV44" s="1044"/>
      <c r="VXW44" s="1044"/>
      <c r="VXX44" s="1044"/>
      <c r="VXY44" s="1044"/>
      <c r="VXZ44" s="1044"/>
      <c r="VYA44" s="1044"/>
      <c r="VYB44" s="1044"/>
      <c r="VYC44" s="1044"/>
      <c r="VYD44" s="1044"/>
      <c r="VYE44" s="1044"/>
      <c r="VYF44" s="1044"/>
      <c r="VYG44" s="1044"/>
      <c r="VYH44" s="1044"/>
      <c r="VYI44" s="1044"/>
      <c r="VYJ44" s="1044"/>
      <c r="VYK44" s="1044"/>
      <c r="VYL44" s="1044"/>
      <c r="VYM44" s="1044"/>
      <c r="VYN44" s="1044"/>
      <c r="VYO44" s="1044"/>
      <c r="VYP44" s="1044"/>
      <c r="VYQ44" s="1044"/>
      <c r="VYR44" s="1044"/>
      <c r="VYS44" s="1044"/>
      <c r="VYT44" s="1044"/>
      <c r="VYU44" s="1044"/>
      <c r="VYV44" s="1044"/>
      <c r="VYW44" s="1044"/>
      <c r="VYX44" s="1044"/>
      <c r="VYY44" s="1044"/>
      <c r="VYZ44" s="1044"/>
      <c r="VZA44" s="1044"/>
      <c r="VZB44" s="1044"/>
      <c r="VZC44" s="1044"/>
      <c r="VZD44" s="1044"/>
      <c r="VZE44" s="1044"/>
      <c r="VZF44" s="1044"/>
      <c r="VZG44" s="1044"/>
      <c r="VZH44" s="1044"/>
      <c r="VZI44" s="1044"/>
      <c r="VZJ44" s="1044"/>
      <c r="VZK44" s="1044"/>
      <c r="VZL44" s="1044"/>
      <c r="VZM44" s="1044"/>
      <c r="VZN44" s="1044"/>
      <c r="VZO44" s="1044"/>
      <c r="VZP44" s="1044"/>
      <c r="VZQ44" s="1044"/>
      <c r="VZR44" s="1044"/>
      <c r="VZS44" s="1044"/>
      <c r="VZT44" s="1044"/>
      <c r="VZU44" s="1044"/>
      <c r="VZV44" s="1044"/>
      <c r="VZW44" s="1044"/>
      <c r="VZX44" s="1044"/>
      <c r="VZY44" s="1044"/>
      <c r="VZZ44" s="1044"/>
      <c r="WAA44" s="1044"/>
      <c r="WAB44" s="1044"/>
      <c r="WAC44" s="1044"/>
      <c r="WAD44" s="1044"/>
      <c r="WAE44" s="1044"/>
      <c r="WAF44" s="1044"/>
      <c r="WAG44" s="1044"/>
      <c r="WAH44" s="1044"/>
      <c r="WAI44" s="1044"/>
      <c r="WAJ44" s="1044"/>
      <c r="WAK44" s="1044"/>
      <c r="WAL44" s="1044"/>
      <c r="WAM44" s="1044"/>
      <c r="WAN44" s="1044"/>
      <c r="WAO44" s="1044"/>
      <c r="WAP44" s="1044"/>
      <c r="WAQ44" s="1044"/>
      <c r="WAR44" s="1044"/>
      <c r="WAS44" s="1044"/>
      <c r="WAT44" s="1044"/>
      <c r="WAU44" s="1044"/>
      <c r="WAV44" s="1044"/>
      <c r="WAW44" s="1044"/>
      <c r="WAX44" s="1044"/>
      <c r="WAY44" s="1044"/>
      <c r="WAZ44" s="1044"/>
      <c r="WBA44" s="1044"/>
      <c r="WBB44" s="1044"/>
      <c r="WBC44" s="1044"/>
      <c r="WBD44" s="1044"/>
      <c r="WBE44" s="1044"/>
      <c r="WBF44" s="1044"/>
      <c r="WBG44" s="1044"/>
      <c r="WBH44" s="1044"/>
      <c r="WBI44" s="1044"/>
      <c r="WBJ44" s="1044"/>
      <c r="WBK44" s="1044"/>
      <c r="WBL44" s="1044"/>
      <c r="WBM44" s="1044"/>
      <c r="WBN44" s="1044"/>
      <c r="WBO44" s="1044"/>
      <c r="WBP44" s="1044"/>
      <c r="WBQ44" s="1044"/>
      <c r="WBR44" s="1044"/>
      <c r="WBS44" s="1044"/>
      <c r="WBT44" s="1044"/>
      <c r="WBU44" s="1044"/>
      <c r="WBV44" s="1044"/>
      <c r="WBW44" s="1044"/>
      <c r="WBX44" s="1044"/>
      <c r="WBY44" s="1044"/>
      <c r="WBZ44" s="1044"/>
      <c r="WCA44" s="1044"/>
      <c r="WCB44" s="1044"/>
      <c r="WCC44" s="1044"/>
      <c r="WCD44" s="1044"/>
      <c r="WCE44" s="1044"/>
      <c r="WCF44" s="1044"/>
      <c r="WCG44" s="1044"/>
      <c r="WCH44" s="1044"/>
      <c r="WCI44" s="1044"/>
      <c r="WCJ44" s="1044"/>
      <c r="WCK44" s="1044"/>
      <c r="WCL44" s="1044"/>
      <c r="WCM44" s="1044"/>
      <c r="WCN44" s="1044"/>
      <c r="WCO44" s="1044"/>
      <c r="WCP44" s="1044"/>
      <c r="WCQ44" s="1044"/>
      <c r="WCR44" s="1044"/>
      <c r="WCS44" s="1044"/>
      <c r="WCT44" s="1044"/>
      <c r="WCU44" s="1044"/>
      <c r="WCV44" s="1044"/>
      <c r="WCW44" s="1044"/>
      <c r="WCX44" s="1044"/>
      <c r="WCY44" s="1044"/>
      <c r="WCZ44" s="1044"/>
      <c r="WDA44" s="1044"/>
      <c r="WDB44" s="1044"/>
      <c r="WDC44" s="1044"/>
      <c r="WDD44" s="1044"/>
      <c r="WDE44" s="1044"/>
      <c r="WDF44" s="1044"/>
      <c r="WDG44" s="1044"/>
      <c r="WDH44" s="1044"/>
      <c r="WDI44" s="1044"/>
      <c r="WDJ44" s="1044"/>
      <c r="WDK44" s="1044"/>
      <c r="WDL44" s="1044"/>
      <c r="WDM44" s="1044"/>
      <c r="WDN44" s="1044"/>
      <c r="WDO44" s="1044"/>
      <c r="WDP44" s="1044"/>
      <c r="WDQ44" s="1044"/>
      <c r="WDR44" s="1044"/>
      <c r="WDS44" s="1044"/>
      <c r="WDT44" s="1044"/>
      <c r="WDU44" s="1044"/>
      <c r="WDV44" s="1044"/>
      <c r="WDW44" s="1044"/>
      <c r="WDX44" s="1044"/>
      <c r="WDY44" s="1044"/>
      <c r="WDZ44" s="1044"/>
      <c r="WEA44" s="1044"/>
      <c r="WEB44" s="1044"/>
      <c r="WEC44" s="1044"/>
      <c r="WED44" s="1044"/>
      <c r="WEE44" s="1044"/>
      <c r="WEF44" s="1044"/>
      <c r="WEG44" s="1044"/>
      <c r="WEH44" s="1044"/>
      <c r="WEI44" s="1044"/>
      <c r="WEJ44" s="1044"/>
      <c r="WEK44" s="1044"/>
      <c r="WEL44" s="1044"/>
      <c r="WEM44" s="1044"/>
      <c r="WEN44" s="1044"/>
      <c r="WEO44" s="1044"/>
      <c r="WEP44" s="1044"/>
      <c r="WEQ44" s="1044"/>
      <c r="WER44" s="1044"/>
      <c r="WES44" s="1044"/>
      <c r="WET44" s="1044"/>
      <c r="WEU44" s="1044"/>
      <c r="WEV44" s="1044"/>
      <c r="WEW44" s="1044"/>
      <c r="WEX44" s="1044"/>
      <c r="WEY44" s="1044"/>
      <c r="WEZ44" s="1044"/>
      <c r="WFA44" s="1044"/>
      <c r="WFB44" s="1044"/>
      <c r="WFC44" s="1044"/>
      <c r="WFD44" s="1044"/>
      <c r="WFE44" s="1044"/>
      <c r="WFF44" s="1044"/>
      <c r="WFG44" s="1044"/>
      <c r="WFH44" s="1044"/>
      <c r="WFI44" s="1044"/>
      <c r="WFJ44" s="1044"/>
      <c r="WFK44" s="1044"/>
      <c r="WFL44" s="1044"/>
      <c r="WFM44" s="1044"/>
      <c r="WFN44" s="1044"/>
      <c r="WFO44" s="1044"/>
      <c r="WFP44" s="1044"/>
      <c r="WFQ44" s="1044"/>
      <c r="WFR44" s="1044"/>
      <c r="WFS44" s="1044"/>
      <c r="WFT44" s="1044"/>
      <c r="WFU44" s="1044"/>
      <c r="WFV44" s="1044"/>
      <c r="WFW44" s="1044"/>
      <c r="WFX44" s="1044"/>
      <c r="WFY44" s="1044"/>
      <c r="WFZ44" s="1044"/>
      <c r="WGA44" s="1044"/>
      <c r="WGB44" s="1044"/>
      <c r="WGC44" s="1044"/>
      <c r="WGD44" s="1044"/>
      <c r="WGE44" s="1044"/>
      <c r="WGF44" s="1044"/>
      <c r="WGG44" s="1044"/>
      <c r="WGH44" s="1044"/>
      <c r="WGI44" s="1044"/>
      <c r="WGJ44" s="1044"/>
      <c r="WGK44" s="1044"/>
      <c r="WGL44" s="1044"/>
      <c r="WGM44" s="1044"/>
      <c r="WGN44" s="1044"/>
      <c r="WGO44" s="1044"/>
      <c r="WGP44" s="1044"/>
      <c r="WGQ44" s="1044"/>
      <c r="WGR44" s="1044"/>
      <c r="WGS44" s="1044"/>
      <c r="WGT44" s="1044"/>
      <c r="WGU44" s="1044"/>
      <c r="WGV44" s="1044"/>
      <c r="WGW44" s="1044"/>
      <c r="WGX44" s="1044"/>
      <c r="WGY44" s="1044"/>
      <c r="WGZ44" s="1044"/>
      <c r="WHA44" s="1044"/>
      <c r="WHB44" s="1044"/>
      <c r="WHC44" s="1044"/>
      <c r="WHD44" s="1044"/>
      <c r="WHE44" s="1044"/>
      <c r="WHF44" s="1044"/>
      <c r="WHG44" s="1044"/>
      <c r="WHH44" s="1044"/>
      <c r="WHI44" s="1044"/>
      <c r="WHJ44" s="1044"/>
      <c r="WHK44" s="1044"/>
      <c r="WHL44" s="1044"/>
      <c r="WHM44" s="1044"/>
      <c r="WHN44" s="1044"/>
      <c r="WHO44" s="1044"/>
      <c r="WHP44" s="1044"/>
      <c r="WHQ44" s="1044"/>
      <c r="WHR44" s="1044"/>
      <c r="WHS44" s="1044"/>
      <c r="WHT44" s="1044"/>
      <c r="WHU44" s="1044"/>
      <c r="WHV44" s="1044"/>
      <c r="WHW44" s="1044"/>
      <c r="WHX44" s="1044"/>
      <c r="WHY44" s="1044"/>
      <c r="WHZ44" s="1044"/>
      <c r="WIA44" s="1044"/>
      <c r="WIB44" s="1044"/>
      <c r="WIC44" s="1044"/>
      <c r="WID44" s="1044"/>
      <c r="WIE44" s="1044"/>
      <c r="WIF44" s="1044"/>
      <c r="WIG44" s="1044"/>
      <c r="WIH44" s="1044"/>
      <c r="WII44" s="1044"/>
      <c r="WIJ44" s="1044"/>
      <c r="WIK44" s="1044"/>
      <c r="WIL44" s="1044"/>
      <c r="WIM44" s="1044"/>
      <c r="WIN44" s="1044"/>
      <c r="WIO44" s="1044"/>
      <c r="WIP44" s="1044"/>
      <c r="WIQ44" s="1044"/>
      <c r="WIR44" s="1044"/>
      <c r="WIS44" s="1044"/>
      <c r="WIT44" s="1044"/>
      <c r="WIU44" s="1044"/>
      <c r="WIV44" s="1044"/>
      <c r="WIW44" s="1044"/>
      <c r="WIX44" s="1044"/>
      <c r="WIY44" s="1044"/>
      <c r="WIZ44" s="1044"/>
      <c r="WJA44" s="1044"/>
      <c r="WJB44" s="1044"/>
      <c r="WJC44" s="1044"/>
      <c r="WJD44" s="1044"/>
      <c r="WJE44" s="1044"/>
      <c r="WJF44" s="1044"/>
      <c r="WJG44" s="1044"/>
      <c r="WJH44" s="1044"/>
      <c r="WJI44" s="1044"/>
      <c r="WJJ44" s="1044"/>
      <c r="WJK44" s="1044"/>
      <c r="WJL44" s="1044"/>
      <c r="WJM44" s="1044"/>
      <c r="WJN44" s="1044"/>
      <c r="WJO44" s="1044"/>
      <c r="WJP44" s="1044"/>
      <c r="WJQ44" s="1044"/>
      <c r="WJR44" s="1044"/>
      <c r="WJS44" s="1044"/>
      <c r="WJT44" s="1044"/>
      <c r="WJU44" s="1044"/>
      <c r="WJV44" s="1044"/>
      <c r="WJW44" s="1044"/>
      <c r="WJX44" s="1044"/>
      <c r="WJY44" s="1044"/>
      <c r="WJZ44" s="1044"/>
      <c r="WKA44" s="1044"/>
      <c r="WKB44" s="1044"/>
      <c r="WKC44" s="1044"/>
      <c r="WKD44" s="1044"/>
      <c r="WKE44" s="1044"/>
      <c r="WKF44" s="1044"/>
      <c r="WKG44" s="1044"/>
      <c r="WKH44" s="1044"/>
      <c r="WKI44" s="1044"/>
      <c r="WKJ44" s="1044"/>
      <c r="WKK44" s="1044"/>
      <c r="WKL44" s="1044"/>
      <c r="WKM44" s="1044"/>
      <c r="WKN44" s="1044"/>
      <c r="WKO44" s="1044"/>
      <c r="WKP44" s="1044"/>
      <c r="WKQ44" s="1044"/>
      <c r="WKR44" s="1044"/>
      <c r="WKS44" s="1044"/>
      <c r="WKT44" s="1044"/>
      <c r="WKU44" s="1044"/>
      <c r="WKV44" s="1044"/>
      <c r="WKW44" s="1044"/>
      <c r="WKX44" s="1044"/>
      <c r="WKY44" s="1044"/>
      <c r="WKZ44" s="1044"/>
      <c r="WLA44" s="1044"/>
      <c r="WLB44" s="1044"/>
      <c r="WLC44" s="1044"/>
      <c r="WLD44" s="1044"/>
      <c r="WLE44" s="1044"/>
      <c r="WLF44" s="1044"/>
      <c r="WLG44" s="1044"/>
      <c r="WLH44" s="1044"/>
      <c r="WLI44" s="1044"/>
      <c r="WLJ44" s="1044"/>
      <c r="WLK44" s="1044"/>
      <c r="WLL44" s="1044"/>
      <c r="WLM44" s="1044"/>
      <c r="WLN44" s="1044"/>
      <c r="WLO44" s="1044"/>
      <c r="WLP44" s="1044"/>
      <c r="WLQ44" s="1044"/>
      <c r="WLR44" s="1044"/>
      <c r="WLS44" s="1044"/>
      <c r="WLT44" s="1044"/>
      <c r="WLU44" s="1044"/>
      <c r="WLV44" s="1044"/>
      <c r="WLW44" s="1044"/>
      <c r="WLX44" s="1044"/>
      <c r="WLY44" s="1044"/>
      <c r="WLZ44" s="1044"/>
      <c r="WMA44" s="1044"/>
      <c r="WMB44" s="1044"/>
      <c r="WMC44" s="1044"/>
      <c r="WMD44" s="1044"/>
      <c r="WME44" s="1044"/>
      <c r="WMF44" s="1044"/>
      <c r="WMG44" s="1044"/>
      <c r="WMH44" s="1044"/>
      <c r="WMI44" s="1044"/>
      <c r="WMJ44" s="1044"/>
      <c r="WMK44" s="1044"/>
      <c r="WML44" s="1044"/>
      <c r="WMM44" s="1044"/>
      <c r="WMN44" s="1044"/>
      <c r="WMO44" s="1044"/>
      <c r="WMP44" s="1044"/>
      <c r="WMQ44" s="1044"/>
      <c r="WMR44" s="1044"/>
      <c r="WMS44" s="1044"/>
      <c r="WMT44" s="1044"/>
      <c r="WMU44" s="1044"/>
      <c r="WMV44" s="1044"/>
      <c r="WMW44" s="1044"/>
      <c r="WMX44" s="1044"/>
      <c r="WMY44" s="1044"/>
      <c r="WMZ44" s="1044"/>
      <c r="WNA44" s="1044"/>
      <c r="WNB44" s="1044"/>
      <c r="WNC44" s="1044"/>
      <c r="WND44" s="1044"/>
      <c r="WNE44" s="1044"/>
      <c r="WNF44" s="1044"/>
      <c r="WNG44" s="1044"/>
      <c r="WNH44" s="1044"/>
      <c r="WNI44" s="1044"/>
      <c r="WNJ44" s="1044"/>
      <c r="WNK44" s="1044"/>
      <c r="WNL44" s="1044"/>
      <c r="WNM44" s="1044"/>
      <c r="WNN44" s="1044"/>
      <c r="WNO44" s="1044"/>
      <c r="WNP44" s="1044"/>
      <c r="WNQ44" s="1044"/>
      <c r="WNR44" s="1044"/>
      <c r="WNS44" s="1044"/>
      <c r="WNT44" s="1044"/>
      <c r="WNU44" s="1044"/>
      <c r="WNV44" s="1044"/>
      <c r="WNW44" s="1044"/>
      <c r="WNX44" s="1044"/>
      <c r="WNY44" s="1044"/>
      <c r="WNZ44" s="1044"/>
      <c r="WOA44" s="1044"/>
      <c r="WOB44" s="1044"/>
      <c r="WOC44" s="1044"/>
      <c r="WOD44" s="1044"/>
      <c r="WOE44" s="1044"/>
      <c r="WOF44" s="1044"/>
      <c r="WOG44" s="1044"/>
      <c r="WOH44" s="1044"/>
      <c r="WOI44" s="1044"/>
      <c r="WOJ44" s="1044"/>
      <c r="WOK44" s="1044"/>
      <c r="WOL44" s="1044"/>
      <c r="WOM44" s="1044"/>
      <c r="WON44" s="1044"/>
      <c r="WOO44" s="1044"/>
      <c r="WOP44" s="1044"/>
      <c r="WOQ44" s="1044"/>
      <c r="WOR44" s="1044"/>
      <c r="WOS44" s="1044"/>
      <c r="WOT44" s="1044"/>
      <c r="WOU44" s="1044"/>
      <c r="WOV44" s="1044"/>
      <c r="WOW44" s="1044"/>
      <c r="WOX44" s="1044"/>
      <c r="WOY44" s="1044"/>
      <c r="WOZ44" s="1044"/>
      <c r="WPA44" s="1044"/>
      <c r="WPB44" s="1044"/>
      <c r="WPC44" s="1044"/>
      <c r="WPD44" s="1044"/>
      <c r="WPE44" s="1044"/>
      <c r="WPF44" s="1044"/>
      <c r="WPG44" s="1044"/>
      <c r="WPH44" s="1044"/>
      <c r="WPI44" s="1044"/>
      <c r="WPJ44" s="1044"/>
      <c r="WPK44" s="1044"/>
      <c r="WPL44" s="1044"/>
      <c r="WPM44" s="1044"/>
      <c r="WPN44" s="1044"/>
      <c r="WPO44" s="1044"/>
      <c r="WPP44" s="1044"/>
      <c r="WPQ44" s="1044"/>
      <c r="WPR44" s="1044"/>
      <c r="WPS44" s="1044"/>
      <c r="WPT44" s="1044"/>
      <c r="WPU44" s="1044"/>
      <c r="WPV44" s="1044"/>
      <c r="WPW44" s="1044"/>
      <c r="WPX44" s="1044"/>
      <c r="WPY44" s="1044"/>
      <c r="WPZ44" s="1044"/>
      <c r="WQA44" s="1044"/>
      <c r="WQB44" s="1044"/>
      <c r="WQC44" s="1044"/>
      <c r="WQD44" s="1044"/>
      <c r="WQE44" s="1044"/>
      <c r="WQF44" s="1044"/>
      <c r="WQG44" s="1044"/>
      <c r="WQH44" s="1044"/>
      <c r="WQI44" s="1044"/>
      <c r="WQJ44" s="1044"/>
      <c r="WQK44" s="1044"/>
      <c r="WQL44" s="1044"/>
      <c r="WQM44" s="1044"/>
      <c r="WQN44" s="1044"/>
      <c r="WQO44" s="1044"/>
      <c r="WQP44" s="1044"/>
      <c r="WQQ44" s="1044"/>
      <c r="WQR44" s="1044"/>
      <c r="WQS44" s="1044"/>
      <c r="WQT44" s="1044"/>
      <c r="WQU44" s="1044"/>
      <c r="WQV44" s="1044"/>
      <c r="WQW44" s="1044"/>
      <c r="WQX44" s="1044"/>
      <c r="WQY44" s="1044"/>
      <c r="WQZ44" s="1044"/>
      <c r="WRA44" s="1044"/>
      <c r="WRB44" s="1044"/>
      <c r="WRC44" s="1044"/>
      <c r="WRD44" s="1044"/>
      <c r="WRE44" s="1044"/>
      <c r="WRF44" s="1044"/>
      <c r="WRG44" s="1044"/>
      <c r="WRH44" s="1044"/>
      <c r="WRI44" s="1044"/>
      <c r="WRJ44" s="1044"/>
      <c r="WRK44" s="1044"/>
      <c r="WRL44" s="1044"/>
      <c r="WRM44" s="1044"/>
      <c r="WRN44" s="1044"/>
      <c r="WRO44" s="1044"/>
      <c r="WRP44" s="1044"/>
      <c r="WRQ44" s="1044"/>
      <c r="WRR44" s="1044"/>
      <c r="WRS44" s="1044"/>
      <c r="WRT44" s="1044"/>
      <c r="WRU44" s="1044"/>
      <c r="WRV44" s="1044"/>
      <c r="WRW44" s="1044"/>
      <c r="WRX44" s="1044"/>
      <c r="WRY44" s="1044"/>
      <c r="WRZ44" s="1044"/>
      <c r="WSA44" s="1044"/>
      <c r="WSB44" s="1044"/>
      <c r="WSC44" s="1044"/>
      <c r="WSD44" s="1044"/>
      <c r="WSE44" s="1044"/>
      <c r="WSF44" s="1044"/>
      <c r="WSG44" s="1044"/>
      <c r="WSH44" s="1044"/>
      <c r="WSI44" s="1044"/>
      <c r="WSJ44" s="1044"/>
      <c r="WSK44" s="1044"/>
      <c r="WSL44" s="1044"/>
      <c r="WSM44" s="1044"/>
      <c r="WSN44" s="1044"/>
      <c r="WSO44" s="1044"/>
      <c r="WSP44" s="1044"/>
      <c r="WSQ44" s="1044"/>
      <c r="WSR44" s="1044"/>
      <c r="WSS44" s="1044"/>
      <c r="WST44" s="1044"/>
      <c r="WSU44" s="1044"/>
      <c r="WSV44" s="1044"/>
      <c r="WSW44" s="1044"/>
      <c r="WSX44" s="1044"/>
      <c r="WSY44" s="1044"/>
      <c r="WSZ44" s="1044"/>
      <c r="WTA44" s="1044"/>
      <c r="WTB44" s="1044"/>
      <c r="WTC44" s="1044"/>
      <c r="WTD44" s="1044"/>
      <c r="WTE44" s="1044"/>
      <c r="WTF44" s="1044"/>
      <c r="WTG44" s="1044"/>
      <c r="WTH44" s="1044"/>
      <c r="WTI44" s="1044"/>
      <c r="WTJ44" s="1044"/>
      <c r="WTK44" s="1044"/>
      <c r="WTL44" s="1044"/>
      <c r="WTM44" s="1044"/>
      <c r="WTN44" s="1044"/>
      <c r="WTO44" s="1044"/>
      <c r="WTP44" s="1044"/>
      <c r="WTQ44" s="1044"/>
      <c r="WTR44" s="1044"/>
      <c r="WTS44" s="1044"/>
      <c r="WTT44" s="1044"/>
      <c r="WTU44" s="1044"/>
      <c r="WTV44" s="1044"/>
      <c r="WTW44" s="1044"/>
      <c r="WTX44" s="1044"/>
      <c r="WTY44" s="1044"/>
      <c r="WTZ44" s="1044"/>
      <c r="WUA44" s="1044"/>
      <c r="WUB44" s="1044"/>
      <c r="WUC44" s="1044"/>
      <c r="WUD44" s="1044"/>
      <c r="WUE44" s="1044"/>
      <c r="WUF44" s="1044"/>
      <c r="WUG44" s="1044"/>
      <c r="WUH44" s="1044"/>
      <c r="WUI44" s="1044"/>
      <c r="WUJ44" s="1044"/>
      <c r="WUK44" s="1044"/>
      <c r="WUL44" s="1044"/>
      <c r="WUM44" s="1044"/>
      <c r="WUN44" s="1044"/>
      <c r="WUO44" s="1044"/>
      <c r="WUP44" s="1044"/>
      <c r="WUQ44" s="1044"/>
      <c r="WUR44" s="1044"/>
      <c r="WUS44" s="1044"/>
      <c r="WUT44" s="1044"/>
      <c r="WUU44" s="1044"/>
      <c r="WUV44" s="1044"/>
      <c r="WUW44" s="1044"/>
      <c r="WUX44" s="1044"/>
      <c r="WUY44" s="1044"/>
      <c r="WUZ44" s="1044"/>
      <c r="WVA44" s="1044"/>
      <c r="WVB44" s="1044"/>
      <c r="WVC44" s="1044"/>
      <c r="WVD44" s="1044"/>
      <c r="WVE44" s="1044"/>
      <c r="WVF44" s="1044"/>
      <c r="WVG44" s="1044"/>
      <c r="WVH44" s="1044"/>
      <c r="WVI44" s="1044"/>
      <c r="WVJ44" s="1044"/>
      <c r="WVK44" s="1044"/>
      <c r="WVL44" s="1044"/>
      <c r="WVM44" s="1044"/>
      <c r="WVN44" s="1044"/>
      <c r="WVO44" s="1044"/>
      <c r="WVP44" s="1044"/>
      <c r="WVQ44" s="1044"/>
      <c r="WVR44" s="1044"/>
      <c r="WVS44" s="1044"/>
      <c r="WVT44" s="1044"/>
      <c r="WVU44" s="1044"/>
      <c r="WVV44" s="1044"/>
      <c r="WVW44" s="1044"/>
      <c r="WVX44" s="1044"/>
      <c r="WVY44" s="1044"/>
      <c r="WVZ44" s="1044"/>
      <c r="WWA44" s="1044"/>
      <c r="WWB44" s="1044"/>
      <c r="WWC44" s="1044"/>
      <c r="WWD44" s="1044"/>
      <c r="WWE44" s="1044"/>
      <c r="WWF44" s="1044"/>
      <c r="WWG44" s="1044"/>
      <c r="WWH44" s="1044"/>
      <c r="WWI44" s="1044"/>
      <c r="WWJ44" s="1044"/>
      <c r="WWK44" s="1044"/>
      <c r="WWL44" s="1044"/>
      <c r="WWM44" s="1044"/>
      <c r="WWN44" s="1044"/>
      <c r="WWO44" s="1044"/>
      <c r="WWP44" s="1044"/>
      <c r="WWQ44" s="1044"/>
      <c r="WWR44" s="1044"/>
      <c r="WWS44" s="1044"/>
      <c r="WWT44" s="1044"/>
      <c r="WWU44" s="1044"/>
      <c r="WWV44" s="1044"/>
      <c r="WWW44" s="1044"/>
      <c r="WWX44" s="1044"/>
      <c r="WWY44" s="1044"/>
      <c r="WWZ44" s="1044"/>
      <c r="WXA44" s="1044"/>
      <c r="WXB44" s="1044"/>
      <c r="WXC44" s="1044"/>
      <c r="WXD44" s="1044"/>
      <c r="WXE44" s="1044"/>
      <c r="WXF44" s="1044"/>
      <c r="WXG44" s="1044"/>
      <c r="WXH44" s="1044"/>
      <c r="WXI44" s="1044"/>
      <c r="WXJ44" s="1044"/>
      <c r="WXK44" s="1044"/>
      <c r="WXL44" s="1044"/>
      <c r="WXM44" s="1044"/>
      <c r="WXN44" s="1044"/>
      <c r="WXO44" s="1044"/>
      <c r="WXP44" s="1044"/>
      <c r="WXQ44" s="1044"/>
      <c r="WXR44" s="1044"/>
      <c r="WXS44" s="1044"/>
      <c r="WXT44" s="1044"/>
      <c r="WXU44" s="1044"/>
      <c r="WXV44" s="1044"/>
      <c r="WXW44" s="1044"/>
      <c r="WXX44" s="1044"/>
      <c r="WXY44" s="1044"/>
      <c r="WXZ44" s="1044"/>
      <c r="WYA44" s="1044"/>
      <c r="WYB44" s="1044"/>
      <c r="WYC44" s="1044"/>
      <c r="WYD44" s="1044"/>
      <c r="WYE44" s="1044"/>
      <c r="WYF44" s="1044"/>
      <c r="WYG44" s="1044"/>
      <c r="WYH44" s="1044"/>
      <c r="WYI44" s="1044"/>
      <c r="WYJ44" s="1044"/>
      <c r="WYK44" s="1044"/>
      <c r="WYL44" s="1044"/>
      <c r="WYM44" s="1044"/>
      <c r="WYN44" s="1044"/>
      <c r="WYO44" s="1044"/>
      <c r="WYP44" s="1044"/>
      <c r="WYQ44" s="1044"/>
      <c r="WYR44" s="1044"/>
      <c r="WYS44" s="1044"/>
      <c r="WYT44" s="1044"/>
      <c r="WYU44" s="1044"/>
      <c r="WYV44" s="1044"/>
      <c r="WYW44" s="1044"/>
      <c r="WYX44" s="1044"/>
      <c r="WYY44" s="1044"/>
      <c r="WYZ44" s="1044"/>
      <c r="WZA44" s="1044"/>
      <c r="WZB44" s="1044"/>
      <c r="WZC44" s="1044"/>
      <c r="WZD44" s="1044"/>
      <c r="WZE44" s="1044"/>
      <c r="WZF44" s="1044"/>
      <c r="WZG44" s="1044"/>
      <c r="WZH44" s="1044"/>
      <c r="WZI44" s="1044"/>
      <c r="WZJ44" s="1044"/>
      <c r="WZK44" s="1044"/>
      <c r="WZL44" s="1044"/>
      <c r="WZM44" s="1044"/>
      <c r="WZN44" s="1044"/>
      <c r="WZO44" s="1044"/>
      <c r="WZP44" s="1044"/>
      <c r="WZQ44" s="1044"/>
      <c r="WZR44" s="1044"/>
      <c r="WZS44" s="1044"/>
      <c r="WZT44" s="1044"/>
      <c r="WZU44" s="1044"/>
      <c r="WZV44" s="1044"/>
      <c r="WZW44" s="1044"/>
      <c r="WZX44" s="1044"/>
      <c r="WZY44" s="1044"/>
      <c r="WZZ44" s="1044"/>
      <c r="XAA44" s="1044"/>
      <c r="XAB44" s="1044"/>
      <c r="XAC44" s="1044"/>
      <c r="XAD44" s="1044"/>
      <c r="XAE44" s="1044"/>
      <c r="XAF44" s="1044"/>
      <c r="XAG44" s="1044"/>
      <c r="XAH44" s="1044"/>
      <c r="XAI44" s="1044"/>
      <c r="XAJ44" s="1044"/>
      <c r="XAK44" s="1044"/>
      <c r="XAL44" s="1044"/>
      <c r="XAM44" s="1044"/>
      <c r="XAN44" s="1044"/>
      <c r="XAO44" s="1044"/>
      <c r="XAP44" s="1044"/>
      <c r="XAQ44" s="1044"/>
      <c r="XAR44" s="1044"/>
      <c r="XAS44" s="1044"/>
      <c r="XAT44" s="1044"/>
      <c r="XAU44" s="1044"/>
      <c r="XAV44" s="1044"/>
      <c r="XAW44" s="1044"/>
      <c r="XAX44" s="1044"/>
      <c r="XAY44" s="1044"/>
      <c r="XAZ44" s="1044"/>
      <c r="XBA44" s="1044"/>
      <c r="XBB44" s="1044"/>
      <c r="XBC44" s="1044"/>
      <c r="XBD44" s="1044"/>
      <c r="XBE44" s="1044"/>
      <c r="XBF44" s="1044"/>
      <c r="XBG44" s="1044"/>
      <c r="XBH44" s="1044"/>
      <c r="XBI44" s="1044"/>
      <c r="XBJ44" s="1044"/>
      <c r="XBK44" s="1044"/>
      <c r="XBL44" s="1044"/>
      <c r="XBM44" s="1044"/>
      <c r="XBN44" s="1044"/>
      <c r="XBO44" s="1044"/>
      <c r="XBP44" s="1044"/>
      <c r="XBQ44" s="1044"/>
      <c r="XBR44" s="1044"/>
      <c r="XBS44" s="1044"/>
      <c r="XBT44" s="1044"/>
      <c r="XBU44" s="1044"/>
      <c r="XBV44" s="1044"/>
      <c r="XBW44" s="1044"/>
      <c r="XBX44" s="1044"/>
      <c r="XBY44" s="1044"/>
      <c r="XBZ44" s="1044"/>
      <c r="XCA44" s="1044"/>
      <c r="XCB44" s="1044"/>
      <c r="XCC44" s="1044"/>
      <c r="XCD44" s="1044"/>
      <c r="XCE44" s="1044"/>
      <c r="XCF44" s="1044"/>
      <c r="XCG44" s="1044"/>
      <c r="XCH44" s="1044"/>
      <c r="XCI44" s="1044"/>
      <c r="XCJ44" s="1044"/>
      <c r="XCK44" s="1044"/>
      <c r="XCL44" s="1044"/>
      <c r="XCM44" s="1044"/>
      <c r="XCN44" s="1044"/>
      <c r="XCO44" s="1044"/>
      <c r="XCP44" s="1044"/>
      <c r="XCQ44" s="1044"/>
      <c r="XCR44" s="1044"/>
      <c r="XCS44" s="1044"/>
      <c r="XCT44" s="1044"/>
      <c r="XCU44" s="1044"/>
      <c r="XCV44" s="1044"/>
      <c r="XCW44" s="1044"/>
      <c r="XCX44" s="1044"/>
      <c r="XCY44" s="1044"/>
      <c r="XCZ44" s="1044"/>
      <c r="XDA44" s="1044"/>
      <c r="XDB44" s="1044"/>
      <c r="XDC44" s="1044"/>
      <c r="XDD44" s="1044"/>
      <c r="XDE44" s="1044"/>
      <c r="XDF44" s="1044"/>
      <c r="XDG44" s="1044"/>
      <c r="XDH44" s="1044"/>
      <c r="XDI44" s="1044"/>
      <c r="XDJ44" s="1044"/>
      <c r="XDK44" s="1044"/>
      <c r="XDL44" s="1044"/>
      <c r="XDM44" s="1044"/>
      <c r="XDN44" s="1044"/>
      <c r="XDO44" s="1044"/>
      <c r="XDP44" s="1044"/>
      <c r="XDQ44" s="1044"/>
      <c r="XDR44" s="1044"/>
      <c r="XDS44" s="1044"/>
      <c r="XDT44" s="1044"/>
      <c r="XDU44" s="1044"/>
      <c r="XDV44" s="1044"/>
      <c r="XDW44" s="1044"/>
      <c r="XDX44" s="1044"/>
      <c r="XDY44" s="1044"/>
      <c r="XDZ44" s="1044"/>
      <c r="XEA44" s="1044"/>
      <c r="XEB44" s="1044"/>
      <c r="XEC44" s="1044"/>
    </row>
    <row r="45" spans="1:16357" ht="57.75" customHeight="1">
      <c r="A45" s="117" t="s">
        <v>99</v>
      </c>
      <c r="B45" s="122" t="s">
        <v>100</v>
      </c>
      <c r="C45" s="118"/>
      <c r="D45" s="118"/>
      <c r="E45" s="118"/>
      <c r="F45" s="118"/>
      <c r="G45" s="118"/>
      <c r="H45" s="118"/>
      <c r="I45" s="119"/>
      <c r="J45" s="118"/>
      <c r="K45" s="118"/>
      <c r="L45" s="118"/>
      <c r="M45" s="118"/>
      <c r="N45" s="118"/>
      <c r="O45" s="117"/>
      <c r="P45" s="117"/>
      <c r="Q45" s="117"/>
      <c r="R45" s="117"/>
      <c r="S45" s="1044"/>
      <c r="T45" s="1044"/>
      <c r="U45" s="1044"/>
      <c r="V45" s="1044"/>
      <c r="W45" s="1044"/>
      <c r="X45" s="1044"/>
      <c r="Y45" s="1044"/>
      <c r="Z45" s="1044"/>
      <c r="AA45" s="1044"/>
      <c r="AB45" s="1044"/>
      <c r="AC45" s="1044"/>
      <c r="AD45" s="1044"/>
      <c r="AE45" s="1044"/>
      <c r="AF45" s="1044"/>
      <c r="AG45" s="1044"/>
      <c r="AH45" s="6"/>
      <c r="AI45" s="38"/>
      <c r="AJ45" s="6"/>
      <c r="AK45" s="98"/>
      <c r="AL45" s="5"/>
      <c r="AM45" s="190"/>
      <c r="AN45" s="190"/>
      <c r="AO45" s="190"/>
      <c r="AP45" s="190"/>
      <c r="AQ45" s="190"/>
      <c r="AR45" s="190"/>
      <c r="AS45" s="190"/>
      <c r="AT45" s="190"/>
      <c r="AU45" s="190"/>
      <c r="AV45" s="190"/>
      <c r="AW45" s="190"/>
      <c r="AX45" s="1044"/>
      <c r="AY45" s="1044"/>
      <c r="AZ45" s="1044"/>
      <c r="BA45" s="1044"/>
      <c r="BB45" s="1044"/>
      <c r="BC45" s="1044"/>
      <c r="BD45" s="1044"/>
      <c r="BE45" s="1044"/>
      <c r="BF45" s="1044"/>
      <c r="BG45" s="1044"/>
      <c r="BH45" s="1044"/>
      <c r="BI45" s="1044"/>
      <c r="BJ45" s="1044"/>
      <c r="BK45" s="1044"/>
      <c r="BL45" s="1044"/>
      <c r="BM45" s="1044"/>
      <c r="BN45" s="1044"/>
      <c r="BO45" s="1044"/>
      <c r="BP45" s="1044"/>
      <c r="BQ45" s="1044"/>
      <c r="BR45" s="1044"/>
      <c r="BS45" s="1044"/>
      <c r="BT45" s="1044"/>
      <c r="BU45" s="1044"/>
      <c r="BV45" s="987"/>
      <c r="BW45" s="987"/>
      <c r="BX45" s="904"/>
      <c r="BY45" s="1044"/>
      <c r="BZ45" s="1044"/>
      <c r="CA45" s="1044"/>
      <c r="CB45" s="1044"/>
      <c r="CC45" s="1044"/>
      <c r="CD45" s="1044"/>
      <c r="CE45" s="1044"/>
      <c r="CF45" s="1044"/>
      <c r="CG45" s="1044"/>
      <c r="CH45" s="1044"/>
      <c r="CI45" s="1044"/>
      <c r="CJ45" s="1044"/>
      <c r="CK45" s="1044"/>
      <c r="CL45" s="1044"/>
      <c r="CM45" s="1044"/>
      <c r="CN45" s="1044"/>
      <c r="CO45" s="1044"/>
      <c r="CP45" s="1044"/>
      <c r="CQ45" s="1044"/>
      <c r="CR45" s="1044"/>
      <c r="CS45" s="1044"/>
      <c r="CT45" s="1044"/>
      <c r="CU45" s="1044"/>
      <c r="CV45" s="1044"/>
      <c r="CW45" s="1044"/>
      <c r="CX45" s="1044"/>
      <c r="CY45" s="1044"/>
      <c r="CZ45" s="1044"/>
      <c r="DA45" s="1044"/>
      <c r="DB45" s="1044"/>
      <c r="DC45" s="1044"/>
      <c r="DD45" s="1044"/>
      <c r="DE45" s="1044"/>
      <c r="DF45" s="1044"/>
      <c r="DG45" s="1044"/>
      <c r="DH45" s="1044"/>
      <c r="DI45" s="1044"/>
      <c r="DJ45" s="1044"/>
      <c r="DK45" s="1044"/>
      <c r="DL45" s="1044"/>
      <c r="DM45" s="1044"/>
      <c r="DN45" s="1044"/>
      <c r="DO45" s="1044"/>
      <c r="DP45" s="1044"/>
      <c r="DQ45" s="1044"/>
      <c r="DR45" s="1044"/>
      <c r="DS45" s="1044"/>
      <c r="DT45" s="1044"/>
      <c r="DU45" s="1044"/>
      <c r="DV45" s="1044"/>
      <c r="DW45" s="1044"/>
      <c r="DX45" s="1044"/>
      <c r="DY45" s="1044"/>
      <c r="DZ45" s="1044"/>
      <c r="EA45" s="1044"/>
      <c r="EB45" s="1044"/>
      <c r="EC45" s="1044"/>
      <c r="ED45" s="1044"/>
      <c r="EE45" s="1044"/>
      <c r="EF45" s="1044"/>
      <c r="EG45" s="1044"/>
      <c r="EH45" s="1044"/>
      <c r="EI45" s="1044"/>
      <c r="EJ45" s="1044"/>
      <c r="EK45" s="1044"/>
      <c r="EL45" s="1044"/>
      <c r="EM45" s="1044"/>
      <c r="EN45" s="1044"/>
      <c r="EO45" s="1044"/>
      <c r="EP45" s="1044"/>
      <c r="EQ45" s="1044"/>
      <c r="ER45" s="1044"/>
      <c r="ES45" s="1044"/>
      <c r="ET45" s="1044"/>
      <c r="EU45" s="1044"/>
      <c r="EV45" s="1044"/>
      <c r="EW45" s="1044"/>
      <c r="EX45" s="1044"/>
      <c r="EY45" s="1044"/>
      <c r="EZ45" s="1044"/>
      <c r="FA45" s="1044"/>
      <c r="FB45" s="1044"/>
      <c r="FC45" s="1044"/>
      <c r="FD45" s="1044"/>
      <c r="FE45" s="1044"/>
      <c r="FF45" s="1044"/>
      <c r="FG45" s="1044"/>
      <c r="FH45" s="1044"/>
      <c r="FI45" s="1044"/>
      <c r="FJ45" s="1044"/>
      <c r="FK45" s="1044"/>
      <c r="FL45" s="1044"/>
      <c r="FM45" s="1044"/>
      <c r="FN45" s="1044"/>
      <c r="FO45" s="1044"/>
      <c r="FP45" s="1044"/>
      <c r="FQ45" s="1044"/>
      <c r="FR45" s="1044"/>
      <c r="FS45" s="1044"/>
      <c r="FT45" s="1044"/>
      <c r="FU45" s="1044"/>
      <c r="FV45" s="1044"/>
      <c r="FW45" s="1044"/>
      <c r="FX45" s="1044"/>
      <c r="FY45" s="1044"/>
      <c r="FZ45" s="1044"/>
      <c r="GA45" s="1044"/>
      <c r="GB45" s="1044"/>
      <c r="GC45" s="1044"/>
      <c r="GD45" s="1044"/>
      <c r="GE45" s="1044"/>
      <c r="GF45" s="1044"/>
      <c r="GG45" s="1044"/>
      <c r="GH45" s="1044"/>
      <c r="GI45" s="1044"/>
      <c r="GJ45" s="1044"/>
      <c r="GK45" s="1044"/>
      <c r="GL45" s="1044"/>
      <c r="GM45" s="1044"/>
      <c r="GN45" s="1044"/>
      <c r="GO45" s="1044"/>
      <c r="GP45" s="1044"/>
      <c r="GQ45" s="1044"/>
      <c r="GR45" s="1044"/>
      <c r="GS45" s="1044"/>
      <c r="GT45" s="1044"/>
      <c r="GU45" s="1044"/>
      <c r="GV45" s="1044"/>
      <c r="GW45" s="1044"/>
      <c r="GX45" s="1044"/>
      <c r="GY45" s="1044"/>
      <c r="GZ45" s="1044"/>
      <c r="HA45" s="1044"/>
      <c r="HB45" s="1044"/>
      <c r="HC45" s="1044"/>
      <c r="HD45" s="1044"/>
      <c r="HE45" s="1044"/>
      <c r="HF45" s="1044"/>
      <c r="HG45" s="1044"/>
      <c r="HH45" s="1044"/>
      <c r="HI45" s="1044"/>
      <c r="HJ45" s="1044"/>
      <c r="HK45" s="1044"/>
      <c r="HL45" s="1044"/>
      <c r="HM45" s="1044"/>
      <c r="HN45" s="1044"/>
      <c r="HO45" s="1044"/>
      <c r="HP45" s="1044"/>
      <c r="HQ45" s="1044"/>
      <c r="HR45" s="1044"/>
      <c r="HS45" s="1044"/>
      <c r="HT45" s="1044"/>
      <c r="HU45" s="1044"/>
      <c r="HV45" s="1044"/>
      <c r="HW45" s="1044"/>
      <c r="HX45" s="1044"/>
      <c r="HY45" s="1044"/>
      <c r="HZ45" s="1044"/>
      <c r="IA45" s="1044"/>
      <c r="IB45" s="1044"/>
      <c r="IC45" s="1044"/>
      <c r="ID45" s="1044"/>
      <c r="IE45" s="1044"/>
      <c r="IF45" s="1044"/>
      <c r="IG45" s="1044"/>
      <c r="IH45" s="1044"/>
      <c r="II45" s="1044"/>
      <c r="IJ45" s="1044"/>
      <c r="IK45" s="1044"/>
      <c r="IL45" s="1044"/>
      <c r="IM45" s="1044"/>
      <c r="IN45" s="1044"/>
      <c r="IO45" s="1044"/>
      <c r="IP45" s="1044"/>
      <c r="IQ45" s="1044"/>
      <c r="IR45" s="1044"/>
      <c r="IS45" s="1044"/>
      <c r="IT45" s="1044"/>
      <c r="IU45" s="1044"/>
      <c r="IV45" s="1044"/>
      <c r="IW45" s="1044"/>
      <c r="IX45" s="1044"/>
      <c r="IY45" s="1044"/>
      <c r="IZ45" s="1044"/>
      <c r="JA45" s="1044"/>
      <c r="JB45" s="1044"/>
      <c r="JC45" s="1044"/>
      <c r="JD45" s="1044"/>
      <c r="JE45" s="1044"/>
      <c r="JF45" s="1044"/>
      <c r="JG45" s="1044"/>
      <c r="JH45" s="1044"/>
      <c r="JI45" s="1044"/>
      <c r="JJ45" s="1044"/>
      <c r="JK45" s="1044"/>
      <c r="JL45" s="1044"/>
      <c r="JM45" s="1044"/>
      <c r="JN45" s="1044"/>
      <c r="JO45" s="1044"/>
      <c r="JP45" s="1044"/>
      <c r="JQ45" s="1044"/>
      <c r="JR45" s="1044"/>
      <c r="JS45" s="1044"/>
      <c r="JT45" s="1044"/>
      <c r="JU45" s="1044"/>
      <c r="JV45" s="1044"/>
      <c r="JW45" s="1044"/>
      <c r="JX45" s="1044"/>
      <c r="JY45" s="1044"/>
      <c r="JZ45" s="1044"/>
      <c r="KA45" s="1044"/>
      <c r="KB45" s="1044"/>
      <c r="KC45" s="1044"/>
      <c r="KD45" s="1044"/>
      <c r="KE45" s="1044"/>
      <c r="KF45" s="1044"/>
      <c r="KG45" s="1044"/>
      <c r="KH45" s="1044"/>
      <c r="KI45" s="1044"/>
      <c r="KJ45" s="1044"/>
      <c r="KK45" s="1044"/>
      <c r="KL45" s="1044"/>
      <c r="KM45" s="1044"/>
      <c r="KN45" s="1044"/>
      <c r="KO45" s="1044"/>
      <c r="KP45" s="1044"/>
      <c r="KQ45" s="1044"/>
      <c r="KR45" s="1044"/>
      <c r="KS45" s="1044"/>
      <c r="KT45" s="1044"/>
      <c r="KU45" s="1044"/>
      <c r="KV45" s="1044"/>
      <c r="KW45" s="1044"/>
      <c r="KX45" s="1044"/>
      <c r="KY45" s="1044"/>
      <c r="KZ45" s="1044"/>
      <c r="LA45" s="1044"/>
      <c r="LB45" s="1044"/>
      <c r="LC45" s="1044"/>
      <c r="LD45" s="1044"/>
      <c r="LE45" s="1044"/>
      <c r="LF45" s="1044"/>
      <c r="LG45" s="1044"/>
      <c r="LH45" s="1044"/>
      <c r="LI45" s="1044"/>
      <c r="LJ45" s="1044"/>
      <c r="LK45" s="1044"/>
      <c r="LL45" s="1044"/>
      <c r="LM45" s="1044"/>
      <c r="LN45" s="1044"/>
      <c r="LO45" s="1044"/>
      <c r="LP45" s="1044"/>
      <c r="LQ45" s="1044"/>
      <c r="LR45" s="1044"/>
      <c r="LS45" s="1044"/>
      <c r="LT45" s="1044"/>
      <c r="LU45" s="1044"/>
      <c r="LV45" s="1044"/>
      <c r="LW45" s="1044"/>
      <c r="LX45" s="1044"/>
      <c r="LY45" s="1044"/>
      <c r="LZ45" s="1044"/>
      <c r="MA45" s="1044"/>
      <c r="MB45" s="1044"/>
      <c r="MC45" s="1044"/>
      <c r="MD45" s="1044"/>
      <c r="ME45" s="1044"/>
      <c r="MF45" s="1044"/>
      <c r="MG45" s="1044"/>
      <c r="MH45" s="1044"/>
      <c r="MI45" s="1044"/>
      <c r="MJ45" s="1044"/>
      <c r="MK45" s="1044"/>
      <c r="ML45" s="1044"/>
      <c r="MM45" s="1044"/>
      <c r="MN45" s="1044"/>
      <c r="MO45" s="1044"/>
      <c r="MP45" s="1044"/>
      <c r="MQ45" s="1044"/>
      <c r="MR45" s="1044"/>
      <c r="MS45" s="1044"/>
      <c r="MT45" s="1044"/>
      <c r="MU45" s="1044"/>
      <c r="MV45" s="1044"/>
      <c r="MW45" s="1044"/>
      <c r="MX45" s="1044"/>
      <c r="MY45" s="1044"/>
      <c r="MZ45" s="1044"/>
      <c r="NA45" s="1044"/>
      <c r="NB45" s="1044"/>
      <c r="NC45" s="1044"/>
      <c r="ND45" s="1044"/>
      <c r="NE45" s="1044"/>
      <c r="NF45" s="1044"/>
      <c r="NG45" s="1044"/>
      <c r="NH45" s="1044"/>
      <c r="NI45" s="1044"/>
      <c r="NJ45" s="1044"/>
      <c r="NK45" s="1044"/>
      <c r="NL45" s="1044"/>
      <c r="NM45" s="1044"/>
      <c r="NN45" s="1044"/>
      <c r="NO45" s="1044"/>
      <c r="NP45" s="1044"/>
      <c r="NQ45" s="1044"/>
      <c r="NR45" s="1044"/>
      <c r="NS45" s="1044"/>
      <c r="NT45" s="1044"/>
      <c r="NU45" s="1044"/>
      <c r="NV45" s="1044"/>
      <c r="NW45" s="1044"/>
      <c r="NX45" s="1044"/>
      <c r="NY45" s="1044"/>
      <c r="NZ45" s="1044"/>
      <c r="OA45" s="1044"/>
      <c r="OB45" s="1044"/>
      <c r="OC45" s="1044"/>
      <c r="OD45" s="1044"/>
      <c r="OE45" s="1044"/>
      <c r="OF45" s="1044"/>
      <c r="OG45" s="1044"/>
      <c r="OH45" s="1044"/>
      <c r="OI45" s="1044"/>
      <c r="OJ45" s="1044"/>
      <c r="OK45" s="1044"/>
      <c r="OL45" s="1044"/>
      <c r="OM45" s="1044"/>
      <c r="ON45" s="1044"/>
      <c r="OO45" s="1044"/>
      <c r="OP45" s="1044"/>
      <c r="OQ45" s="1044"/>
      <c r="OR45" s="1044"/>
      <c r="OS45" s="1044"/>
      <c r="OT45" s="1044"/>
      <c r="OU45" s="1044"/>
      <c r="OV45" s="1044"/>
      <c r="OW45" s="1044"/>
      <c r="OX45" s="1044"/>
      <c r="OY45" s="1044"/>
      <c r="OZ45" s="1044"/>
      <c r="PA45" s="1044"/>
      <c r="PB45" s="1044"/>
      <c r="PC45" s="1044"/>
      <c r="PD45" s="1044"/>
      <c r="PE45" s="1044"/>
      <c r="PF45" s="1044"/>
      <c r="PG45" s="1044"/>
      <c r="PH45" s="1044"/>
      <c r="PI45" s="1044"/>
      <c r="PJ45" s="1044"/>
      <c r="PK45" s="1044"/>
      <c r="PL45" s="1044"/>
      <c r="PM45" s="1044"/>
      <c r="PN45" s="1044"/>
      <c r="PO45" s="1044"/>
      <c r="PP45" s="1044"/>
      <c r="PQ45" s="1044"/>
      <c r="PR45" s="1044"/>
      <c r="PS45" s="1044"/>
      <c r="PT45" s="1044"/>
      <c r="PU45" s="1044"/>
      <c r="PV45" s="1044"/>
      <c r="PW45" s="1044"/>
      <c r="PX45" s="1044"/>
      <c r="PY45" s="1044"/>
      <c r="PZ45" s="1044"/>
      <c r="QA45" s="1044"/>
      <c r="QB45" s="1044"/>
      <c r="QC45" s="1044"/>
      <c r="QD45" s="1044"/>
      <c r="QE45" s="1044"/>
      <c r="QF45" s="1044"/>
      <c r="QG45" s="1044"/>
      <c r="QH45" s="1044"/>
      <c r="QI45" s="1044"/>
      <c r="QJ45" s="1044"/>
      <c r="QK45" s="1044"/>
      <c r="QL45" s="1044"/>
      <c r="QM45" s="1044"/>
      <c r="QN45" s="1044"/>
      <c r="QO45" s="1044"/>
      <c r="QP45" s="1044"/>
      <c r="QQ45" s="1044"/>
      <c r="QR45" s="1044"/>
      <c r="QS45" s="1044"/>
      <c r="QT45" s="1044"/>
      <c r="QU45" s="1044"/>
      <c r="QV45" s="1044"/>
      <c r="QW45" s="1044"/>
      <c r="QX45" s="1044"/>
      <c r="QY45" s="1044"/>
      <c r="QZ45" s="1044"/>
      <c r="RA45" s="1044"/>
      <c r="RB45" s="1044"/>
      <c r="RC45" s="1044"/>
      <c r="RD45" s="1044"/>
      <c r="RE45" s="1044"/>
      <c r="RF45" s="1044"/>
      <c r="RG45" s="1044"/>
      <c r="RH45" s="1044"/>
      <c r="RI45" s="1044"/>
      <c r="RJ45" s="1044"/>
      <c r="RK45" s="1044"/>
      <c r="RL45" s="1044"/>
      <c r="RM45" s="1044"/>
      <c r="RN45" s="1044"/>
      <c r="RO45" s="1044"/>
      <c r="RP45" s="1044"/>
      <c r="RQ45" s="1044"/>
      <c r="RR45" s="1044"/>
      <c r="RS45" s="1044"/>
      <c r="RT45" s="1044"/>
      <c r="RU45" s="1044"/>
      <c r="RV45" s="1044"/>
      <c r="RW45" s="1044"/>
      <c r="RX45" s="1044"/>
      <c r="RY45" s="1044"/>
      <c r="RZ45" s="1044"/>
      <c r="SA45" s="1044"/>
      <c r="SB45" s="1044"/>
      <c r="SC45" s="1044"/>
      <c r="SD45" s="1044"/>
      <c r="SE45" s="1044"/>
      <c r="SF45" s="1044"/>
      <c r="SG45" s="1044"/>
      <c r="SH45" s="1044"/>
      <c r="SI45" s="1044"/>
      <c r="SJ45" s="1044"/>
      <c r="SK45" s="1044"/>
      <c r="SL45" s="1044"/>
      <c r="SM45" s="1044"/>
      <c r="SN45" s="1044"/>
      <c r="SO45" s="1044"/>
      <c r="SP45" s="1044"/>
      <c r="SQ45" s="1044"/>
      <c r="SR45" s="1044"/>
      <c r="SS45" s="1044"/>
      <c r="ST45" s="1044"/>
      <c r="SU45" s="1044"/>
      <c r="SV45" s="1044"/>
      <c r="SW45" s="1044"/>
      <c r="SX45" s="1044"/>
      <c r="SY45" s="1044"/>
      <c r="SZ45" s="1044"/>
      <c r="TA45" s="1044"/>
      <c r="TB45" s="1044"/>
      <c r="TC45" s="1044"/>
      <c r="TD45" s="1044"/>
      <c r="TE45" s="1044"/>
      <c r="TF45" s="1044"/>
      <c r="TG45" s="1044"/>
      <c r="TH45" s="1044"/>
      <c r="TI45" s="1044"/>
      <c r="TJ45" s="1044"/>
      <c r="TK45" s="1044"/>
      <c r="TL45" s="1044"/>
      <c r="TM45" s="1044"/>
      <c r="TN45" s="1044"/>
      <c r="TO45" s="1044"/>
      <c r="TP45" s="1044"/>
      <c r="TQ45" s="1044"/>
      <c r="TR45" s="1044"/>
      <c r="TS45" s="1044"/>
      <c r="TT45" s="1044"/>
      <c r="TU45" s="1044"/>
      <c r="TV45" s="1044"/>
      <c r="TW45" s="1044"/>
      <c r="TX45" s="1044"/>
      <c r="TY45" s="1044"/>
      <c r="TZ45" s="1044"/>
      <c r="UA45" s="1044"/>
      <c r="UB45" s="1044"/>
      <c r="UC45" s="1044"/>
      <c r="UD45" s="1044"/>
      <c r="UE45" s="1044"/>
      <c r="UF45" s="1044"/>
      <c r="UG45" s="1044"/>
      <c r="UH45" s="1044"/>
      <c r="UI45" s="1044"/>
      <c r="UJ45" s="1044"/>
      <c r="UK45" s="1044"/>
      <c r="UL45" s="1044"/>
      <c r="UM45" s="1044"/>
      <c r="UN45" s="1044"/>
      <c r="UO45" s="1044"/>
      <c r="UP45" s="1044"/>
      <c r="UQ45" s="1044"/>
      <c r="UR45" s="1044"/>
      <c r="US45" s="1044"/>
      <c r="UT45" s="1044"/>
      <c r="UU45" s="1044"/>
      <c r="UV45" s="1044"/>
      <c r="UW45" s="1044"/>
      <c r="UX45" s="1044"/>
      <c r="UY45" s="1044"/>
      <c r="UZ45" s="1044"/>
      <c r="VA45" s="1044"/>
      <c r="VB45" s="1044"/>
      <c r="VC45" s="1044"/>
      <c r="VD45" s="1044"/>
      <c r="VE45" s="1044"/>
      <c r="VF45" s="1044"/>
      <c r="VG45" s="1044"/>
      <c r="VH45" s="1044"/>
      <c r="VI45" s="1044"/>
      <c r="VJ45" s="1044"/>
      <c r="VK45" s="1044"/>
      <c r="VL45" s="1044"/>
      <c r="VM45" s="1044"/>
      <c r="VN45" s="1044"/>
      <c r="VO45" s="1044"/>
      <c r="VP45" s="1044"/>
      <c r="VQ45" s="1044"/>
      <c r="VR45" s="1044"/>
      <c r="VS45" s="1044"/>
      <c r="VT45" s="1044"/>
      <c r="VU45" s="1044"/>
      <c r="VV45" s="1044"/>
      <c r="VW45" s="1044"/>
      <c r="VX45" s="1044"/>
      <c r="VY45" s="1044"/>
      <c r="VZ45" s="1044"/>
      <c r="WA45" s="1044"/>
      <c r="WB45" s="1044"/>
      <c r="WC45" s="1044"/>
      <c r="WD45" s="1044"/>
      <c r="WE45" s="1044"/>
      <c r="WF45" s="1044"/>
      <c r="WG45" s="1044"/>
      <c r="WH45" s="1044"/>
      <c r="WI45" s="1044"/>
      <c r="WJ45" s="1044"/>
      <c r="WK45" s="1044"/>
      <c r="WL45" s="1044"/>
      <c r="WM45" s="1044"/>
      <c r="WN45" s="1044"/>
      <c r="WO45" s="1044"/>
      <c r="WP45" s="1044"/>
      <c r="WQ45" s="1044"/>
      <c r="WR45" s="1044"/>
      <c r="WS45" s="1044"/>
      <c r="WT45" s="1044"/>
      <c r="WU45" s="1044"/>
      <c r="WV45" s="1044"/>
      <c r="WW45" s="1044"/>
      <c r="WX45" s="1044"/>
      <c r="WY45" s="1044"/>
      <c r="WZ45" s="1044"/>
      <c r="XA45" s="1044"/>
      <c r="XB45" s="1044"/>
      <c r="XC45" s="1044"/>
      <c r="XD45" s="1044"/>
      <c r="XE45" s="1044"/>
      <c r="XF45" s="1044"/>
      <c r="XG45" s="1044"/>
      <c r="XH45" s="1044"/>
      <c r="XI45" s="1044"/>
      <c r="XJ45" s="1044"/>
      <c r="XK45" s="1044"/>
      <c r="XL45" s="1044"/>
      <c r="XM45" s="1044"/>
      <c r="XN45" s="1044"/>
      <c r="XO45" s="1044"/>
      <c r="XP45" s="1044"/>
      <c r="XQ45" s="1044"/>
      <c r="XR45" s="1044"/>
      <c r="XS45" s="1044"/>
      <c r="XT45" s="1044"/>
      <c r="XU45" s="1044"/>
      <c r="XV45" s="1044"/>
      <c r="XW45" s="1044"/>
      <c r="XX45" s="1044"/>
      <c r="XY45" s="1044"/>
      <c r="XZ45" s="1044"/>
      <c r="YA45" s="1044"/>
      <c r="YB45" s="1044"/>
      <c r="YC45" s="1044"/>
      <c r="YD45" s="1044"/>
      <c r="YE45" s="1044"/>
      <c r="YF45" s="1044"/>
      <c r="YG45" s="1044"/>
      <c r="YH45" s="1044"/>
      <c r="YI45" s="1044"/>
      <c r="YJ45" s="1044"/>
      <c r="YK45" s="1044"/>
      <c r="YL45" s="1044"/>
      <c r="YM45" s="1044"/>
      <c r="YN45" s="1044"/>
      <c r="YO45" s="1044"/>
      <c r="YP45" s="1044"/>
      <c r="YQ45" s="1044"/>
      <c r="YR45" s="1044"/>
      <c r="YS45" s="1044"/>
      <c r="YT45" s="1044"/>
      <c r="YU45" s="1044"/>
      <c r="YV45" s="1044"/>
      <c r="YW45" s="1044"/>
      <c r="YX45" s="1044"/>
      <c r="YY45" s="1044"/>
      <c r="YZ45" s="1044"/>
      <c r="ZA45" s="1044"/>
      <c r="ZB45" s="1044"/>
      <c r="ZC45" s="1044"/>
      <c r="ZD45" s="1044"/>
      <c r="ZE45" s="1044"/>
      <c r="ZF45" s="1044"/>
      <c r="ZG45" s="1044"/>
      <c r="ZH45" s="1044"/>
      <c r="ZI45" s="1044"/>
      <c r="ZJ45" s="1044"/>
      <c r="ZK45" s="1044"/>
      <c r="ZL45" s="1044"/>
      <c r="ZM45" s="1044"/>
      <c r="ZN45" s="1044"/>
      <c r="ZO45" s="1044"/>
      <c r="ZP45" s="1044"/>
      <c r="ZQ45" s="1044"/>
      <c r="ZR45" s="1044"/>
      <c r="ZS45" s="1044"/>
      <c r="ZT45" s="1044"/>
      <c r="ZU45" s="1044"/>
      <c r="ZV45" s="1044"/>
      <c r="ZW45" s="1044"/>
      <c r="ZX45" s="1044"/>
      <c r="ZY45" s="1044"/>
      <c r="ZZ45" s="1044"/>
      <c r="AAA45" s="1044"/>
      <c r="AAB45" s="1044"/>
      <c r="AAC45" s="1044"/>
      <c r="AAD45" s="1044"/>
      <c r="AAE45" s="1044"/>
      <c r="AAF45" s="1044"/>
      <c r="AAG45" s="1044"/>
      <c r="AAH45" s="1044"/>
      <c r="AAI45" s="1044"/>
      <c r="AAJ45" s="1044"/>
      <c r="AAK45" s="1044"/>
      <c r="AAL45" s="1044"/>
      <c r="AAM45" s="1044"/>
      <c r="AAN45" s="1044"/>
      <c r="AAO45" s="1044"/>
      <c r="AAP45" s="1044"/>
      <c r="AAQ45" s="1044"/>
      <c r="AAR45" s="1044"/>
      <c r="AAS45" s="1044"/>
      <c r="AAT45" s="1044"/>
      <c r="AAU45" s="1044"/>
      <c r="AAV45" s="1044"/>
      <c r="AAW45" s="1044"/>
      <c r="AAX45" s="1044"/>
      <c r="AAY45" s="1044"/>
      <c r="AAZ45" s="1044"/>
      <c r="ABA45" s="1044"/>
      <c r="ABB45" s="1044"/>
      <c r="ABC45" s="1044"/>
      <c r="ABD45" s="1044"/>
      <c r="ABE45" s="1044"/>
      <c r="ABF45" s="1044"/>
      <c r="ABG45" s="1044"/>
      <c r="ABH45" s="1044"/>
      <c r="ABI45" s="1044"/>
      <c r="ABJ45" s="1044"/>
      <c r="ABK45" s="1044"/>
      <c r="ABL45" s="1044"/>
      <c r="ABM45" s="1044"/>
      <c r="ABN45" s="1044"/>
      <c r="ABO45" s="1044"/>
      <c r="ABP45" s="1044"/>
      <c r="ABQ45" s="1044"/>
      <c r="ABR45" s="1044"/>
      <c r="ABS45" s="1044"/>
      <c r="ABT45" s="1044"/>
      <c r="ABU45" s="1044"/>
      <c r="ABV45" s="1044"/>
      <c r="ABW45" s="1044"/>
      <c r="ABX45" s="1044"/>
      <c r="ABY45" s="1044"/>
      <c r="ABZ45" s="1044"/>
      <c r="ACA45" s="1044"/>
      <c r="ACB45" s="1044"/>
      <c r="ACC45" s="1044"/>
      <c r="ACD45" s="1044"/>
      <c r="ACE45" s="1044"/>
      <c r="ACF45" s="1044"/>
      <c r="ACG45" s="1044"/>
      <c r="ACH45" s="1044"/>
      <c r="ACI45" s="1044"/>
      <c r="ACJ45" s="1044"/>
      <c r="ACK45" s="1044"/>
      <c r="ACL45" s="1044"/>
      <c r="ACM45" s="1044"/>
      <c r="ACN45" s="1044"/>
      <c r="ACO45" s="1044"/>
      <c r="ACP45" s="1044"/>
      <c r="ACQ45" s="1044"/>
      <c r="ACR45" s="1044"/>
      <c r="ACS45" s="1044"/>
      <c r="ACT45" s="1044"/>
      <c r="ACU45" s="1044"/>
      <c r="ACV45" s="1044"/>
      <c r="ACW45" s="1044"/>
      <c r="ACX45" s="1044"/>
      <c r="ACY45" s="1044"/>
      <c r="ACZ45" s="1044"/>
      <c r="ADA45" s="1044"/>
      <c r="ADB45" s="1044"/>
      <c r="ADC45" s="1044"/>
      <c r="ADD45" s="1044"/>
      <c r="ADE45" s="1044"/>
      <c r="ADF45" s="1044"/>
      <c r="ADG45" s="1044"/>
      <c r="ADH45" s="1044"/>
      <c r="ADI45" s="1044"/>
      <c r="ADJ45" s="1044"/>
      <c r="ADK45" s="1044"/>
      <c r="ADL45" s="1044"/>
      <c r="ADM45" s="1044"/>
      <c r="ADN45" s="1044"/>
      <c r="ADO45" s="1044"/>
      <c r="ADP45" s="1044"/>
      <c r="ADQ45" s="1044"/>
      <c r="ADR45" s="1044"/>
      <c r="ADS45" s="1044"/>
      <c r="ADT45" s="1044"/>
      <c r="ADU45" s="1044"/>
      <c r="ADV45" s="1044"/>
      <c r="ADW45" s="1044"/>
      <c r="ADX45" s="1044"/>
      <c r="ADY45" s="1044"/>
      <c r="ADZ45" s="1044"/>
      <c r="AEA45" s="1044"/>
      <c r="AEB45" s="1044"/>
      <c r="AEC45" s="1044"/>
      <c r="AED45" s="1044"/>
      <c r="AEE45" s="1044"/>
      <c r="AEF45" s="1044"/>
      <c r="AEG45" s="1044"/>
      <c r="AEH45" s="1044"/>
      <c r="AEI45" s="1044"/>
      <c r="AEJ45" s="1044"/>
      <c r="AEK45" s="1044"/>
      <c r="AEL45" s="1044"/>
      <c r="AEM45" s="1044"/>
      <c r="AEN45" s="1044"/>
      <c r="AEO45" s="1044"/>
      <c r="AEP45" s="1044"/>
      <c r="AEQ45" s="1044"/>
      <c r="AER45" s="1044"/>
      <c r="AES45" s="1044"/>
      <c r="AET45" s="1044"/>
      <c r="AEU45" s="1044"/>
      <c r="AEV45" s="1044"/>
      <c r="AEW45" s="1044"/>
      <c r="AEX45" s="1044"/>
      <c r="AEY45" s="1044"/>
      <c r="AEZ45" s="1044"/>
      <c r="AFA45" s="1044"/>
      <c r="AFB45" s="1044"/>
      <c r="AFC45" s="1044"/>
      <c r="AFD45" s="1044"/>
      <c r="AFE45" s="1044"/>
      <c r="AFF45" s="1044"/>
      <c r="AFG45" s="1044"/>
      <c r="AFH45" s="1044"/>
      <c r="AFI45" s="1044"/>
      <c r="AFJ45" s="1044"/>
      <c r="AFK45" s="1044"/>
      <c r="AFL45" s="1044"/>
      <c r="AFM45" s="1044"/>
      <c r="AFN45" s="1044"/>
      <c r="AFO45" s="1044"/>
      <c r="AFP45" s="1044"/>
      <c r="AFQ45" s="1044"/>
      <c r="AFR45" s="1044"/>
      <c r="AFS45" s="1044"/>
      <c r="AFT45" s="1044"/>
      <c r="AFU45" s="1044"/>
      <c r="AFV45" s="1044"/>
      <c r="AFW45" s="1044"/>
      <c r="AFX45" s="1044"/>
      <c r="AFY45" s="1044"/>
      <c r="AFZ45" s="1044"/>
      <c r="AGA45" s="1044"/>
      <c r="AGB45" s="1044"/>
      <c r="AGC45" s="1044"/>
      <c r="AGD45" s="1044"/>
      <c r="AGE45" s="1044"/>
      <c r="AGF45" s="1044"/>
      <c r="AGG45" s="1044"/>
      <c r="AGH45" s="1044"/>
      <c r="AGI45" s="1044"/>
      <c r="AGJ45" s="1044"/>
      <c r="AGK45" s="1044"/>
      <c r="AGL45" s="1044"/>
      <c r="AGM45" s="1044"/>
      <c r="AGN45" s="1044"/>
      <c r="AGO45" s="1044"/>
      <c r="AGP45" s="1044"/>
      <c r="AGQ45" s="1044"/>
      <c r="AGR45" s="1044"/>
      <c r="AGS45" s="1044"/>
      <c r="AGT45" s="1044"/>
      <c r="AGU45" s="1044"/>
      <c r="AGV45" s="1044"/>
      <c r="AGW45" s="1044"/>
      <c r="AGX45" s="1044"/>
      <c r="AGY45" s="1044"/>
      <c r="AGZ45" s="1044"/>
      <c r="AHA45" s="1044"/>
      <c r="AHB45" s="1044"/>
      <c r="AHC45" s="1044"/>
      <c r="AHD45" s="1044"/>
      <c r="AHE45" s="1044"/>
      <c r="AHF45" s="1044"/>
      <c r="AHG45" s="1044"/>
      <c r="AHH45" s="1044"/>
      <c r="AHI45" s="1044"/>
      <c r="AHJ45" s="1044"/>
      <c r="AHK45" s="1044"/>
      <c r="AHL45" s="1044"/>
      <c r="AHM45" s="1044"/>
      <c r="AHN45" s="1044"/>
      <c r="AHO45" s="1044"/>
      <c r="AHP45" s="1044"/>
      <c r="AHQ45" s="1044"/>
      <c r="AHR45" s="1044"/>
      <c r="AHS45" s="1044"/>
      <c r="AHT45" s="1044"/>
      <c r="AHU45" s="1044"/>
      <c r="AHV45" s="1044"/>
      <c r="AHW45" s="1044"/>
      <c r="AHX45" s="1044"/>
      <c r="AHY45" s="1044"/>
      <c r="AHZ45" s="1044"/>
      <c r="AIA45" s="1044"/>
      <c r="AIB45" s="1044"/>
      <c r="AIC45" s="1044"/>
      <c r="AID45" s="1044"/>
      <c r="AIE45" s="1044"/>
      <c r="AIF45" s="1044"/>
      <c r="AIG45" s="1044"/>
      <c r="AIH45" s="1044"/>
      <c r="AII45" s="1044"/>
      <c r="AIJ45" s="1044"/>
      <c r="AIK45" s="1044"/>
      <c r="AIL45" s="1044"/>
      <c r="AIM45" s="1044"/>
      <c r="AIN45" s="1044"/>
      <c r="AIO45" s="1044"/>
      <c r="AIP45" s="1044"/>
      <c r="AIQ45" s="1044"/>
      <c r="AIR45" s="1044"/>
      <c r="AIS45" s="1044"/>
      <c r="AIT45" s="1044"/>
      <c r="AIU45" s="1044"/>
      <c r="AIV45" s="1044"/>
      <c r="AIW45" s="1044"/>
      <c r="AIX45" s="1044"/>
      <c r="AIY45" s="1044"/>
      <c r="AIZ45" s="1044"/>
      <c r="AJA45" s="1044"/>
      <c r="AJB45" s="1044"/>
      <c r="AJC45" s="1044"/>
      <c r="AJD45" s="1044"/>
      <c r="AJE45" s="1044"/>
      <c r="AJF45" s="1044"/>
      <c r="AJG45" s="1044"/>
      <c r="AJH45" s="1044"/>
      <c r="AJI45" s="1044"/>
      <c r="AJJ45" s="1044"/>
      <c r="AJK45" s="1044"/>
      <c r="AJL45" s="1044"/>
      <c r="AJM45" s="1044"/>
      <c r="AJN45" s="1044"/>
      <c r="AJO45" s="1044"/>
      <c r="AJP45" s="1044"/>
      <c r="AJQ45" s="1044"/>
      <c r="AJR45" s="1044"/>
      <c r="AJS45" s="1044"/>
      <c r="AJT45" s="1044"/>
      <c r="AJU45" s="1044"/>
      <c r="AJV45" s="1044"/>
      <c r="AJW45" s="1044"/>
      <c r="AJX45" s="1044"/>
      <c r="AJY45" s="1044"/>
      <c r="AJZ45" s="1044"/>
      <c r="AKA45" s="1044"/>
      <c r="AKB45" s="1044"/>
      <c r="AKC45" s="1044"/>
      <c r="AKD45" s="1044"/>
      <c r="AKE45" s="1044"/>
      <c r="AKF45" s="1044"/>
      <c r="AKG45" s="1044"/>
      <c r="AKH45" s="1044"/>
      <c r="AKI45" s="1044"/>
      <c r="AKJ45" s="1044"/>
      <c r="AKK45" s="1044"/>
      <c r="AKL45" s="1044"/>
      <c r="AKM45" s="1044"/>
      <c r="AKN45" s="1044"/>
      <c r="AKO45" s="1044"/>
      <c r="AKP45" s="1044"/>
      <c r="AKQ45" s="1044"/>
      <c r="AKR45" s="1044"/>
      <c r="AKS45" s="1044"/>
      <c r="AKT45" s="1044"/>
      <c r="AKU45" s="1044"/>
      <c r="AKV45" s="1044"/>
      <c r="AKW45" s="1044"/>
      <c r="AKX45" s="1044"/>
      <c r="AKY45" s="1044"/>
      <c r="AKZ45" s="1044"/>
      <c r="ALA45" s="1044"/>
      <c r="ALB45" s="1044"/>
      <c r="ALC45" s="1044"/>
      <c r="ALD45" s="1044"/>
      <c r="ALE45" s="1044"/>
      <c r="ALF45" s="1044"/>
      <c r="ALG45" s="1044"/>
      <c r="ALH45" s="1044"/>
      <c r="ALI45" s="1044"/>
      <c r="ALJ45" s="1044"/>
      <c r="ALK45" s="1044"/>
      <c r="ALL45" s="1044"/>
      <c r="ALM45" s="1044"/>
      <c r="ALN45" s="1044"/>
      <c r="ALO45" s="1044"/>
      <c r="ALP45" s="1044"/>
      <c r="ALQ45" s="1044"/>
      <c r="ALR45" s="1044"/>
      <c r="ALS45" s="1044"/>
      <c r="ALT45" s="1044"/>
      <c r="ALU45" s="1044"/>
      <c r="ALV45" s="1044"/>
      <c r="ALW45" s="1044"/>
      <c r="ALX45" s="1044"/>
      <c r="ALY45" s="1044"/>
      <c r="ALZ45" s="1044"/>
      <c r="AMA45" s="1044"/>
      <c r="AMB45" s="1044"/>
      <c r="AMC45" s="1044"/>
      <c r="AMD45" s="1044"/>
      <c r="AME45" s="1044"/>
      <c r="AMF45" s="1044"/>
      <c r="AMG45" s="1044"/>
      <c r="AMH45" s="1044"/>
      <c r="AMI45" s="1044"/>
      <c r="AMJ45" s="1044"/>
      <c r="AMK45" s="1044"/>
      <c r="AML45" s="1044"/>
      <c r="AMM45" s="1044"/>
      <c r="AMN45" s="1044"/>
      <c r="AMO45" s="1044"/>
      <c r="AMP45" s="1044"/>
      <c r="AMQ45" s="1044"/>
      <c r="AMR45" s="1044"/>
      <c r="AMS45" s="1044"/>
      <c r="AMT45" s="1044"/>
      <c r="AMU45" s="1044"/>
      <c r="AMV45" s="1044"/>
      <c r="AMW45" s="1044"/>
      <c r="AMX45" s="1044"/>
      <c r="AMY45" s="1044"/>
      <c r="AMZ45" s="1044"/>
      <c r="ANA45" s="1044"/>
      <c r="ANB45" s="1044"/>
      <c r="ANC45" s="1044"/>
      <c r="AND45" s="1044"/>
      <c r="ANE45" s="1044"/>
      <c r="ANF45" s="1044"/>
      <c r="ANG45" s="1044"/>
      <c r="ANH45" s="1044"/>
      <c r="ANI45" s="1044"/>
      <c r="ANJ45" s="1044"/>
      <c r="ANK45" s="1044"/>
      <c r="ANL45" s="1044"/>
      <c r="ANM45" s="1044"/>
      <c r="ANN45" s="1044"/>
      <c r="ANO45" s="1044"/>
      <c r="ANP45" s="1044"/>
      <c r="ANQ45" s="1044"/>
      <c r="ANR45" s="1044"/>
      <c r="ANS45" s="1044"/>
      <c r="ANT45" s="1044"/>
      <c r="ANU45" s="1044"/>
      <c r="ANV45" s="1044"/>
      <c r="ANW45" s="1044"/>
      <c r="ANX45" s="1044"/>
      <c r="ANY45" s="1044"/>
      <c r="ANZ45" s="1044"/>
      <c r="AOA45" s="1044"/>
      <c r="AOB45" s="1044"/>
      <c r="AOC45" s="1044"/>
      <c r="AOD45" s="1044"/>
      <c r="AOE45" s="1044"/>
      <c r="AOF45" s="1044"/>
      <c r="AOG45" s="1044"/>
      <c r="AOH45" s="1044"/>
      <c r="AOI45" s="1044"/>
      <c r="AOJ45" s="1044"/>
      <c r="AOK45" s="1044"/>
      <c r="AOL45" s="1044"/>
      <c r="AOM45" s="1044"/>
      <c r="AON45" s="1044"/>
      <c r="AOO45" s="1044"/>
      <c r="AOP45" s="1044"/>
      <c r="AOQ45" s="1044"/>
      <c r="AOR45" s="1044"/>
      <c r="AOS45" s="1044"/>
      <c r="AOT45" s="1044"/>
      <c r="AOU45" s="1044"/>
      <c r="AOV45" s="1044"/>
      <c r="AOW45" s="1044"/>
      <c r="AOX45" s="1044"/>
      <c r="AOY45" s="1044"/>
      <c r="AOZ45" s="1044"/>
      <c r="APA45" s="1044"/>
      <c r="APB45" s="1044"/>
      <c r="APC45" s="1044"/>
      <c r="APD45" s="1044"/>
      <c r="APE45" s="1044"/>
      <c r="APF45" s="1044"/>
      <c r="APG45" s="1044"/>
      <c r="APH45" s="1044"/>
      <c r="API45" s="1044"/>
      <c r="APJ45" s="1044"/>
      <c r="APK45" s="1044"/>
      <c r="APL45" s="1044"/>
      <c r="APM45" s="1044"/>
      <c r="APN45" s="1044"/>
      <c r="APO45" s="1044"/>
      <c r="APP45" s="1044"/>
      <c r="APQ45" s="1044"/>
      <c r="APR45" s="1044"/>
      <c r="APS45" s="1044"/>
      <c r="APT45" s="1044"/>
      <c r="APU45" s="1044"/>
      <c r="APV45" s="1044"/>
      <c r="APW45" s="1044"/>
      <c r="APX45" s="1044"/>
      <c r="APY45" s="1044"/>
      <c r="APZ45" s="1044"/>
      <c r="AQA45" s="1044"/>
      <c r="AQB45" s="1044"/>
      <c r="AQC45" s="1044"/>
      <c r="AQD45" s="1044"/>
      <c r="AQE45" s="1044"/>
      <c r="AQF45" s="1044"/>
      <c r="AQG45" s="1044"/>
      <c r="AQH45" s="1044"/>
      <c r="AQI45" s="1044"/>
      <c r="AQJ45" s="1044"/>
      <c r="AQK45" s="1044"/>
      <c r="AQL45" s="1044"/>
      <c r="AQM45" s="1044"/>
      <c r="AQN45" s="1044"/>
      <c r="AQO45" s="1044"/>
      <c r="AQP45" s="1044"/>
      <c r="AQQ45" s="1044"/>
      <c r="AQR45" s="1044"/>
      <c r="AQS45" s="1044"/>
      <c r="AQT45" s="1044"/>
      <c r="AQU45" s="1044"/>
      <c r="AQV45" s="1044"/>
      <c r="AQW45" s="1044"/>
      <c r="AQX45" s="1044"/>
      <c r="AQY45" s="1044"/>
      <c r="AQZ45" s="1044"/>
      <c r="ARA45" s="1044"/>
      <c r="ARB45" s="1044"/>
      <c r="ARC45" s="1044"/>
      <c r="ARD45" s="1044"/>
      <c r="ARE45" s="1044"/>
      <c r="ARF45" s="1044"/>
      <c r="ARG45" s="1044"/>
      <c r="ARH45" s="1044"/>
      <c r="ARI45" s="1044"/>
      <c r="ARJ45" s="1044"/>
      <c r="ARK45" s="1044"/>
      <c r="ARL45" s="1044"/>
      <c r="ARM45" s="1044"/>
      <c r="ARN45" s="1044"/>
      <c r="ARO45" s="1044"/>
      <c r="ARP45" s="1044"/>
      <c r="ARQ45" s="1044"/>
      <c r="ARR45" s="1044"/>
      <c r="ARS45" s="1044"/>
      <c r="ART45" s="1044"/>
      <c r="ARU45" s="1044"/>
      <c r="ARV45" s="1044"/>
      <c r="ARW45" s="1044"/>
      <c r="ARX45" s="1044"/>
      <c r="ARY45" s="1044"/>
      <c r="ARZ45" s="1044"/>
      <c r="ASA45" s="1044"/>
      <c r="ASB45" s="1044"/>
      <c r="ASC45" s="1044"/>
      <c r="ASD45" s="1044"/>
      <c r="ASE45" s="1044"/>
      <c r="ASF45" s="1044"/>
      <c r="ASG45" s="1044"/>
      <c r="ASH45" s="1044"/>
      <c r="ASI45" s="1044"/>
      <c r="ASJ45" s="1044"/>
      <c r="ASK45" s="1044"/>
      <c r="ASL45" s="1044"/>
      <c r="ASM45" s="1044"/>
      <c r="ASN45" s="1044"/>
      <c r="ASO45" s="1044"/>
      <c r="ASP45" s="1044"/>
      <c r="ASQ45" s="1044"/>
      <c r="ASR45" s="1044"/>
      <c r="ASS45" s="1044"/>
      <c r="AST45" s="1044"/>
      <c r="ASU45" s="1044"/>
      <c r="ASV45" s="1044"/>
      <c r="ASW45" s="1044"/>
      <c r="ASX45" s="1044"/>
      <c r="ASY45" s="1044"/>
      <c r="ASZ45" s="1044"/>
      <c r="ATA45" s="1044"/>
      <c r="ATB45" s="1044"/>
      <c r="ATC45" s="1044"/>
      <c r="ATD45" s="1044"/>
      <c r="ATE45" s="1044"/>
      <c r="ATF45" s="1044"/>
      <c r="ATG45" s="1044"/>
      <c r="ATH45" s="1044"/>
      <c r="ATI45" s="1044"/>
      <c r="ATJ45" s="1044"/>
      <c r="ATK45" s="1044"/>
      <c r="ATL45" s="1044"/>
      <c r="ATM45" s="1044"/>
      <c r="ATN45" s="1044"/>
      <c r="ATO45" s="1044"/>
      <c r="ATP45" s="1044"/>
      <c r="ATQ45" s="1044"/>
      <c r="ATR45" s="1044"/>
      <c r="ATS45" s="1044"/>
      <c r="ATT45" s="1044"/>
      <c r="ATU45" s="1044"/>
      <c r="ATV45" s="1044"/>
      <c r="ATW45" s="1044"/>
      <c r="ATX45" s="1044"/>
      <c r="ATY45" s="1044"/>
      <c r="ATZ45" s="1044"/>
      <c r="AUA45" s="1044"/>
      <c r="AUB45" s="1044"/>
      <c r="AUC45" s="1044"/>
      <c r="AUD45" s="1044"/>
      <c r="AUE45" s="1044"/>
      <c r="AUF45" s="1044"/>
      <c r="AUG45" s="1044"/>
      <c r="AUH45" s="1044"/>
      <c r="AUI45" s="1044"/>
      <c r="AUJ45" s="1044"/>
      <c r="AUK45" s="1044"/>
      <c r="AUL45" s="1044"/>
      <c r="AUM45" s="1044"/>
      <c r="AUN45" s="1044"/>
      <c r="AUO45" s="1044"/>
      <c r="AUP45" s="1044"/>
      <c r="AUQ45" s="1044"/>
      <c r="AUR45" s="1044"/>
      <c r="AUS45" s="1044"/>
      <c r="AUT45" s="1044"/>
      <c r="AUU45" s="1044"/>
      <c r="AUV45" s="1044"/>
      <c r="AUW45" s="1044"/>
      <c r="AUX45" s="1044"/>
      <c r="AUY45" s="1044"/>
      <c r="AUZ45" s="1044"/>
      <c r="AVA45" s="1044"/>
      <c r="AVB45" s="1044"/>
      <c r="AVC45" s="1044"/>
      <c r="AVD45" s="1044"/>
      <c r="AVE45" s="1044"/>
      <c r="AVF45" s="1044"/>
      <c r="AVG45" s="1044"/>
      <c r="AVH45" s="1044"/>
      <c r="AVI45" s="1044"/>
      <c r="AVJ45" s="1044"/>
      <c r="AVK45" s="1044"/>
      <c r="AVL45" s="1044"/>
      <c r="AVM45" s="1044"/>
      <c r="AVN45" s="1044"/>
      <c r="AVO45" s="1044"/>
      <c r="AVP45" s="1044"/>
      <c r="AVQ45" s="1044"/>
      <c r="AVR45" s="1044"/>
      <c r="AVS45" s="1044"/>
      <c r="AVT45" s="1044"/>
      <c r="AVU45" s="1044"/>
      <c r="AVV45" s="1044"/>
      <c r="AVW45" s="1044"/>
      <c r="AVX45" s="1044"/>
      <c r="AVY45" s="1044"/>
      <c r="AVZ45" s="1044"/>
      <c r="AWA45" s="1044"/>
      <c r="AWB45" s="1044"/>
      <c r="AWC45" s="1044"/>
      <c r="AWD45" s="1044"/>
      <c r="AWE45" s="1044"/>
      <c r="AWF45" s="1044"/>
      <c r="AWG45" s="1044"/>
      <c r="AWH45" s="1044"/>
      <c r="AWI45" s="1044"/>
      <c r="AWJ45" s="1044"/>
      <c r="AWK45" s="1044"/>
      <c r="AWL45" s="1044"/>
      <c r="AWM45" s="1044"/>
      <c r="AWN45" s="1044"/>
      <c r="AWO45" s="1044"/>
      <c r="AWP45" s="1044"/>
      <c r="AWQ45" s="1044"/>
      <c r="AWR45" s="1044"/>
      <c r="AWS45" s="1044"/>
      <c r="AWT45" s="1044"/>
      <c r="AWU45" s="1044"/>
      <c r="AWV45" s="1044"/>
      <c r="AWW45" s="1044"/>
      <c r="AWX45" s="1044"/>
      <c r="AWY45" s="1044"/>
      <c r="AWZ45" s="1044"/>
      <c r="AXA45" s="1044"/>
      <c r="AXB45" s="1044"/>
      <c r="AXC45" s="1044"/>
      <c r="AXD45" s="1044"/>
      <c r="AXE45" s="1044"/>
      <c r="AXF45" s="1044"/>
      <c r="AXG45" s="1044"/>
      <c r="AXH45" s="1044"/>
      <c r="AXI45" s="1044"/>
      <c r="AXJ45" s="1044"/>
      <c r="AXK45" s="1044"/>
      <c r="AXL45" s="1044"/>
      <c r="AXM45" s="1044"/>
      <c r="AXN45" s="1044"/>
      <c r="AXO45" s="1044"/>
      <c r="AXP45" s="1044"/>
      <c r="AXQ45" s="1044"/>
      <c r="AXR45" s="1044"/>
      <c r="AXS45" s="1044"/>
      <c r="AXT45" s="1044"/>
      <c r="AXU45" s="1044"/>
      <c r="AXV45" s="1044"/>
      <c r="AXW45" s="1044"/>
      <c r="AXX45" s="1044"/>
      <c r="AXY45" s="1044"/>
      <c r="AXZ45" s="1044"/>
      <c r="AYA45" s="1044"/>
      <c r="AYB45" s="1044"/>
      <c r="AYC45" s="1044"/>
      <c r="AYD45" s="1044"/>
      <c r="AYE45" s="1044"/>
      <c r="AYF45" s="1044"/>
      <c r="AYG45" s="1044"/>
      <c r="AYH45" s="1044"/>
      <c r="AYI45" s="1044"/>
      <c r="AYJ45" s="1044"/>
      <c r="AYK45" s="1044"/>
      <c r="AYL45" s="1044"/>
      <c r="AYM45" s="1044"/>
      <c r="AYN45" s="1044"/>
      <c r="AYO45" s="1044"/>
      <c r="AYP45" s="1044"/>
      <c r="AYQ45" s="1044"/>
      <c r="AYR45" s="1044"/>
      <c r="AYS45" s="1044"/>
      <c r="AYT45" s="1044"/>
      <c r="AYU45" s="1044"/>
      <c r="AYV45" s="1044"/>
      <c r="AYW45" s="1044"/>
      <c r="AYX45" s="1044"/>
      <c r="AYY45" s="1044"/>
      <c r="AYZ45" s="1044"/>
      <c r="AZA45" s="1044"/>
      <c r="AZB45" s="1044"/>
      <c r="AZC45" s="1044"/>
      <c r="AZD45" s="1044"/>
      <c r="AZE45" s="1044"/>
      <c r="AZF45" s="1044"/>
      <c r="AZG45" s="1044"/>
      <c r="AZH45" s="1044"/>
      <c r="AZI45" s="1044"/>
      <c r="AZJ45" s="1044"/>
      <c r="AZK45" s="1044"/>
      <c r="AZL45" s="1044"/>
      <c r="AZM45" s="1044"/>
      <c r="AZN45" s="1044"/>
      <c r="AZO45" s="1044"/>
      <c r="AZP45" s="1044"/>
      <c r="AZQ45" s="1044"/>
      <c r="AZR45" s="1044"/>
      <c r="AZS45" s="1044"/>
      <c r="AZT45" s="1044"/>
      <c r="AZU45" s="1044"/>
      <c r="AZV45" s="1044"/>
      <c r="AZW45" s="1044"/>
      <c r="AZX45" s="1044"/>
      <c r="AZY45" s="1044"/>
      <c r="AZZ45" s="1044"/>
      <c r="BAA45" s="1044"/>
      <c r="BAB45" s="1044"/>
      <c r="BAC45" s="1044"/>
      <c r="BAD45" s="1044"/>
      <c r="BAE45" s="1044"/>
      <c r="BAF45" s="1044"/>
      <c r="BAG45" s="1044"/>
      <c r="BAH45" s="1044"/>
      <c r="BAI45" s="1044"/>
      <c r="BAJ45" s="1044"/>
      <c r="BAK45" s="1044"/>
      <c r="BAL45" s="1044"/>
      <c r="BAM45" s="1044"/>
      <c r="BAN45" s="1044"/>
      <c r="BAO45" s="1044"/>
      <c r="BAP45" s="1044"/>
      <c r="BAQ45" s="1044"/>
      <c r="BAR45" s="1044"/>
      <c r="BAS45" s="1044"/>
      <c r="BAT45" s="1044"/>
      <c r="BAU45" s="1044"/>
      <c r="BAV45" s="1044"/>
      <c r="BAW45" s="1044"/>
      <c r="BAX45" s="1044"/>
      <c r="BAY45" s="1044"/>
      <c r="BAZ45" s="1044"/>
      <c r="BBA45" s="1044"/>
      <c r="BBB45" s="1044"/>
      <c r="BBC45" s="1044"/>
      <c r="BBD45" s="1044"/>
      <c r="BBE45" s="1044"/>
      <c r="BBF45" s="1044"/>
      <c r="BBG45" s="1044"/>
      <c r="BBH45" s="1044"/>
      <c r="BBI45" s="1044"/>
      <c r="BBJ45" s="1044"/>
      <c r="BBK45" s="1044"/>
      <c r="BBL45" s="1044"/>
      <c r="BBM45" s="1044"/>
      <c r="BBN45" s="1044"/>
      <c r="BBO45" s="1044"/>
      <c r="BBP45" s="1044"/>
      <c r="BBQ45" s="1044"/>
      <c r="BBR45" s="1044"/>
      <c r="BBS45" s="1044"/>
      <c r="BBT45" s="1044"/>
      <c r="BBU45" s="1044"/>
      <c r="BBV45" s="1044"/>
      <c r="BBW45" s="1044"/>
      <c r="BBX45" s="1044"/>
      <c r="BBY45" s="1044"/>
      <c r="BBZ45" s="1044"/>
      <c r="BCA45" s="1044"/>
      <c r="BCB45" s="1044"/>
      <c r="BCC45" s="1044"/>
      <c r="BCD45" s="1044"/>
      <c r="BCE45" s="1044"/>
      <c r="BCF45" s="1044"/>
      <c r="BCG45" s="1044"/>
      <c r="BCH45" s="1044"/>
      <c r="BCI45" s="1044"/>
      <c r="BCJ45" s="1044"/>
      <c r="BCK45" s="1044"/>
      <c r="BCL45" s="1044"/>
      <c r="BCM45" s="1044"/>
      <c r="BCN45" s="1044"/>
      <c r="BCO45" s="1044"/>
      <c r="BCP45" s="1044"/>
      <c r="BCQ45" s="1044"/>
      <c r="BCR45" s="1044"/>
      <c r="BCS45" s="1044"/>
      <c r="BCT45" s="1044"/>
      <c r="BCU45" s="1044"/>
      <c r="BCV45" s="1044"/>
      <c r="BCW45" s="1044"/>
      <c r="BCX45" s="1044"/>
      <c r="BCY45" s="1044"/>
      <c r="BCZ45" s="1044"/>
      <c r="BDA45" s="1044"/>
      <c r="BDB45" s="1044"/>
      <c r="BDC45" s="1044"/>
      <c r="BDD45" s="1044"/>
      <c r="BDE45" s="1044"/>
      <c r="BDF45" s="1044"/>
      <c r="BDG45" s="1044"/>
      <c r="BDH45" s="1044"/>
      <c r="BDI45" s="1044"/>
      <c r="BDJ45" s="1044"/>
      <c r="BDK45" s="1044"/>
      <c r="BDL45" s="1044"/>
      <c r="BDM45" s="1044"/>
      <c r="BDN45" s="1044"/>
      <c r="BDO45" s="1044"/>
      <c r="BDP45" s="1044"/>
      <c r="BDQ45" s="1044"/>
      <c r="BDR45" s="1044"/>
      <c r="BDS45" s="1044"/>
      <c r="BDT45" s="1044"/>
      <c r="BDU45" s="1044"/>
      <c r="BDV45" s="1044"/>
      <c r="BDW45" s="1044"/>
      <c r="BDX45" s="1044"/>
      <c r="BDY45" s="1044"/>
      <c r="BDZ45" s="1044"/>
      <c r="BEA45" s="1044"/>
      <c r="BEB45" s="1044"/>
      <c r="BEC45" s="1044"/>
      <c r="BED45" s="1044"/>
      <c r="BEE45" s="1044"/>
      <c r="BEF45" s="1044"/>
      <c r="BEG45" s="1044"/>
      <c r="BEH45" s="1044"/>
      <c r="BEI45" s="1044"/>
      <c r="BEJ45" s="1044"/>
      <c r="BEK45" s="1044"/>
      <c r="BEL45" s="1044"/>
      <c r="BEM45" s="1044"/>
      <c r="BEN45" s="1044"/>
      <c r="BEO45" s="1044"/>
      <c r="BEP45" s="1044"/>
      <c r="BEQ45" s="1044"/>
      <c r="BER45" s="1044"/>
      <c r="BES45" s="1044"/>
      <c r="BET45" s="1044"/>
      <c r="BEU45" s="1044"/>
      <c r="BEV45" s="1044"/>
      <c r="BEW45" s="1044"/>
      <c r="BEX45" s="1044"/>
      <c r="BEY45" s="1044"/>
      <c r="BEZ45" s="1044"/>
      <c r="BFA45" s="1044"/>
      <c r="BFB45" s="1044"/>
      <c r="BFC45" s="1044"/>
      <c r="BFD45" s="1044"/>
      <c r="BFE45" s="1044"/>
      <c r="BFF45" s="1044"/>
      <c r="BFG45" s="1044"/>
      <c r="BFH45" s="1044"/>
      <c r="BFI45" s="1044"/>
      <c r="BFJ45" s="1044"/>
      <c r="BFK45" s="1044"/>
      <c r="BFL45" s="1044"/>
      <c r="BFM45" s="1044"/>
      <c r="BFN45" s="1044"/>
      <c r="BFO45" s="1044"/>
      <c r="BFP45" s="1044"/>
      <c r="BFQ45" s="1044"/>
      <c r="BFR45" s="1044"/>
      <c r="BFS45" s="1044"/>
      <c r="BFT45" s="1044"/>
      <c r="BFU45" s="1044"/>
      <c r="BFV45" s="1044"/>
      <c r="BFW45" s="1044"/>
      <c r="BFX45" s="1044"/>
      <c r="BFY45" s="1044"/>
      <c r="BFZ45" s="1044"/>
      <c r="BGA45" s="1044"/>
      <c r="BGB45" s="1044"/>
      <c r="BGC45" s="1044"/>
      <c r="BGD45" s="1044"/>
      <c r="BGE45" s="1044"/>
      <c r="BGF45" s="1044"/>
      <c r="BGG45" s="1044"/>
      <c r="BGH45" s="1044"/>
      <c r="BGI45" s="1044"/>
      <c r="BGJ45" s="1044"/>
      <c r="BGK45" s="1044"/>
      <c r="BGL45" s="1044"/>
      <c r="BGM45" s="1044"/>
      <c r="BGN45" s="1044"/>
      <c r="BGO45" s="1044"/>
      <c r="BGP45" s="1044"/>
      <c r="BGQ45" s="1044"/>
      <c r="BGR45" s="1044"/>
      <c r="BGS45" s="1044"/>
      <c r="BGT45" s="1044"/>
      <c r="BGU45" s="1044"/>
      <c r="BGV45" s="1044"/>
      <c r="BGW45" s="1044"/>
      <c r="BGX45" s="1044"/>
      <c r="BGY45" s="1044"/>
      <c r="BGZ45" s="1044"/>
      <c r="BHA45" s="1044"/>
      <c r="BHB45" s="1044"/>
      <c r="BHC45" s="1044"/>
      <c r="BHD45" s="1044"/>
      <c r="BHE45" s="1044"/>
      <c r="BHF45" s="1044"/>
      <c r="BHG45" s="1044"/>
      <c r="BHH45" s="1044"/>
      <c r="BHI45" s="1044"/>
      <c r="BHJ45" s="1044"/>
      <c r="BHK45" s="1044"/>
      <c r="BHL45" s="1044"/>
      <c r="BHM45" s="1044"/>
      <c r="BHN45" s="1044"/>
      <c r="BHO45" s="1044"/>
      <c r="BHP45" s="1044"/>
      <c r="BHQ45" s="1044"/>
      <c r="BHR45" s="1044"/>
      <c r="BHS45" s="1044"/>
      <c r="BHT45" s="1044"/>
      <c r="BHU45" s="1044"/>
      <c r="BHV45" s="1044"/>
      <c r="BHW45" s="1044"/>
      <c r="BHX45" s="1044"/>
      <c r="BHY45" s="1044"/>
      <c r="BHZ45" s="1044"/>
      <c r="BIA45" s="1044"/>
      <c r="BIB45" s="1044"/>
      <c r="BIC45" s="1044"/>
      <c r="BID45" s="1044"/>
      <c r="BIE45" s="1044"/>
      <c r="BIF45" s="1044"/>
      <c r="BIG45" s="1044"/>
      <c r="BIH45" s="1044"/>
      <c r="BII45" s="1044"/>
      <c r="BIJ45" s="1044"/>
      <c r="BIK45" s="1044"/>
      <c r="BIL45" s="1044"/>
      <c r="BIM45" s="1044"/>
      <c r="BIN45" s="1044"/>
      <c r="BIO45" s="1044"/>
      <c r="BIP45" s="1044"/>
      <c r="BIQ45" s="1044"/>
      <c r="BIR45" s="1044"/>
      <c r="BIS45" s="1044"/>
      <c r="BIT45" s="1044"/>
      <c r="BIU45" s="1044"/>
      <c r="BIV45" s="1044"/>
      <c r="BIW45" s="1044"/>
      <c r="BIX45" s="1044"/>
      <c r="BIY45" s="1044"/>
      <c r="BIZ45" s="1044"/>
      <c r="BJA45" s="1044"/>
      <c r="BJB45" s="1044"/>
      <c r="BJC45" s="1044"/>
      <c r="BJD45" s="1044"/>
      <c r="BJE45" s="1044"/>
      <c r="BJF45" s="1044"/>
      <c r="BJG45" s="1044"/>
      <c r="BJH45" s="1044"/>
      <c r="BJI45" s="1044"/>
      <c r="BJJ45" s="1044"/>
      <c r="BJK45" s="1044"/>
      <c r="BJL45" s="1044"/>
      <c r="BJM45" s="1044"/>
      <c r="BJN45" s="1044"/>
      <c r="BJO45" s="1044"/>
      <c r="BJP45" s="1044"/>
      <c r="BJQ45" s="1044"/>
      <c r="BJR45" s="1044"/>
      <c r="BJS45" s="1044"/>
      <c r="BJT45" s="1044"/>
      <c r="BJU45" s="1044"/>
      <c r="BJV45" s="1044"/>
      <c r="BJW45" s="1044"/>
      <c r="BJX45" s="1044"/>
      <c r="BJY45" s="1044"/>
      <c r="BJZ45" s="1044"/>
      <c r="BKA45" s="1044"/>
      <c r="BKB45" s="1044"/>
      <c r="BKC45" s="1044"/>
      <c r="BKD45" s="1044"/>
      <c r="BKE45" s="1044"/>
      <c r="BKF45" s="1044"/>
      <c r="BKG45" s="1044"/>
      <c r="BKH45" s="1044"/>
      <c r="BKI45" s="1044"/>
      <c r="BKJ45" s="1044"/>
      <c r="BKK45" s="1044"/>
      <c r="BKL45" s="1044"/>
      <c r="BKM45" s="1044"/>
      <c r="BKN45" s="1044"/>
      <c r="BKO45" s="1044"/>
      <c r="BKP45" s="1044"/>
      <c r="BKQ45" s="1044"/>
      <c r="BKR45" s="1044"/>
      <c r="BKS45" s="1044"/>
      <c r="BKT45" s="1044"/>
      <c r="BKU45" s="1044"/>
      <c r="BKV45" s="1044"/>
      <c r="BKW45" s="1044"/>
      <c r="BKX45" s="1044"/>
      <c r="BKY45" s="1044"/>
      <c r="BKZ45" s="1044"/>
      <c r="BLA45" s="1044"/>
      <c r="BLB45" s="1044"/>
      <c r="BLC45" s="1044"/>
      <c r="BLD45" s="1044"/>
      <c r="BLE45" s="1044"/>
      <c r="BLF45" s="1044"/>
      <c r="BLG45" s="1044"/>
      <c r="BLH45" s="1044"/>
      <c r="BLI45" s="1044"/>
      <c r="BLJ45" s="1044"/>
      <c r="BLK45" s="1044"/>
      <c r="BLL45" s="1044"/>
      <c r="BLM45" s="1044"/>
      <c r="BLN45" s="1044"/>
      <c r="BLO45" s="1044"/>
      <c r="BLP45" s="1044"/>
      <c r="BLQ45" s="1044"/>
      <c r="BLR45" s="1044"/>
      <c r="BLS45" s="1044"/>
      <c r="BLT45" s="1044"/>
      <c r="BLU45" s="1044"/>
      <c r="BLV45" s="1044"/>
      <c r="BLW45" s="1044"/>
      <c r="BLX45" s="1044"/>
      <c r="BLY45" s="1044"/>
      <c r="BLZ45" s="1044"/>
      <c r="BMA45" s="1044"/>
      <c r="BMB45" s="1044"/>
      <c r="BMC45" s="1044"/>
      <c r="BMD45" s="1044"/>
      <c r="BME45" s="1044"/>
      <c r="BMF45" s="1044"/>
      <c r="BMG45" s="1044"/>
      <c r="BMH45" s="1044"/>
      <c r="BMI45" s="1044"/>
      <c r="BMJ45" s="1044"/>
      <c r="BMK45" s="1044"/>
      <c r="BML45" s="1044"/>
      <c r="BMM45" s="1044"/>
      <c r="BMN45" s="1044"/>
      <c r="BMO45" s="1044"/>
      <c r="BMP45" s="1044"/>
      <c r="BMQ45" s="1044"/>
      <c r="BMR45" s="1044"/>
      <c r="BMS45" s="1044"/>
      <c r="BMT45" s="1044"/>
      <c r="BMU45" s="1044"/>
      <c r="BMV45" s="1044"/>
      <c r="BMW45" s="1044"/>
      <c r="BMX45" s="1044"/>
      <c r="BMY45" s="1044"/>
      <c r="BMZ45" s="1044"/>
      <c r="BNA45" s="1044"/>
      <c r="BNB45" s="1044"/>
      <c r="BNC45" s="1044"/>
      <c r="BND45" s="1044"/>
      <c r="BNE45" s="1044"/>
      <c r="BNF45" s="1044"/>
      <c r="BNG45" s="1044"/>
      <c r="BNH45" s="1044"/>
      <c r="BNI45" s="1044"/>
      <c r="BNJ45" s="1044"/>
      <c r="BNK45" s="1044"/>
      <c r="BNL45" s="1044"/>
      <c r="BNM45" s="1044"/>
      <c r="BNN45" s="1044"/>
      <c r="BNO45" s="1044"/>
      <c r="BNP45" s="1044"/>
      <c r="BNQ45" s="1044"/>
      <c r="BNR45" s="1044"/>
      <c r="BNS45" s="1044"/>
      <c r="BNT45" s="1044"/>
      <c r="BNU45" s="1044"/>
      <c r="BNV45" s="1044"/>
      <c r="BNW45" s="1044"/>
      <c r="BNX45" s="1044"/>
      <c r="BNY45" s="1044"/>
      <c r="BNZ45" s="1044"/>
      <c r="BOA45" s="1044"/>
      <c r="BOB45" s="1044"/>
      <c r="BOC45" s="1044"/>
      <c r="BOD45" s="1044"/>
      <c r="BOE45" s="1044"/>
      <c r="BOF45" s="1044"/>
      <c r="BOG45" s="1044"/>
      <c r="BOH45" s="1044"/>
      <c r="BOI45" s="1044"/>
      <c r="BOJ45" s="1044"/>
      <c r="BOK45" s="1044"/>
      <c r="BOL45" s="1044"/>
      <c r="BOM45" s="1044"/>
      <c r="BON45" s="1044"/>
      <c r="BOO45" s="1044"/>
      <c r="BOP45" s="1044"/>
      <c r="BOQ45" s="1044"/>
      <c r="BOR45" s="1044"/>
      <c r="BOS45" s="1044"/>
      <c r="BOT45" s="1044"/>
      <c r="BOU45" s="1044"/>
      <c r="BOV45" s="1044"/>
      <c r="BOW45" s="1044"/>
      <c r="BOX45" s="1044"/>
      <c r="BOY45" s="1044"/>
      <c r="BOZ45" s="1044"/>
      <c r="BPA45" s="1044"/>
      <c r="BPB45" s="1044"/>
      <c r="BPC45" s="1044"/>
      <c r="BPD45" s="1044"/>
      <c r="BPE45" s="1044"/>
      <c r="BPF45" s="1044"/>
      <c r="BPG45" s="1044"/>
      <c r="BPH45" s="1044"/>
      <c r="BPI45" s="1044"/>
      <c r="BPJ45" s="1044"/>
      <c r="BPK45" s="1044"/>
      <c r="BPL45" s="1044"/>
      <c r="BPM45" s="1044"/>
      <c r="BPN45" s="1044"/>
      <c r="BPO45" s="1044"/>
      <c r="BPP45" s="1044"/>
      <c r="BPQ45" s="1044"/>
      <c r="BPR45" s="1044"/>
      <c r="BPS45" s="1044"/>
      <c r="BPT45" s="1044"/>
      <c r="BPU45" s="1044"/>
      <c r="BPV45" s="1044"/>
      <c r="BPW45" s="1044"/>
      <c r="BPX45" s="1044"/>
      <c r="BPY45" s="1044"/>
      <c r="BPZ45" s="1044"/>
      <c r="BQA45" s="1044"/>
      <c r="BQB45" s="1044"/>
      <c r="BQC45" s="1044"/>
      <c r="BQD45" s="1044"/>
      <c r="BQE45" s="1044"/>
      <c r="BQF45" s="1044"/>
      <c r="BQG45" s="1044"/>
      <c r="BQH45" s="1044"/>
      <c r="BQI45" s="1044"/>
      <c r="BQJ45" s="1044"/>
      <c r="BQK45" s="1044"/>
      <c r="BQL45" s="1044"/>
      <c r="BQM45" s="1044"/>
      <c r="BQN45" s="1044"/>
      <c r="BQO45" s="1044"/>
      <c r="BQP45" s="1044"/>
      <c r="BQQ45" s="1044"/>
      <c r="BQR45" s="1044"/>
      <c r="BQS45" s="1044"/>
      <c r="BQT45" s="1044"/>
      <c r="BQU45" s="1044"/>
      <c r="BQV45" s="1044"/>
      <c r="BQW45" s="1044"/>
      <c r="BQX45" s="1044"/>
      <c r="BQY45" s="1044"/>
      <c r="BQZ45" s="1044"/>
      <c r="BRA45" s="1044"/>
      <c r="BRB45" s="1044"/>
      <c r="BRC45" s="1044"/>
      <c r="BRD45" s="1044"/>
      <c r="BRE45" s="1044"/>
      <c r="BRF45" s="1044"/>
      <c r="BRG45" s="1044"/>
      <c r="BRH45" s="1044"/>
      <c r="BRI45" s="1044"/>
      <c r="BRJ45" s="1044"/>
      <c r="BRK45" s="1044"/>
      <c r="BRL45" s="1044"/>
      <c r="BRM45" s="1044"/>
      <c r="BRN45" s="1044"/>
      <c r="BRO45" s="1044"/>
      <c r="BRP45" s="1044"/>
      <c r="BRQ45" s="1044"/>
      <c r="BRR45" s="1044"/>
      <c r="BRS45" s="1044"/>
      <c r="BRT45" s="1044"/>
      <c r="BRU45" s="1044"/>
      <c r="BRV45" s="1044"/>
      <c r="BRW45" s="1044"/>
      <c r="BRX45" s="1044"/>
      <c r="BRY45" s="1044"/>
      <c r="BRZ45" s="1044"/>
      <c r="BSA45" s="1044"/>
      <c r="BSB45" s="1044"/>
      <c r="BSC45" s="1044"/>
      <c r="BSD45" s="1044"/>
      <c r="BSE45" s="1044"/>
      <c r="BSF45" s="1044"/>
      <c r="BSG45" s="1044"/>
      <c r="BSH45" s="1044"/>
      <c r="BSI45" s="1044"/>
      <c r="BSJ45" s="1044"/>
      <c r="BSK45" s="1044"/>
      <c r="BSL45" s="1044"/>
      <c r="BSM45" s="1044"/>
      <c r="BSN45" s="1044"/>
      <c r="BSO45" s="1044"/>
      <c r="BSP45" s="1044"/>
      <c r="BSQ45" s="1044"/>
      <c r="BSR45" s="1044"/>
      <c r="BSS45" s="1044"/>
      <c r="BST45" s="1044"/>
      <c r="BSU45" s="1044"/>
      <c r="BSV45" s="1044"/>
      <c r="BSW45" s="1044"/>
      <c r="BSX45" s="1044"/>
      <c r="BSY45" s="1044"/>
      <c r="BSZ45" s="1044"/>
      <c r="BTA45" s="1044"/>
      <c r="BTB45" s="1044"/>
      <c r="BTC45" s="1044"/>
      <c r="BTD45" s="1044"/>
      <c r="BTE45" s="1044"/>
      <c r="BTF45" s="1044"/>
      <c r="BTG45" s="1044"/>
      <c r="BTH45" s="1044"/>
      <c r="BTI45" s="1044"/>
      <c r="BTJ45" s="1044"/>
      <c r="BTK45" s="1044"/>
      <c r="BTL45" s="1044"/>
      <c r="BTM45" s="1044"/>
      <c r="BTN45" s="1044"/>
      <c r="BTO45" s="1044"/>
      <c r="BTP45" s="1044"/>
      <c r="BTQ45" s="1044"/>
      <c r="BTR45" s="1044"/>
      <c r="BTS45" s="1044"/>
      <c r="BTT45" s="1044"/>
      <c r="BTU45" s="1044"/>
      <c r="BTV45" s="1044"/>
      <c r="BTW45" s="1044"/>
      <c r="BTX45" s="1044"/>
      <c r="BTY45" s="1044"/>
      <c r="BTZ45" s="1044"/>
      <c r="BUA45" s="1044"/>
      <c r="BUB45" s="1044"/>
      <c r="BUC45" s="1044"/>
      <c r="BUD45" s="1044"/>
      <c r="BUE45" s="1044"/>
      <c r="BUF45" s="1044"/>
      <c r="BUG45" s="1044"/>
      <c r="BUH45" s="1044"/>
      <c r="BUI45" s="1044"/>
      <c r="BUJ45" s="1044"/>
      <c r="BUK45" s="1044"/>
      <c r="BUL45" s="1044"/>
      <c r="BUM45" s="1044"/>
      <c r="BUN45" s="1044"/>
      <c r="BUO45" s="1044"/>
      <c r="BUP45" s="1044"/>
      <c r="BUQ45" s="1044"/>
      <c r="BUR45" s="1044"/>
      <c r="BUS45" s="1044"/>
      <c r="BUT45" s="1044"/>
      <c r="BUU45" s="1044"/>
      <c r="BUV45" s="1044"/>
      <c r="BUW45" s="1044"/>
      <c r="BUX45" s="1044"/>
      <c r="BUY45" s="1044"/>
      <c r="BUZ45" s="1044"/>
      <c r="BVA45" s="1044"/>
      <c r="BVB45" s="1044"/>
      <c r="BVC45" s="1044"/>
      <c r="BVD45" s="1044"/>
      <c r="BVE45" s="1044"/>
      <c r="BVF45" s="1044"/>
      <c r="BVG45" s="1044"/>
      <c r="BVH45" s="1044"/>
      <c r="BVI45" s="1044"/>
      <c r="BVJ45" s="1044"/>
      <c r="BVK45" s="1044"/>
      <c r="BVL45" s="1044"/>
      <c r="BVM45" s="1044"/>
      <c r="BVN45" s="1044"/>
      <c r="BVO45" s="1044"/>
      <c r="BVP45" s="1044"/>
      <c r="BVQ45" s="1044"/>
      <c r="BVR45" s="1044"/>
      <c r="BVS45" s="1044"/>
      <c r="BVT45" s="1044"/>
      <c r="BVU45" s="1044"/>
      <c r="BVV45" s="1044"/>
      <c r="BVW45" s="1044"/>
      <c r="BVX45" s="1044"/>
      <c r="BVY45" s="1044"/>
      <c r="BVZ45" s="1044"/>
      <c r="BWA45" s="1044"/>
      <c r="BWB45" s="1044"/>
      <c r="BWC45" s="1044"/>
      <c r="BWD45" s="1044"/>
      <c r="BWE45" s="1044"/>
      <c r="BWF45" s="1044"/>
      <c r="BWG45" s="1044"/>
      <c r="BWH45" s="1044"/>
      <c r="BWI45" s="1044"/>
      <c r="BWJ45" s="1044"/>
      <c r="BWK45" s="1044"/>
      <c r="BWL45" s="1044"/>
      <c r="BWM45" s="1044"/>
      <c r="BWN45" s="1044"/>
      <c r="BWO45" s="1044"/>
      <c r="BWP45" s="1044"/>
      <c r="BWQ45" s="1044"/>
      <c r="BWR45" s="1044"/>
      <c r="BWS45" s="1044"/>
      <c r="BWT45" s="1044"/>
      <c r="BWU45" s="1044"/>
      <c r="BWV45" s="1044"/>
      <c r="BWW45" s="1044"/>
      <c r="BWX45" s="1044"/>
      <c r="BWY45" s="1044"/>
      <c r="BWZ45" s="1044"/>
      <c r="BXA45" s="1044"/>
      <c r="BXB45" s="1044"/>
      <c r="BXC45" s="1044"/>
      <c r="BXD45" s="1044"/>
      <c r="BXE45" s="1044"/>
      <c r="BXF45" s="1044"/>
      <c r="BXG45" s="1044"/>
      <c r="BXH45" s="1044"/>
      <c r="BXI45" s="1044"/>
      <c r="BXJ45" s="1044"/>
      <c r="BXK45" s="1044"/>
      <c r="BXL45" s="1044"/>
      <c r="BXM45" s="1044"/>
      <c r="BXN45" s="1044"/>
      <c r="BXO45" s="1044"/>
      <c r="BXP45" s="1044"/>
      <c r="BXQ45" s="1044"/>
      <c r="BXR45" s="1044"/>
      <c r="BXS45" s="1044"/>
      <c r="BXT45" s="1044"/>
      <c r="BXU45" s="1044"/>
      <c r="BXV45" s="1044"/>
      <c r="BXW45" s="1044"/>
      <c r="BXX45" s="1044"/>
      <c r="BXY45" s="1044"/>
      <c r="BXZ45" s="1044"/>
      <c r="BYA45" s="1044"/>
      <c r="BYB45" s="1044"/>
      <c r="BYC45" s="1044"/>
      <c r="BYD45" s="1044"/>
      <c r="BYE45" s="1044"/>
      <c r="BYF45" s="1044"/>
      <c r="BYG45" s="1044"/>
      <c r="BYH45" s="1044"/>
      <c r="BYI45" s="1044"/>
      <c r="BYJ45" s="1044"/>
      <c r="BYK45" s="1044"/>
      <c r="BYL45" s="1044"/>
      <c r="BYM45" s="1044"/>
      <c r="BYN45" s="1044"/>
      <c r="BYO45" s="1044"/>
      <c r="BYP45" s="1044"/>
      <c r="BYQ45" s="1044"/>
      <c r="BYR45" s="1044"/>
      <c r="BYS45" s="1044"/>
      <c r="BYT45" s="1044"/>
      <c r="BYU45" s="1044"/>
      <c r="BYV45" s="1044"/>
      <c r="BYW45" s="1044"/>
      <c r="BYX45" s="1044"/>
      <c r="BYY45" s="1044"/>
      <c r="BYZ45" s="1044"/>
      <c r="BZA45" s="1044"/>
      <c r="BZB45" s="1044"/>
      <c r="BZC45" s="1044"/>
      <c r="BZD45" s="1044"/>
      <c r="BZE45" s="1044"/>
      <c r="BZF45" s="1044"/>
      <c r="BZG45" s="1044"/>
      <c r="BZH45" s="1044"/>
      <c r="BZI45" s="1044"/>
      <c r="BZJ45" s="1044"/>
      <c r="BZK45" s="1044"/>
      <c r="BZL45" s="1044"/>
      <c r="BZM45" s="1044"/>
      <c r="BZN45" s="1044"/>
      <c r="BZO45" s="1044"/>
      <c r="BZP45" s="1044"/>
      <c r="BZQ45" s="1044"/>
      <c r="BZR45" s="1044"/>
      <c r="BZS45" s="1044"/>
      <c r="BZT45" s="1044"/>
      <c r="BZU45" s="1044"/>
      <c r="BZV45" s="1044"/>
      <c r="BZW45" s="1044"/>
      <c r="BZX45" s="1044"/>
      <c r="BZY45" s="1044"/>
      <c r="BZZ45" s="1044"/>
      <c r="CAA45" s="1044"/>
      <c r="CAB45" s="1044"/>
      <c r="CAC45" s="1044"/>
      <c r="CAD45" s="1044"/>
      <c r="CAE45" s="1044"/>
      <c r="CAF45" s="1044"/>
      <c r="CAG45" s="1044"/>
      <c r="CAH45" s="1044"/>
      <c r="CAI45" s="1044"/>
      <c r="CAJ45" s="1044"/>
      <c r="CAK45" s="1044"/>
      <c r="CAL45" s="1044"/>
      <c r="CAM45" s="1044"/>
      <c r="CAN45" s="1044"/>
      <c r="CAO45" s="1044"/>
      <c r="CAP45" s="1044"/>
      <c r="CAQ45" s="1044"/>
      <c r="CAR45" s="1044"/>
      <c r="CAS45" s="1044"/>
      <c r="CAT45" s="1044"/>
      <c r="CAU45" s="1044"/>
      <c r="CAV45" s="1044"/>
      <c r="CAW45" s="1044"/>
      <c r="CAX45" s="1044"/>
      <c r="CAY45" s="1044"/>
      <c r="CAZ45" s="1044"/>
      <c r="CBA45" s="1044"/>
      <c r="CBB45" s="1044"/>
      <c r="CBC45" s="1044"/>
      <c r="CBD45" s="1044"/>
      <c r="CBE45" s="1044"/>
      <c r="CBF45" s="1044"/>
      <c r="CBG45" s="1044"/>
      <c r="CBH45" s="1044"/>
      <c r="CBI45" s="1044"/>
      <c r="CBJ45" s="1044"/>
      <c r="CBK45" s="1044"/>
      <c r="CBL45" s="1044"/>
      <c r="CBM45" s="1044"/>
      <c r="CBN45" s="1044"/>
      <c r="CBO45" s="1044"/>
      <c r="CBP45" s="1044"/>
      <c r="CBQ45" s="1044"/>
      <c r="CBR45" s="1044"/>
      <c r="CBS45" s="1044"/>
      <c r="CBT45" s="1044"/>
      <c r="CBU45" s="1044"/>
      <c r="CBV45" s="1044"/>
      <c r="CBW45" s="1044"/>
      <c r="CBX45" s="1044"/>
      <c r="CBY45" s="1044"/>
      <c r="CBZ45" s="1044"/>
      <c r="CCA45" s="1044"/>
      <c r="CCB45" s="1044"/>
      <c r="CCC45" s="1044"/>
      <c r="CCD45" s="1044"/>
      <c r="CCE45" s="1044"/>
      <c r="CCF45" s="1044"/>
      <c r="CCG45" s="1044"/>
      <c r="CCH45" s="1044"/>
      <c r="CCI45" s="1044"/>
      <c r="CCJ45" s="1044"/>
      <c r="CCK45" s="1044"/>
      <c r="CCL45" s="1044"/>
      <c r="CCM45" s="1044"/>
      <c r="CCN45" s="1044"/>
      <c r="CCO45" s="1044"/>
      <c r="CCP45" s="1044"/>
      <c r="CCQ45" s="1044"/>
      <c r="CCR45" s="1044"/>
      <c r="CCS45" s="1044"/>
      <c r="CCT45" s="1044"/>
      <c r="CCU45" s="1044"/>
      <c r="CCV45" s="1044"/>
      <c r="CCW45" s="1044"/>
      <c r="CCX45" s="1044"/>
      <c r="CCY45" s="1044"/>
      <c r="CCZ45" s="1044"/>
      <c r="CDA45" s="1044"/>
      <c r="CDB45" s="1044"/>
      <c r="CDC45" s="1044"/>
      <c r="CDD45" s="1044"/>
      <c r="CDE45" s="1044"/>
      <c r="CDF45" s="1044"/>
      <c r="CDG45" s="1044"/>
      <c r="CDH45" s="1044"/>
      <c r="CDI45" s="1044"/>
      <c r="CDJ45" s="1044"/>
      <c r="CDK45" s="1044"/>
      <c r="CDL45" s="1044"/>
      <c r="CDM45" s="1044"/>
      <c r="CDN45" s="1044"/>
      <c r="CDO45" s="1044"/>
      <c r="CDP45" s="1044"/>
      <c r="CDQ45" s="1044"/>
      <c r="CDR45" s="1044"/>
      <c r="CDS45" s="1044"/>
      <c r="CDT45" s="1044"/>
      <c r="CDU45" s="1044"/>
      <c r="CDV45" s="1044"/>
      <c r="CDW45" s="1044"/>
      <c r="CDX45" s="1044"/>
      <c r="CDY45" s="1044"/>
      <c r="CDZ45" s="1044"/>
      <c r="CEA45" s="1044"/>
      <c r="CEB45" s="1044"/>
      <c r="CEC45" s="1044"/>
      <c r="CED45" s="1044"/>
      <c r="CEE45" s="1044"/>
      <c r="CEF45" s="1044"/>
      <c r="CEG45" s="1044"/>
      <c r="CEH45" s="1044"/>
      <c r="CEI45" s="1044"/>
      <c r="CEJ45" s="1044"/>
      <c r="CEK45" s="1044"/>
      <c r="CEL45" s="1044"/>
      <c r="CEM45" s="1044"/>
      <c r="CEN45" s="1044"/>
      <c r="CEO45" s="1044"/>
      <c r="CEP45" s="1044"/>
      <c r="CEQ45" s="1044"/>
      <c r="CER45" s="1044"/>
      <c r="CES45" s="1044"/>
      <c r="CET45" s="1044"/>
      <c r="CEU45" s="1044"/>
      <c r="CEV45" s="1044"/>
      <c r="CEW45" s="1044"/>
      <c r="CEX45" s="1044"/>
      <c r="CEY45" s="1044"/>
      <c r="CEZ45" s="1044"/>
      <c r="CFA45" s="1044"/>
      <c r="CFB45" s="1044"/>
      <c r="CFC45" s="1044"/>
      <c r="CFD45" s="1044"/>
      <c r="CFE45" s="1044"/>
      <c r="CFF45" s="1044"/>
      <c r="CFG45" s="1044"/>
      <c r="CFH45" s="1044"/>
      <c r="CFI45" s="1044"/>
      <c r="CFJ45" s="1044"/>
      <c r="CFK45" s="1044"/>
      <c r="CFL45" s="1044"/>
      <c r="CFM45" s="1044"/>
      <c r="CFN45" s="1044"/>
      <c r="CFO45" s="1044"/>
      <c r="CFP45" s="1044"/>
      <c r="CFQ45" s="1044"/>
      <c r="CFR45" s="1044"/>
      <c r="CFS45" s="1044"/>
      <c r="CFT45" s="1044"/>
      <c r="CFU45" s="1044"/>
      <c r="CFV45" s="1044"/>
      <c r="CFW45" s="1044"/>
      <c r="CFX45" s="1044"/>
      <c r="CFY45" s="1044"/>
      <c r="CFZ45" s="1044"/>
      <c r="CGA45" s="1044"/>
      <c r="CGB45" s="1044"/>
      <c r="CGC45" s="1044"/>
      <c r="CGD45" s="1044"/>
      <c r="CGE45" s="1044"/>
      <c r="CGF45" s="1044"/>
      <c r="CGG45" s="1044"/>
      <c r="CGH45" s="1044"/>
      <c r="CGI45" s="1044"/>
      <c r="CGJ45" s="1044"/>
      <c r="CGK45" s="1044"/>
      <c r="CGL45" s="1044"/>
      <c r="CGM45" s="1044"/>
      <c r="CGN45" s="1044"/>
      <c r="CGO45" s="1044"/>
      <c r="CGP45" s="1044"/>
      <c r="CGQ45" s="1044"/>
      <c r="CGR45" s="1044"/>
      <c r="CGS45" s="1044"/>
      <c r="CGT45" s="1044"/>
      <c r="CGU45" s="1044"/>
      <c r="CGV45" s="1044"/>
      <c r="CGW45" s="1044"/>
      <c r="CGX45" s="1044"/>
      <c r="CGY45" s="1044"/>
      <c r="CGZ45" s="1044"/>
      <c r="CHA45" s="1044"/>
      <c r="CHB45" s="1044"/>
      <c r="CHC45" s="1044"/>
      <c r="CHD45" s="1044"/>
      <c r="CHE45" s="1044"/>
      <c r="CHF45" s="1044"/>
      <c r="CHG45" s="1044"/>
      <c r="CHH45" s="1044"/>
      <c r="CHI45" s="1044"/>
      <c r="CHJ45" s="1044"/>
      <c r="CHK45" s="1044"/>
      <c r="CHL45" s="1044"/>
      <c r="CHM45" s="1044"/>
      <c r="CHN45" s="1044"/>
      <c r="CHO45" s="1044"/>
      <c r="CHP45" s="1044"/>
      <c r="CHQ45" s="1044"/>
      <c r="CHR45" s="1044"/>
      <c r="CHS45" s="1044"/>
      <c r="CHT45" s="1044"/>
      <c r="CHU45" s="1044"/>
      <c r="CHV45" s="1044"/>
      <c r="CHW45" s="1044"/>
      <c r="CHX45" s="1044"/>
      <c r="CHY45" s="1044"/>
      <c r="CHZ45" s="1044"/>
      <c r="CIA45" s="1044"/>
      <c r="CIB45" s="1044"/>
      <c r="CIC45" s="1044"/>
      <c r="CID45" s="1044"/>
      <c r="CIE45" s="1044"/>
      <c r="CIF45" s="1044"/>
      <c r="CIG45" s="1044"/>
      <c r="CIH45" s="1044"/>
      <c r="CII45" s="1044"/>
      <c r="CIJ45" s="1044"/>
      <c r="CIK45" s="1044"/>
      <c r="CIL45" s="1044"/>
      <c r="CIM45" s="1044"/>
      <c r="CIN45" s="1044"/>
      <c r="CIO45" s="1044"/>
      <c r="CIP45" s="1044"/>
      <c r="CIQ45" s="1044"/>
      <c r="CIR45" s="1044"/>
      <c r="CIS45" s="1044"/>
      <c r="CIT45" s="1044"/>
      <c r="CIU45" s="1044"/>
      <c r="CIV45" s="1044"/>
      <c r="CIW45" s="1044"/>
      <c r="CIX45" s="1044"/>
      <c r="CIY45" s="1044"/>
      <c r="CIZ45" s="1044"/>
      <c r="CJA45" s="1044"/>
      <c r="CJB45" s="1044"/>
      <c r="CJC45" s="1044"/>
      <c r="CJD45" s="1044"/>
      <c r="CJE45" s="1044"/>
      <c r="CJF45" s="1044"/>
      <c r="CJG45" s="1044"/>
      <c r="CJH45" s="1044"/>
      <c r="CJI45" s="1044"/>
      <c r="CJJ45" s="1044"/>
      <c r="CJK45" s="1044"/>
      <c r="CJL45" s="1044"/>
      <c r="CJM45" s="1044"/>
      <c r="CJN45" s="1044"/>
      <c r="CJO45" s="1044"/>
      <c r="CJP45" s="1044"/>
      <c r="CJQ45" s="1044"/>
      <c r="CJR45" s="1044"/>
      <c r="CJS45" s="1044"/>
      <c r="CJT45" s="1044"/>
      <c r="CJU45" s="1044"/>
      <c r="CJV45" s="1044"/>
      <c r="CJW45" s="1044"/>
      <c r="CJX45" s="1044"/>
      <c r="CJY45" s="1044"/>
      <c r="CJZ45" s="1044"/>
      <c r="CKA45" s="1044"/>
      <c r="CKB45" s="1044"/>
      <c r="CKC45" s="1044"/>
      <c r="CKD45" s="1044"/>
      <c r="CKE45" s="1044"/>
      <c r="CKF45" s="1044"/>
      <c r="CKG45" s="1044"/>
      <c r="CKH45" s="1044"/>
      <c r="CKI45" s="1044"/>
      <c r="CKJ45" s="1044"/>
      <c r="CKK45" s="1044"/>
      <c r="CKL45" s="1044"/>
      <c r="CKM45" s="1044"/>
      <c r="CKN45" s="1044"/>
      <c r="CKO45" s="1044"/>
      <c r="CKP45" s="1044"/>
      <c r="CKQ45" s="1044"/>
      <c r="CKR45" s="1044"/>
      <c r="CKS45" s="1044"/>
      <c r="CKT45" s="1044"/>
      <c r="CKU45" s="1044"/>
      <c r="CKV45" s="1044"/>
      <c r="CKW45" s="1044"/>
      <c r="CKX45" s="1044"/>
      <c r="CKY45" s="1044"/>
      <c r="CKZ45" s="1044"/>
      <c r="CLA45" s="1044"/>
      <c r="CLB45" s="1044"/>
      <c r="CLC45" s="1044"/>
      <c r="CLD45" s="1044"/>
      <c r="CLE45" s="1044"/>
      <c r="CLF45" s="1044"/>
      <c r="CLG45" s="1044"/>
      <c r="CLH45" s="1044"/>
      <c r="CLI45" s="1044"/>
      <c r="CLJ45" s="1044"/>
      <c r="CLK45" s="1044"/>
      <c r="CLL45" s="1044"/>
      <c r="CLM45" s="1044"/>
      <c r="CLN45" s="1044"/>
      <c r="CLO45" s="1044"/>
      <c r="CLP45" s="1044"/>
      <c r="CLQ45" s="1044"/>
      <c r="CLR45" s="1044"/>
      <c r="CLS45" s="1044"/>
      <c r="CLT45" s="1044"/>
      <c r="CLU45" s="1044"/>
      <c r="CLV45" s="1044"/>
      <c r="CLW45" s="1044"/>
      <c r="CLX45" s="1044"/>
      <c r="CLY45" s="1044"/>
      <c r="CLZ45" s="1044"/>
      <c r="CMA45" s="1044"/>
      <c r="CMB45" s="1044"/>
      <c r="CMC45" s="1044"/>
      <c r="CMD45" s="1044"/>
      <c r="CME45" s="1044"/>
      <c r="CMF45" s="1044"/>
      <c r="CMG45" s="1044"/>
      <c r="CMH45" s="1044"/>
      <c r="CMI45" s="1044"/>
      <c r="CMJ45" s="1044"/>
      <c r="CMK45" s="1044"/>
      <c r="CML45" s="1044"/>
      <c r="CMM45" s="1044"/>
      <c r="CMN45" s="1044"/>
      <c r="CMO45" s="1044"/>
      <c r="CMP45" s="1044"/>
      <c r="CMQ45" s="1044"/>
      <c r="CMR45" s="1044"/>
      <c r="CMS45" s="1044"/>
      <c r="CMT45" s="1044"/>
      <c r="CMU45" s="1044"/>
      <c r="CMV45" s="1044"/>
      <c r="CMW45" s="1044"/>
      <c r="CMX45" s="1044"/>
      <c r="CMY45" s="1044"/>
      <c r="CMZ45" s="1044"/>
      <c r="CNA45" s="1044"/>
      <c r="CNB45" s="1044"/>
      <c r="CNC45" s="1044"/>
      <c r="CND45" s="1044"/>
      <c r="CNE45" s="1044"/>
      <c r="CNF45" s="1044"/>
      <c r="CNG45" s="1044"/>
      <c r="CNH45" s="1044"/>
      <c r="CNI45" s="1044"/>
      <c r="CNJ45" s="1044"/>
      <c r="CNK45" s="1044"/>
      <c r="CNL45" s="1044"/>
      <c r="CNM45" s="1044"/>
      <c r="CNN45" s="1044"/>
      <c r="CNO45" s="1044"/>
      <c r="CNP45" s="1044"/>
      <c r="CNQ45" s="1044"/>
      <c r="CNR45" s="1044"/>
      <c r="CNS45" s="1044"/>
      <c r="CNT45" s="1044"/>
      <c r="CNU45" s="1044"/>
      <c r="CNV45" s="1044"/>
      <c r="CNW45" s="1044"/>
      <c r="CNX45" s="1044"/>
      <c r="CNY45" s="1044"/>
      <c r="CNZ45" s="1044"/>
      <c r="COA45" s="1044"/>
      <c r="COB45" s="1044"/>
      <c r="COC45" s="1044"/>
      <c r="COD45" s="1044"/>
      <c r="COE45" s="1044"/>
      <c r="COF45" s="1044"/>
      <c r="COG45" s="1044"/>
      <c r="COH45" s="1044"/>
      <c r="COI45" s="1044"/>
      <c r="COJ45" s="1044"/>
      <c r="COK45" s="1044"/>
      <c r="COL45" s="1044"/>
      <c r="COM45" s="1044"/>
      <c r="CON45" s="1044"/>
      <c r="COO45" s="1044"/>
      <c r="COP45" s="1044"/>
      <c r="COQ45" s="1044"/>
      <c r="COR45" s="1044"/>
      <c r="COS45" s="1044"/>
      <c r="COT45" s="1044"/>
      <c r="COU45" s="1044"/>
      <c r="COV45" s="1044"/>
      <c r="COW45" s="1044"/>
      <c r="COX45" s="1044"/>
      <c r="COY45" s="1044"/>
      <c r="COZ45" s="1044"/>
      <c r="CPA45" s="1044"/>
      <c r="CPB45" s="1044"/>
      <c r="CPC45" s="1044"/>
      <c r="CPD45" s="1044"/>
      <c r="CPE45" s="1044"/>
      <c r="CPF45" s="1044"/>
      <c r="CPG45" s="1044"/>
      <c r="CPH45" s="1044"/>
      <c r="CPI45" s="1044"/>
      <c r="CPJ45" s="1044"/>
      <c r="CPK45" s="1044"/>
      <c r="CPL45" s="1044"/>
      <c r="CPM45" s="1044"/>
      <c r="CPN45" s="1044"/>
      <c r="CPO45" s="1044"/>
      <c r="CPP45" s="1044"/>
      <c r="CPQ45" s="1044"/>
      <c r="CPR45" s="1044"/>
      <c r="CPS45" s="1044"/>
      <c r="CPT45" s="1044"/>
      <c r="CPU45" s="1044"/>
      <c r="CPV45" s="1044"/>
      <c r="CPW45" s="1044"/>
      <c r="CPX45" s="1044"/>
      <c r="CPY45" s="1044"/>
      <c r="CPZ45" s="1044"/>
      <c r="CQA45" s="1044"/>
      <c r="CQB45" s="1044"/>
      <c r="CQC45" s="1044"/>
      <c r="CQD45" s="1044"/>
      <c r="CQE45" s="1044"/>
      <c r="CQF45" s="1044"/>
      <c r="CQG45" s="1044"/>
      <c r="CQH45" s="1044"/>
      <c r="CQI45" s="1044"/>
      <c r="CQJ45" s="1044"/>
      <c r="CQK45" s="1044"/>
      <c r="CQL45" s="1044"/>
      <c r="CQM45" s="1044"/>
      <c r="CQN45" s="1044"/>
      <c r="CQO45" s="1044"/>
      <c r="CQP45" s="1044"/>
      <c r="CQQ45" s="1044"/>
      <c r="CQR45" s="1044"/>
      <c r="CQS45" s="1044"/>
      <c r="CQT45" s="1044"/>
      <c r="CQU45" s="1044"/>
      <c r="CQV45" s="1044"/>
      <c r="CQW45" s="1044"/>
      <c r="CQX45" s="1044"/>
      <c r="CQY45" s="1044"/>
      <c r="CQZ45" s="1044"/>
      <c r="CRA45" s="1044"/>
      <c r="CRB45" s="1044"/>
      <c r="CRC45" s="1044"/>
      <c r="CRD45" s="1044"/>
      <c r="CRE45" s="1044"/>
      <c r="CRF45" s="1044"/>
      <c r="CRG45" s="1044"/>
      <c r="CRH45" s="1044"/>
      <c r="CRI45" s="1044"/>
      <c r="CRJ45" s="1044"/>
      <c r="CRK45" s="1044"/>
      <c r="CRL45" s="1044"/>
      <c r="CRM45" s="1044"/>
      <c r="CRN45" s="1044"/>
      <c r="CRO45" s="1044"/>
      <c r="CRP45" s="1044"/>
      <c r="CRQ45" s="1044"/>
      <c r="CRR45" s="1044"/>
      <c r="CRS45" s="1044"/>
      <c r="CRT45" s="1044"/>
      <c r="CRU45" s="1044"/>
      <c r="CRV45" s="1044"/>
      <c r="CRW45" s="1044"/>
      <c r="CRX45" s="1044"/>
      <c r="CRY45" s="1044"/>
      <c r="CRZ45" s="1044"/>
      <c r="CSA45" s="1044"/>
      <c r="CSB45" s="1044"/>
      <c r="CSC45" s="1044"/>
      <c r="CSD45" s="1044"/>
      <c r="CSE45" s="1044"/>
      <c r="CSF45" s="1044"/>
      <c r="CSG45" s="1044"/>
      <c r="CSH45" s="1044"/>
      <c r="CSI45" s="1044"/>
      <c r="CSJ45" s="1044"/>
      <c r="CSK45" s="1044"/>
      <c r="CSL45" s="1044"/>
      <c r="CSM45" s="1044"/>
      <c r="CSN45" s="1044"/>
      <c r="CSO45" s="1044"/>
      <c r="CSP45" s="1044"/>
      <c r="CSQ45" s="1044"/>
      <c r="CSR45" s="1044"/>
      <c r="CSS45" s="1044"/>
      <c r="CST45" s="1044"/>
      <c r="CSU45" s="1044"/>
      <c r="CSV45" s="1044"/>
      <c r="CSW45" s="1044"/>
      <c r="CSX45" s="1044"/>
      <c r="CSY45" s="1044"/>
      <c r="CSZ45" s="1044"/>
      <c r="CTA45" s="1044"/>
      <c r="CTB45" s="1044"/>
      <c r="CTC45" s="1044"/>
      <c r="CTD45" s="1044"/>
      <c r="CTE45" s="1044"/>
      <c r="CTF45" s="1044"/>
      <c r="CTG45" s="1044"/>
      <c r="CTH45" s="1044"/>
      <c r="CTI45" s="1044"/>
      <c r="CTJ45" s="1044"/>
      <c r="CTK45" s="1044"/>
      <c r="CTL45" s="1044"/>
      <c r="CTM45" s="1044"/>
      <c r="CTN45" s="1044"/>
      <c r="CTO45" s="1044"/>
      <c r="CTP45" s="1044"/>
      <c r="CTQ45" s="1044"/>
      <c r="CTR45" s="1044"/>
      <c r="CTS45" s="1044"/>
      <c r="CTT45" s="1044"/>
      <c r="CTU45" s="1044"/>
      <c r="CTV45" s="1044"/>
      <c r="CTW45" s="1044"/>
      <c r="CTX45" s="1044"/>
      <c r="CTY45" s="1044"/>
      <c r="CTZ45" s="1044"/>
      <c r="CUA45" s="1044"/>
      <c r="CUB45" s="1044"/>
      <c r="CUC45" s="1044"/>
      <c r="CUD45" s="1044"/>
      <c r="CUE45" s="1044"/>
      <c r="CUF45" s="1044"/>
      <c r="CUG45" s="1044"/>
      <c r="CUH45" s="1044"/>
      <c r="CUI45" s="1044"/>
      <c r="CUJ45" s="1044"/>
      <c r="CUK45" s="1044"/>
      <c r="CUL45" s="1044"/>
      <c r="CUM45" s="1044"/>
      <c r="CUN45" s="1044"/>
      <c r="CUO45" s="1044"/>
      <c r="CUP45" s="1044"/>
      <c r="CUQ45" s="1044"/>
      <c r="CUR45" s="1044"/>
      <c r="CUS45" s="1044"/>
      <c r="CUT45" s="1044"/>
      <c r="CUU45" s="1044"/>
      <c r="CUV45" s="1044"/>
      <c r="CUW45" s="1044"/>
      <c r="CUX45" s="1044"/>
      <c r="CUY45" s="1044"/>
      <c r="CUZ45" s="1044"/>
      <c r="CVA45" s="1044"/>
      <c r="CVB45" s="1044"/>
      <c r="CVC45" s="1044"/>
      <c r="CVD45" s="1044"/>
      <c r="CVE45" s="1044"/>
      <c r="CVF45" s="1044"/>
      <c r="CVG45" s="1044"/>
      <c r="CVH45" s="1044"/>
      <c r="CVI45" s="1044"/>
      <c r="CVJ45" s="1044"/>
      <c r="CVK45" s="1044"/>
      <c r="CVL45" s="1044"/>
      <c r="CVM45" s="1044"/>
      <c r="CVN45" s="1044"/>
      <c r="CVO45" s="1044"/>
      <c r="CVP45" s="1044"/>
      <c r="CVQ45" s="1044"/>
      <c r="CVR45" s="1044"/>
      <c r="CVS45" s="1044"/>
      <c r="CVT45" s="1044"/>
      <c r="CVU45" s="1044"/>
      <c r="CVV45" s="1044"/>
      <c r="CVW45" s="1044"/>
      <c r="CVX45" s="1044"/>
      <c r="CVY45" s="1044"/>
      <c r="CVZ45" s="1044"/>
      <c r="CWA45" s="1044"/>
      <c r="CWB45" s="1044"/>
      <c r="CWC45" s="1044"/>
      <c r="CWD45" s="1044"/>
      <c r="CWE45" s="1044"/>
      <c r="CWF45" s="1044"/>
      <c r="CWG45" s="1044"/>
      <c r="CWH45" s="1044"/>
      <c r="CWI45" s="1044"/>
      <c r="CWJ45" s="1044"/>
      <c r="CWK45" s="1044"/>
      <c r="CWL45" s="1044"/>
      <c r="CWM45" s="1044"/>
      <c r="CWN45" s="1044"/>
      <c r="CWO45" s="1044"/>
      <c r="CWP45" s="1044"/>
      <c r="CWQ45" s="1044"/>
      <c r="CWR45" s="1044"/>
      <c r="CWS45" s="1044"/>
      <c r="CWT45" s="1044"/>
      <c r="CWU45" s="1044"/>
      <c r="CWV45" s="1044"/>
      <c r="CWW45" s="1044"/>
      <c r="CWX45" s="1044"/>
      <c r="CWY45" s="1044"/>
      <c r="CWZ45" s="1044"/>
      <c r="CXA45" s="1044"/>
      <c r="CXB45" s="1044"/>
      <c r="CXC45" s="1044"/>
      <c r="CXD45" s="1044"/>
      <c r="CXE45" s="1044"/>
      <c r="CXF45" s="1044"/>
      <c r="CXG45" s="1044"/>
      <c r="CXH45" s="1044"/>
      <c r="CXI45" s="1044"/>
      <c r="CXJ45" s="1044"/>
      <c r="CXK45" s="1044"/>
      <c r="CXL45" s="1044"/>
      <c r="CXM45" s="1044"/>
      <c r="CXN45" s="1044"/>
      <c r="CXO45" s="1044"/>
      <c r="CXP45" s="1044"/>
      <c r="CXQ45" s="1044"/>
      <c r="CXR45" s="1044"/>
      <c r="CXS45" s="1044"/>
      <c r="CXT45" s="1044"/>
      <c r="CXU45" s="1044"/>
      <c r="CXV45" s="1044"/>
      <c r="CXW45" s="1044"/>
      <c r="CXX45" s="1044"/>
      <c r="CXY45" s="1044"/>
      <c r="CXZ45" s="1044"/>
      <c r="CYA45" s="1044"/>
      <c r="CYB45" s="1044"/>
      <c r="CYC45" s="1044"/>
      <c r="CYD45" s="1044"/>
      <c r="CYE45" s="1044"/>
      <c r="CYF45" s="1044"/>
      <c r="CYG45" s="1044"/>
      <c r="CYH45" s="1044"/>
      <c r="CYI45" s="1044"/>
      <c r="CYJ45" s="1044"/>
      <c r="CYK45" s="1044"/>
      <c r="CYL45" s="1044"/>
      <c r="CYM45" s="1044"/>
      <c r="CYN45" s="1044"/>
      <c r="CYO45" s="1044"/>
      <c r="CYP45" s="1044"/>
      <c r="CYQ45" s="1044"/>
      <c r="CYR45" s="1044"/>
      <c r="CYS45" s="1044"/>
      <c r="CYT45" s="1044"/>
      <c r="CYU45" s="1044"/>
      <c r="CYV45" s="1044"/>
      <c r="CYW45" s="1044"/>
      <c r="CYX45" s="1044"/>
      <c r="CYY45" s="1044"/>
      <c r="CYZ45" s="1044"/>
      <c r="CZA45" s="1044"/>
      <c r="CZB45" s="1044"/>
      <c r="CZC45" s="1044"/>
      <c r="CZD45" s="1044"/>
      <c r="CZE45" s="1044"/>
      <c r="CZF45" s="1044"/>
      <c r="CZG45" s="1044"/>
      <c r="CZH45" s="1044"/>
      <c r="CZI45" s="1044"/>
      <c r="CZJ45" s="1044"/>
      <c r="CZK45" s="1044"/>
      <c r="CZL45" s="1044"/>
      <c r="CZM45" s="1044"/>
      <c r="CZN45" s="1044"/>
      <c r="CZO45" s="1044"/>
      <c r="CZP45" s="1044"/>
      <c r="CZQ45" s="1044"/>
      <c r="CZR45" s="1044"/>
      <c r="CZS45" s="1044"/>
      <c r="CZT45" s="1044"/>
      <c r="CZU45" s="1044"/>
      <c r="CZV45" s="1044"/>
      <c r="CZW45" s="1044"/>
      <c r="CZX45" s="1044"/>
      <c r="CZY45" s="1044"/>
      <c r="CZZ45" s="1044"/>
      <c r="DAA45" s="1044"/>
      <c r="DAB45" s="1044"/>
      <c r="DAC45" s="1044"/>
      <c r="DAD45" s="1044"/>
      <c r="DAE45" s="1044"/>
      <c r="DAF45" s="1044"/>
      <c r="DAG45" s="1044"/>
      <c r="DAH45" s="1044"/>
      <c r="DAI45" s="1044"/>
      <c r="DAJ45" s="1044"/>
      <c r="DAK45" s="1044"/>
      <c r="DAL45" s="1044"/>
      <c r="DAM45" s="1044"/>
      <c r="DAN45" s="1044"/>
      <c r="DAO45" s="1044"/>
      <c r="DAP45" s="1044"/>
      <c r="DAQ45" s="1044"/>
      <c r="DAR45" s="1044"/>
      <c r="DAS45" s="1044"/>
      <c r="DAT45" s="1044"/>
      <c r="DAU45" s="1044"/>
      <c r="DAV45" s="1044"/>
      <c r="DAW45" s="1044"/>
      <c r="DAX45" s="1044"/>
      <c r="DAY45" s="1044"/>
      <c r="DAZ45" s="1044"/>
      <c r="DBA45" s="1044"/>
      <c r="DBB45" s="1044"/>
      <c r="DBC45" s="1044"/>
      <c r="DBD45" s="1044"/>
      <c r="DBE45" s="1044"/>
      <c r="DBF45" s="1044"/>
      <c r="DBG45" s="1044"/>
      <c r="DBH45" s="1044"/>
      <c r="DBI45" s="1044"/>
      <c r="DBJ45" s="1044"/>
      <c r="DBK45" s="1044"/>
      <c r="DBL45" s="1044"/>
      <c r="DBM45" s="1044"/>
      <c r="DBN45" s="1044"/>
      <c r="DBO45" s="1044"/>
      <c r="DBP45" s="1044"/>
      <c r="DBQ45" s="1044"/>
      <c r="DBR45" s="1044"/>
      <c r="DBS45" s="1044"/>
      <c r="DBT45" s="1044"/>
      <c r="DBU45" s="1044"/>
      <c r="DBV45" s="1044"/>
      <c r="DBW45" s="1044"/>
      <c r="DBX45" s="1044"/>
      <c r="DBY45" s="1044"/>
      <c r="DBZ45" s="1044"/>
      <c r="DCA45" s="1044"/>
      <c r="DCB45" s="1044"/>
      <c r="DCC45" s="1044"/>
      <c r="DCD45" s="1044"/>
      <c r="DCE45" s="1044"/>
      <c r="DCF45" s="1044"/>
      <c r="DCG45" s="1044"/>
      <c r="DCH45" s="1044"/>
      <c r="DCI45" s="1044"/>
      <c r="DCJ45" s="1044"/>
      <c r="DCK45" s="1044"/>
      <c r="DCL45" s="1044"/>
      <c r="DCM45" s="1044"/>
      <c r="DCN45" s="1044"/>
      <c r="DCO45" s="1044"/>
      <c r="DCP45" s="1044"/>
      <c r="DCQ45" s="1044"/>
      <c r="DCR45" s="1044"/>
      <c r="DCS45" s="1044"/>
      <c r="DCT45" s="1044"/>
      <c r="DCU45" s="1044"/>
      <c r="DCV45" s="1044"/>
      <c r="DCW45" s="1044"/>
      <c r="DCX45" s="1044"/>
      <c r="DCY45" s="1044"/>
      <c r="DCZ45" s="1044"/>
      <c r="DDA45" s="1044"/>
      <c r="DDB45" s="1044"/>
      <c r="DDC45" s="1044"/>
      <c r="DDD45" s="1044"/>
      <c r="DDE45" s="1044"/>
      <c r="DDF45" s="1044"/>
      <c r="DDG45" s="1044"/>
      <c r="DDH45" s="1044"/>
      <c r="DDI45" s="1044"/>
      <c r="DDJ45" s="1044"/>
      <c r="DDK45" s="1044"/>
      <c r="DDL45" s="1044"/>
      <c r="DDM45" s="1044"/>
      <c r="DDN45" s="1044"/>
      <c r="DDO45" s="1044"/>
      <c r="DDP45" s="1044"/>
      <c r="DDQ45" s="1044"/>
      <c r="DDR45" s="1044"/>
      <c r="DDS45" s="1044"/>
      <c r="DDT45" s="1044"/>
      <c r="DDU45" s="1044"/>
      <c r="DDV45" s="1044"/>
      <c r="DDW45" s="1044"/>
      <c r="DDX45" s="1044"/>
      <c r="DDY45" s="1044"/>
      <c r="DDZ45" s="1044"/>
      <c r="DEA45" s="1044"/>
      <c r="DEB45" s="1044"/>
      <c r="DEC45" s="1044"/>
      <c r="DED45" s="1044"/>
      <c r="DEE45" s="1044"/>
      <c r="DEF45" s="1044"/>
      <c r="DEG45" s="1044"/>
      <c r="DEH45" s="1044"/>
      <c r="DEI45" s="1044"/>
      <c r="DEJ45" s="1044"/>
      <c r="DEK45" s="1044"/>
      <c r="DEL45" s="1044"/>
      <c r="DEM45" s="1044"/>
      <c r="DEN45" s="1044"/>
      <c r="DEO45" s="1044"/>
      <c r="DEP45" s="1044"/>
      <c r="DEQ45" s="1044"/>
      <c r="DER45" s="1044"/>
      <c r="DES45" s="1044"/>
      <c r="DET45" s="1044"/>
      <c r="DEU45" s="1044"/>
      <c r="DEV45" s="1044"/>
      <c r="DEW45" s="1044"/>
      <c r="DEX45" s="1044"/>
      <c r="DEY45" s="1044"/>
      <c r="DEZ45" s="1044"/>
      <c r="DFA45" s="1044"/>
      <c r="DFB45" s="1044"/>
      <c r="DFC45" s="1044"/>
      <c r="DFD45" s="1044"/>
      <c r="DFE45" s="1044"/>
      <c r="DFF45" s="1044"/>
      <c r="DFG45" s="1044"/>
      <c r="DFH45" s="1044"/>
      <c r="DFI45" s="1044"/>
      <c r="DFJ45" s="1044"/>
      <c r="DFK45" s="1044"/>
      <c r="DFL45" s="1044"/>
      <c r="DFM45" s="1044"/>
      <c r="DFN45" s="1044"/>
      <c r="DFO45" s="1044"/>
      <c r="DFP45" s="1044"/>
      <c r="DFQ45" s="1044"/>
      <c r="DFR45" s="1044"/>
      <c r="DFS45" s="1044"/>
      <c r="DFT45" s="1044"/>
      <c r="DFU45" s="1044"/>
      <c r="DFV45" s="1044"/>
      <c r="DFW45" s="1044"/>
      <c r="DFX45" s="1044"/>
      <c r="DFY45" s="1044"/>
      <c r="DFZ45" s="1044"/>
      <c r="DGA45" s="1044"/>
      <c r="DGB45" s="1044"/>
      <c r="DGC45" s="1044"/>
      <c r="DGD45" s="1044"/>
      <c r="DGE45" s="1044"/>
      <c r="DGF45" s="1044"/>
      <c r="DGG45" s="1044"/>
      <c r="DGH45" s="1044"/>
      <c r="DGI45" s="1044"/>
      <c r="DGJ45" s="1044"/>
      <c r="DGK45" s="1044"/>
      <c r="DGL45" s="1044"/>
      <c r="DGM45" s="1044"/>
      <c r="DGN45" s="1044"/>
      <c r="DGO45" s="1044"/>
      <c r="DGP45" s="1044"/>
      <c r="DGQ45" s="1044"/>
      <c r="DGR45" s="1044"/>
      <c r="DGS45" s="1044"/>
      <c r="DGT45" s="1044"/>
      <c r="DGU45" s="1044"/>
      <c r="DGV45" s="1044"/>
      <c r="DGW45" s="1044"/>
      <c r="DGX45" s="1044"/>
      <c r="DGY45" s="1044"/>
      <c r="DGZ45" s="1044"/>
      <c r="DHA45" s="1044"/>
      <c r="DHB45" s="1044"/>
      <c r="DHC45" s="1044"/>
      <c r="DHD45" s="1044"/>
      <c r="DHE45" s="1044"/>
      <c r="DHF45" s="1044"/>
      <c r="DHG45" s="1044"/>
      <c r="DHH45" s="1044"/>
      <c r="DHI45" s="1044"/>
      <c r="DHJ45" s="1044"/>
      <c r="DHK45" s="1044"/>
      <c r="DHL45" s="1044"/>
      <c r="DHM45" s="1044"/>
      <c r="DHN45" s="1044"/>
      <c r="DHO45" s="1044"/>
      <c r="DHP45" s="1044"/>
      <c r="DHQ45" s="1044"/>
      <c r="DHR45" s="1044"/>
      <c r="DHS45" s="1044"/>
      <c r="DHT45" s="1044"/>
      <c r="DHU45" s="1044"/>
      <c r="DHV45" s="1044"/>
      <c r="DHW45" s="1044"/>
      <c r="DHX45" s="1044"/>
      <c r="DHY45" s="1044"/>
      <c r="DHZ45" s="1044"/>
      <c r="DIA45" s="1044"/>
      <c r="DIB45" s="1044"/>
      <c r="DIC45" s="1044"/>
      <c r="DID45" s="1044"/>
      <c r="DIE45" s="1044"/>
      <c r="DIF45" s="1044"/>
      <c r="DIG45" s="1044"/>
      <c r="DIH45" s="1044"/>
      <c r="DII45" s="1044"/>
      <c r="DIJ45" s="1044"/>
      <c r="DIK45" s="1044"/>
      <c r="DIL45" s="1044"/>
      <c r="DIM45" s="1044"/>
      <c r="DIN45" s="1044"/>
      <c r="DIO45" s="1044"/>
      <c r="DIP45" s="1044"/>
      <c r="DIQ45" s="1044"/>
      <c r="DIR45" s="1044"/>
      <c r="DIS45" s="1044"/>
      <c r="DIT45" s="1044"/>
      <c r="DIU45" s="1044"/>
      <c r="DIV45" s="1044"/>
      <c r="DIW45" s="1044"/>
      <c r="DIX45" s="1044"/>
      <c r="DIY45" s="1044"/>
      <c r="DIZ45" s="1044"/>
      <c r="DJA45" s="1044"/>
      <c r="DJB45" s="1044"/>
      <c r="DJC45" s="1044"/>
      <c r="DJD45" s="1044"/>
      <c r="DJE45" s="1044"/>
      <c r="DJF45" s="1044"/>
      <c r="DJG45" s="1044"/>
      <c r="DJH45" s="1044"/>
      <c r="DJI45" s="1044"/>
      <c r="DJJ45" s="1044"/>
      <c r="DJK45" s="1044"/>
      <c r="DJL45" s="1044"/>
      <c r="DJM45" s="1044"/>
      <c r="DJN45" s="1044"/>
      <c r="DJO45" s="1044"/>
      <c r="DJP45" s="1044"/>
      <c r="DJQ45" s="1044"/>
      <c r="DJR45" s="1044"/>
      <c r="DJS45" s="1044"/>
      <c r="DJT45" s="1044"/>
      <c r="DJU45" s="1044"/>
      <c r="DJV45" s="1044"/>
      <c r="DJW45" s="1044"/>
      <c r="DJX45" s="1044"/>
      <c r="DJY45" s="1044"/>
      <c r="DJZ45" s="1044"/>
      <c r="DKA45" s="1044"/>
      <c r="DKB45" s="1044"/>
      <c r="DKC45" s="1044"/>
      <c r="DKD45" s="1044"/>
      <c r="DKE45" s="1044"/>
      <c r="DKF45" s="1044"/>
      <c r="DKG45" s="1044"/>
      <c r="DKH45" s="1044"/>
      <c r="DKI45" s="1044"/>
      <c r="DKJ45" s="1044"/>
      <c r="DKK45" s="1044"/>
      <c r="DKL45" s="1044"/>
      <c r="DKM45" s="1044"/>
      <c r="DKN45" s="1044"/>
      <c r="DKO45" s="1044"/>
      <c r="DKP45" s="1044"/>
      <c r="DKQ45" s="1044"/>
      <c r="DKR45" s="1044"/>
      <c r="DKS45" s="1044"/>
      <c r="DKT45" s="1044"/>
      <c r="DKU45" s="1044"/>
      <c r="DKV45" s="1044"/>
      <c r="DKW45" s="1044"/>
      <c r="DKX45" s="1044"/>
      <c r="DKY45" s="1044"/>
      <c r="DKZ45" s="1044"/>
      <c r="DLA45" s="1044"/>
      <c r="DLB45" s="1044"/>
      <c r="DLC45" s="1044"/>
      <c r="DLD45" s="1044"/>
      <c r="DLE45" s="1044"/>
      <c r="DLF45" s="1044"/>
      <c r="DLG45" s="1044"/>
      <c r="DLH45" s="1044"/>
      <c r="DLI45" s="1044"/>
      <c r="DLJ45" s="1044"/>
      <c r="DLK45" s="1044"/>
      <c r="DLL45" s="1044"/>
      <c r="DLM45" s="1044"/>
      <c r="DLN45" s="1044"/>
      <c r="DLO45" s="1044"/>
      <c r="DLP45" s="1044"/>
      <c r="DLQ45" s="1044"/>
      <c r="DLR45" s="1044"/>
      <c r="DLS45" s="1044"/>
      <c r="DLT45" s="1044"/>
      <c r="DLU45" s="1044"/>
      <c r="DLV45" s="1044"/>
      <c r="DLW45" s="1044"/>
      <c r="DLX45" s="1044"/>
      <c r="DLY45" s="1044"/>
      <c r="DLZ45" s="1044"/>
      <c r="DMA45" s="1044"/>
      <c r="DMB45" s="1044"/>
      <c r="DMC45" s="1044"/>
      <c r="DMD45" s="1044"/>
      <c r="DME45" s="1044"/>
      <c r="DMF45" s="1044"/>
      <c r="DMG45" s="1044"/>
      <c r="DMH45" s="1044"/>
      <c r="DMI45" s="1044"/>
      <c r="DMJ45" s="1044"/>
      <c r="DMK45" s="1044"/>
      <c r="DML45" s="1044"/>
      <c r="DMM45" s="1044"/>
      <c r="DMN45" s="1044"/>
      <c r="DMO45" s="1044"/>
      <c r="DMP45" s="1044"/>
      <c r="DMQ45" s="1044"/>
      <c r="DMR45" s="1044"/>
      <c r="DMS45" s="1044"/>
      <c r="DMT45" s="1044"/>
      <c r="DMU45" s="1044"/>
      <c r="DMV45" s="1044"/>
      <c r="DMW45" s="1044"/>
      <c r="DMX45" s="1044"/>
      <c r="DMY45" s="1044"/>
      <c r="DMZ45" s="1044"/>
      <c r="DNA45" s="1044"/>
      <c r="DNB45" s="1044"/>
      <c r="DNC45" s="1044"/>
      <c r="DND45" s="1044"/>
      <c r="DNE45" s="1044"/>
      <c r="DNF45" s="1044"/>
      <c r="DNG45" s="1044"/>
      <c r="DNH45" s="1044"/>
      <c r="DNI45" s="1044"/>
      <c r="DNJ45" s="1044"/>
      <c r="DNK45" s="1044"/>
      <c r="DNL45" s="1044"/>
      <c r="DNM45" s="1044"/>
      <c r="DNN45" s="1044"/>
      <c r="DNO45" s="1044"/>
      <c r="DNP45" s="1044"/>
      <c r="DNQ45" s="1044"/>
      <c r="DNR45" s="1044"/>
      <c r="DNS45" s="1044"/>
      <c r="DNT45" s="1044"/>
      <c r="DNU45" s="1044"/>
      <c r="DNV45" s="1044"/>
      <c r="DNW45" s="1044"/>
      <c r="DNX45" s="1044"/>
      <c r="DNY45" s="1044"/>
      <c r="DNZ45" s="1044"/>
      <c r="DOA45" s="1044"/>
      <c r="DOB45" s="1044"/>
      <c r="DOC45" s="1044"/>
      <c r="DOD45" s="1044"/>
      <c r="DOE45" s="1044"/>
      <c r="DOF45" s="1044"/>
      <c r="DOG45" s="1044"/>
      <c r="DOH45" s="1044"/>
      <c r="DOI45" s="1044"/>
      <c r="DOJ45" s="1044"/>
      <c r="DOK45" s="1044"/>
      <c r="DOL45" s="1044"/>
      <c r="DOM45" s="1044"/>
      <c r="DON45" s="1044"/>
      <c r="DOO45" s="1044"/>
      <c r="DOP45" s="1044"/>
      <c r="DOQ45" s="1044"/>
      <c r="DOR45" s="1044"/>
      <c r="DOS45" s="1044"/>
      <c r="DOT45" s="1044"/>
      <c r="DOU45" s="1044"/>
      <c r="DOV45" s="1044"/>
      <c r="DOW45" s="1044"/>
      <c r="DOX45" s="1044"/>
      <c r="DOY45" s="1044"/>
      <c r="DOZ45" s="1044"/>
      <c r="DPA45" s="1044"/>
      <c r="DPB45" s="1044"/>
      <c r="DPC45" s="1044"/>
      <c r="DPD45" s="1044"/>
      <c r="DPE45" s="1044"/>
      <c r="DPF45" s="1044"/>
      <c r="DPG45" s="1044"/>
      <c r="DPH45" s="1044"/>
      <c r="DPI45" s="1044"/>
      <c r="DPJ45" s="1044"/>
      <c r="DPK45" s="1044"/>
      <c r="DPL45" s="1044"/>
      <c r="DPM45" s="1044"/>
      <c r="DPN45" s="1044"/>
      <c r="DPO45" s="1044"/>
      <c r="DPP45" s="1044"/>
      <c r="DPQ45" s="1044"/>
      <c r="DPR45" s="1044"/>
      <c r="DPS45" s="1044"/>
      <c r="DPT45" s="1044"/>
      <c r="DPU45" s="1044"/>
      <c r="DPV45" s="1044"/>
      <c r="DPW45" s="1044"/>
      <c r="DPX45" s="1044"/>
      <c r="DPY45" s="1044"/>
      <c r="DPZ45" s="1044"/>
      <c r="DQA45" s="1044"/>
      <c r="DQB45" s="1044"/>
      <c r="DQC45" s="1044"/>
      <c r="DQD45" s="1044"/>
      <c r="DQE45" s="1044"/>
      <c r="DQF45" s="1044"/>
      <c r="DQG45" s="1044"/>
      <c r="DQH45" s="1044"/>
      <c r="DQI45" s="1044"/>
      <c r="DQJ45" s="1044"/>
      <c r="DQK45" s="1044"/>
      <c r="DQL45" s="1044"/>
      <c r="DQM45" s="1044"/>
      <c r="DQN45" s="1044"/>
      <c r="DQO45" s="1044"/>
      <c r="DQP45" s="1044"/>
      <c r="DQQ45" s="1044"/>
      <c r="DQR45" s="1044"/>
      <c r="DQS45" s="1044"/>
      <c r="DQT45" s="1044"/>
      <c r="DQU45" s="1044"/>
      <c r="DQV45" s="1044"/>
      <c r="DQW45" s="1044"/>
      <c r="DQX45" s="1044"/>
      <c r="DQY45" s="1044"/>
      <c r="DQZ45" s="1044"/>
      <c r="DRA45" s="1044"/>
      <c r="DRB45" s="1044"/>
      <c r="DRC45" s="1044"/>
      <c r="DRD45" s="1044"/>
      <c r="DRE45" s="1044"/>
      <c r="DRF45" s="1044"/>
      <c r="DRG45" s="1044"/>
      <c r="DRH45" s="1044"/>
      <c r="DRI45" s="1044"/>
      <c r="DRJ45" s="1044"/>
      <c r="DRK45" s="1044"/>
      <c r="DRL45" s="1044"/>
      <c r="DRM45" s="1044"/>
      <c r="DRN45" s="1044"/>
      <c r="DRO45" s="1044"/>
      <c r="DRP45" s="1044"/>
      <c r="DRQ45" s="1044"/>
      <c r="DRR45" s="1044"/>
      <c r="DRS45" s="1044"/>
      <c r="DRT45" s="1044"/>
      <c r="DRU45" s="1044"/>
      <c r="DRV45" s="1044"/>
      <c r="DRW45" s="1044"/>
      <c r="DRX45" s="1044"/>
      <c r="DRY45" s="1044"/>
      <c r="DRZ45" s="1044"/>
      <c r="DSA45" s="1044"/>
      <c r="DSB45" s="1044"/>
      <c r="DSC45" s="1044"/>
      <c r="DSD45" s="1044"/>
      <c r="DSE45" s="1044"/>
      <c r="DSF45" s="1044"/>
      <c r="DSG45" s="1044"/>
      <c r="DSH45" s="1044"/>
      <c r="DSI45" s="1044"/>
      <c r="DSJ45" s="1044"/>
      <c r="DSK45" s="1044"/>
      <c r="DSL45" s="1044"/>
      <c r="DSM45" s="1044"/>
      <c r="DSN45" s="1044"/>
      <c r="DSO45" s="1044"/>
      <c r="DSP45" s="1044"/>
      <c r="DSQ45" s="1044"/>
      <c r="DSR45" s="1044"/>
      <c r="DSS45" s="1044"/>
      <c r="DST45" s="1044"/>
      <c r="DSU45" s="1044"/>
      <c r="DSV45" s="1044"/>
      <c r="DSW45" s="1044"/>
      <c r="DSX45" s="1044"/>
      <c r="DSY45" s="1044"/>
      <c r="DSZ45" s="1044"/>
      <c r="DTA45" s="1044"/>
      <c r="DTB45" s="1044"/>
      <c r="DTC45" s="1044"/>
      <c r="DTD45" s="1044"/>
      <c r="DTE45" s="1044"/>
      <c r="DTF45" s="1044"/>
      <c r="DTG45" s="1044"/>
      <c r="DTH45" s="1044"/>
      <c r="DTI45" s="1044"/>
      <c r="DTJ45" s="1044"/>
      <c r="DTK45" s="1044"/>
      <c r="DTL45" s="1044"/>
      <c r="DTM45" s="1044"/>
      <c r="DTN45" s="1044"/>
      <c r="DTO45" s="1044"/>
      <c r="DTP45" s="1044"/>
      <c r="DTQ45" s="1044"/>
      <c r="DTR45" s="1044"/>
      <c r="DTS45" s="1044"/>
      <c r="DTT45" s="1044"/>
      <c r="DTU45" s="1044"/>
      <c r="DTV45" s="1044"/>
      <c r="DTW45" s="1044"/>
      <c r="DTX45" s="1044"/>
      <c r="DTY45" s="1044"/>
      <c r="DTZ45" s="1044"/>
      <c r="DUA45" s="1044"/>
      <c r="DUB45" s="1044"/>
      <c r="DUC45" s="1044"/>
      <c r="DUD45" s="1044"/>
      <c r="DUE45" s="1044"/>
      <c r="DUF45" s="1044"/>
      <c r="DUG45" s="1044"/>
      <c r="DUH45" s="1044"/>
      <c r="DUI45" s="1044"/>
      <c r="DUJ45" s="1044"/>
      <c r="DUK45" s="1044"/>
      <c r="DUL45" s="1044"/>
      <c r="DUM45" s="1044"/>
      <c r="DUN45" s="1044"/>
      <c r="DUO45" s="1044"/>
      <c r="DUP45" s="1044"/>
      <c r="DUQ45" s="1044"/>
      <c r="DUR45" s="1044"/>
      <c r="DUS45" s="1044"/>
      <c r="DUT45" s="1044"/>
      <c r="DUU45" s="1044"/>
      <c r="DUV45" s="1044"/>
      <c r="DUW45" s="1044"/>
      <c r="DUX45" s="1044"/>
      <c r="DUY45" s="1044"/>
      <c r="DUZ45" s="1044"/>
      <c r="DVA45" s="1044"/>
      <c r="DVB45" s="1044"/>
      <c r="DVC45" s="1044"/>
      <c r="DVD45" s="1044"/>
      <c r="DVE45" s="1044"/>
      <c r="DVF45" s="1044"/>
      <c r="DVG45" s="1044"/>
      <c r="DVH45" s="1044"/>
      <c r="DVI45" s="1044"/>
      <c r="DVJ45" s="1044"/>
      <c r="DVK45" s="1044"/>
      <c r="DVL45" s="1044"/>
      <c r="DVM45" s="1044"/>
      <c r="DVN45" s="1044"/>
      <c r="DVO45" s="1044"/>
      <c r="DVP45" s="1044"/>
      <c r="DVQ45" s="1044"/>
      <c r="DVR45" s="1044"/>
      <c r="DVS45" s="1044"/>
      <c r="DVT45" s="1044"/>
      <c r="DVU45" s="1044"/>
      <c r="DVV45" s="1044"/>
      <c r="DVW45" s="1044"/>
      <c r="DVX45" s="1044"/>
      <c r="DVY45" s="1044"/>
      <c r="DVZ45" s="1044"/>
      <c r="DWA45" s="1044"/>
      <c r="DWB45" s="1044"/>
      <c r="DWC45" s="1044"/>
      <c r="DWD45" s="1044"/>
      <c r="DWE45" s="1044"/>
      <c r="DWF45" s="1044"/>
      <c r="DWG45" s="1044"/>
      <c r="DWH45" s="1044"/>
      <c r="DWI45" s="1044"/>
      <c r="DWJ45" s="1044"/>
      <c r="DWK45" s="1044"/>
      <c r="DWL45" s="1044"/>
      <c r="DWM45" s="1044"/>
      <c r="DWN45" s="1044"/>
      <c r="DWO45" s="1044"/>
      <c r="DWP45" s="1044"/>
      <c r="DWQ45" s="1044"/>
      <c r="DWR45" s="1044"/>
      <c r="DWS45" s="1044"/>
      <c r="DWT45" s="1044"/>
      <c r="DWU45" s="1044"/>
      <c r="DWV45" s="1044"/>
      <c r="DWW45" s="1044"/>
      <c r="DWX45" s="1044"/>
      <c r="DWY45" s="1044"/>
      <c r="DWZ45" s="1044"/>
      <c r="DXA45" s="1044"/>
      <c r="DXB45" s="1044"/>
      <c r="DXC45" s="1044"/>
      <c r="DXD45" s="1044"/>
      <c r="DXE45" s="1044"/>
      <c r="DXF45" s="1044"/>
      <c r="DXG45" s="1044"/>
      <c r="DXH45" s="1044"/>
      <c r="DXI45" s="1044"/>
      <c r="DXJ45" s="1044"/>
      <c r="DXK45" s="1044"/>
      <c r="DXL45" s="1044"/>
      <c r="DXM45" s="1044"/>
      <c r="DXN45" s="1044"/>
      <c r="DXO45" s="1044"/>
      <c r="DXP45" s="1044"/>
      <c r="DXQ45" s="1044"/>
      <c r="DXR45" s="1044"/>
      <c r="DXS45" s="1044"/>
      <c r="DXT45" s="1044"/>
      <c r="DXU45" s="1044"/>
      <c r="DXV45" s="1044"/>
      <c r="DXW45" s="1044"/>
      <c r="DXX45" s="1044"/>
      <c r="DXY45" s="1044"/>
      <c r="DXZ45" s="1044"/>
      <c r="DYA45" s="1044"/>
      <c r="DYB45" s="1044"/>
      <c r="DYC45" s="1044"/>
      <c r="DYD45" s="1044"/>
      <c r="DYE45" s="1044"/>
      <c r="DYF45" s="1044"/>
      <c r="DYG45" s="1044"/>
      <c r="DYH45" s="1044"/>
      <c r="DYI45" s="1044"/>
      <c r="DYJ45" s="1044"/>
      <c r="DYK45" s="1044"/>
      <c r="DYL45" s="1044"/>
      <c r="DYM45" s="1044"/>
      <c r="DYN45" s="1044"/>
      <c r="DYO45" s="1044"/>
      <c r="DYP45" s="1044"/>
      <c r="DYQ45" s="1044"/>
      <c r="DYR45" s="1044"/>
      <c r="DYS45" s="1044"/>
      <c r="DYT45" s="1044"/>
      <c r="DYU45" s="1044"/>
      <c r="DYV45" s="1044"/>
      <c r="DYW45" s="1044"/>
      <c r="DYX45" s="1044"/>
      <c r="DYY45" s="1044"/>
      <c r="DYZ45" s="1044"/>
      <c r="DZA45" s="1044"/>
      <c r="DZB45" s="1044"/>
      <c r="DZC45" s="1044"/>
      <c r="DZD45" s="1044"/>
      <c r="DZE45" s="1044"/>
      <c r="DZF45" s="1044"/>
      <c r="DZG45" s="1044"/>
      <c r="DZH45" s="1044"/>
      <c r="DZI45" s="1044"/>
      <c r="DZJ45" s="1044"/>
      <c r="DZK45" s="1044"/>
      <c r="DZL45" s="1044"/>
      <c r="DZM45" s="1044"/>
      <c r="DZN45" s="1044"/>
      <c r="DZO45" s="1044"/>
      <c r="DZP45" s="1044"/>
      <c r="DZQ45" s="1044"/>
      <c r="DZR45" s="1044"/>
      <c r="DZS45" s="1044"/>
      <c r="DZT45" s="1044"/>
      <c r="DZU45" s="1044"/>
      <c r="DZV45" s="1044"/>
      <c r="DZW45" s="1044"/>
      <c r="DZX45" s="1044"/>
      <c r="DZY45" s="1044"/>
      <c r="DZZ45" s="1044"/>
      <c r="EAA45" s="1044"/>
      <c r="EAB45" s="1044"/>
      <c r="EAC45" s="1044"/>
      <c r="EAD45" s="1044"/>
      <c r="EAE45" s="1044"/>
      <c r="EAF45" s="1044"/>
      <c r="EAG45" s="1044"/>
      <c r="EAH45" s="1044"/>
      <c r="EAI45" s="1044"/>
      <c r="EAJ45" s="1044"/>
      <c r="EAK45" s="1044"/>
      <c r="EAL45" s="1044"/>
      <c r="EAM45" s="1044"/>
      <c r="EAN45" s="1044"/>
      <c r="EAO45" s="1044"/>
      <c r="EAP45" s="1044"/>
      <c r="EAQ45" s="1044"/>
      <c r="EAR45" s="1044"/>
      <c r="EAS45" s="1044"/>
      <c r="EAT45" s="1044"/>
      <c r="EAU45" s="1044"/>
      <c r="EAV45" s="1044"/>
      <c r="EAW45" s="1044"/>
      <c r="EAX45" s="1044"/>
      <c r="EAY45" s="1044"/>
      <c r="EAZ45" s="1044"/>
      <c r="EBA45" s="1044"/>
      <c r="EBB45" s="1044"/>
      <c r="EBC45" s="1044"/>
      <c r="EBD45" s="1044"/>
      <c r="EBE45" s="1044"/>
      <c r="EBF45" s="1044"/>
      <c r="EBG45" s="1044"/>
      <c r="EBH45" s="1044"/>
      <c r="EBI45" s="1044"/>
      <c r="EBJ45" s="1044"/>
      <c r="EBK45" s="1044"/>
      <c r="EBL45" s="1044"/>
      <c r="EBM45" s="1044"/>
      <c r="EBN45" s="1044"/>
      <c r="EBO45" s="1044"/>
      <c r="EBP45" s="1044"/>
      <c r="EBQ45" s="1044"/>
      <c r="EBR45" s="1044"/>
      <c r="EBS45" s="1044"/>
      <c r="EBT45" s="1044"/>
      <c r="EBU45" s="1044"/>
      <c r="EBV45" s="1044"/>
      <c r="EBW45" s="1044"/>
      <c r="EBX45" s="1044"/>
      <c r="EBY45" s="1044"/>
      <c r="EBZ45" s="1044"/>
      <c r="ECA45" s="1044"/>
      <c r="ECB45" s="1044"/>
      <c r="ECC45" s="1044"/>
      <c r="ECD45" s="1044"/>
      <c r="ECE45" s="1044"/>
      <c r="ECF45" s="1044"/>
      <c r="ECG45" s="1044"/>
      <c r="ECH45" s="1044"/>
      <c r="ECI45" s="1044"/>
      <c r="ECJ45" s="1044"/>
      <c r="ECK45" s="1044"/>
      <c r="ECL45" s="1044"/>
      <c r="ECM45" s="1044"/>
      <c r="ECN45" s="1044"/>
      <c r="ECO45" s="1044"/>
      <c r="ECP45" s="1044"/>
      <c r="ECQ45" s="1044"/>
      <c r="ECR45" s="1044"/>
      <c r="ECS45" s="1044"/>
      <c r="ECT45" s="1044"/>
      <c r="ECU45" s="1044"/>
      <c r="ECV45" s="1044"/>
      <c r="ECW45" s="1044"/>
      <c r="ECX45" s="1044"/>
      <c r="ECY45" s="1044"/>
      <c r="ECZ45" s="1044"/>
      <c r="EDA45" s="1044"/>
      <c r="EDB45" s="1044"/>
      <c r="EDC45" s="1044"/>
      <c r="EDD45" s="1044"/>
      <c r="EDE45" s="1044"/>
      <c r="EDF45" s="1044"/>
      <c r="EDG45" s="1044"/>
      <c r="EDH45" s="1044"/>
      <c r="EDI45" s="1044"/>
      <c r="EDJ45" s="1044"/>
      <c r="EDK45" s="1044"/>
      <c r="EDL45" s="1044"/>
      <c r="EDM45" s="1044"/>
      <c r="EDN45" s="1044"/>
      <c r="EDO45" s="1044"/>
      <c r="EDP45" s="1044"/>
      <c r="EDQ45" s="1044"/>
      <c r="EDR45" s="1044"/>
      <c r="EDS45" s="1044"/>
      <c r="EDT45" s="1044"/>
      <c r="EDU45" s="1044"/>
      <c r="EDV45" s="1044"/>
      <c r="EDW45" s="1044"/>
      <c r="EDX45" s="1044"/>
      <c r="EDY45" s="1044"/>
      <c r="EDZ45" s="1044"/>
      <c r="EEA45" s="1044"/>
      <c r="EEB45" s="1044"/>
      <c r="EEC45" s="1044"/>
      <c r="EED45" s="1044"/>
      <c r="EEE45" s="1044"/>
      <c r="EEF45" s="1044"/>
      <c r="EEG45" s="1044"/>
      <c r="EEH45" s="1044"/>
      <c r="EEI45" s="1044"/>
      <c r="EEJ45" s="1044"/>
      <c r="EEK45" s="1044"/>
      <c r="EEL45" s="1044"/>
      <c r="EEM45" s="1044"/>
      <c r="EEN45" s="1044"/>
      <c r="EEO45" s="1044"/>
      <c r="EEP45" s="1044"/>
      <c r="EEQ45" s="1044"/>
      <c r="EER45" s="1044"/>
      <c r="EES45" s="1044"/>
      <c r="EET45" s="1044"/>
      <c r="EEU45" s="1044"/>
      <c r="EEV45" s="1044"/>
      <c r="EEW45" s="1044"/>
      <c r="EEX45" s="1044"/>
      <c r="EEY45" s="1044"/>
      <c r="EEZ45" s="1044"/>
      <c r="EFA45" s="1044"/>
      <c r="EFB45" s="1044"/>
      <c r="EFC45" s="1044"/>
      <c r="EFD45" s="1044"/>
      <c r="EFE45" s="1044"/>
      <c r="EFF45" s="1044"/>
      <c r="EFG45" s="1044"/>
      <c r="EFH45" s="1044"/>
      <c r="EFI45" s="1044"/>
      <c r="EFJ45" s="1044"/>
      <c r="EFK45" s="1044"/>
      <c r="EFL45" s="1044"/>
      <c r="EFM45" s="1044"/>
      <c r="EFN45" s="1044"/>
      <c r="EFO45" s="1044"/>
      <c r="EFP45" s="1044"/>
      <c r="EFQ45" s="1044"/>
      <c r="EFR45" s="1044"/>
      <c r="EFS45" s="1044"/>
      <c r="EFT45" s="1044"/>
      <c r="EFU45" s="1044"/>
      <c r="EFV45" s="1044"/>
      <c r="EFW45" s="1044"/>
      <c r="EFX45" s="1044"/>
      <c r="EFY45" s="1044"/>
      <c r="EFZ45" s="1044"/>
      <c r="EGA45" s="1044"/>
      <c r="EGB45" s="1044"/>
      <c r="EGC45" s="1044"/>
      <c r="EGD45" s="1044"/>
      <c r="EGE45" s="1044"/>
      <c r="EGF45" s="1044"/>
      <c r="EGG45" s="1044"/>
      <c r="EGH45" s="1044"/>
      <c r="EGI45" s="1044"/>
      <c r="EGJ45" s="1044"/>
      <c r="EGK45" s="1044"/>
      <c r="EGL45" s="1044"/>
      <c r="EGM45" s="1044"/>
      <c r="EGN45" s="1044"/>
      <c r="EGO45" s="1044"/>
      <c r="EGP45" s="1044"/>
      <c r="EGQ45" s="1044"/>
      <c r="EGR45" s="1044"/>
      <c r="EGS45" s="1044"/>
      <c r="EGT45" s="1044"/>
      <c r="EGU45" s="1044"/>
      <c r="EGV45" s="1044"/>
      <c r="EGW45" s="1044"/>
      <c r="EGX45" s="1044"/>
      <c r="EGY45" s="1044"/>
      <c r="EGZ45" s="1044"/>
      <c r="EHA45" s="1044"/>
      <c r="EHB45" s="1044"/>
      <c r="EHC45" s="1044"/>
      <c r="EHD45" s="1044"/>
      <c r="EHE45" s="1044"/>
      <c r="EHF45" s="1044"/>
      <c r="EHG45" s="1044"/>
      <c r="EHH45" s="1044"/>
      <c r="EHI45" s="1044"/>
      <c r="EHJ45" s="1044"/>
      <c r="EHK45" s="1044"/>
      <c r="EHL45" s="1044"/>
      <c r="EHM45" s="1044"/>
      <c r="EHN45" s="1044"/>
      <c r="EHO45" s="1044"/>
      <c r="EHP45" s="1044"/>
      <c r="EHQ45" s="1044"/>
      <c r="EHR45" s="1044"/>
      <c r="EHS45" s="1044"/>
      <c r="EHT45" s="1044"/>
      <c r="EHU45" s="1044"/>
      <c r="EHV45" s="1044"/>
      <c r="EHW45" s="1044"/>
      <c r="EHX45" s="1044"/>
      <c r="EHY45" s="1044"/>
      <c r="EHZ45" s="1044"/>
      <c r="EIA45" s="1044"/>
      <c r="EIB45" s="1044"/>
      <c r="EIC45" s="1044"/>
      <c r="EID45" s="1044"/>
      <c r="EIE45" s="1044"/>
      <c r="EIF45" s="1044"/>
      <c r="EIG45" s="1044"/>
      <c r="EIH45" s="1044"/>
      <c r="EII45" s="1044"/>
      <c r="EIJ45" s="1044"/>
      <c r="EIK45" s="1044"/>
      <c r="EIL45" s="1044"/>
      <c r="EIM45" s="1044"/>
      <c r="EIN45" s="1044"/>
      <c r="EIO45" s="1044"/>
      <c r="EIP45" s="1044"/>
      <c r="EIQ45" s="1044"/>
      <c r="EIR45" s="1044"/>
      <c r="EIS45" s="1044"/>
      <c r="EIT45" s="1044"/>
      <c r="EIU45" s="1044"/>
      <c r="EIV45" s="1044"/>
      <c r="EIW45" s="1044"/>
      <c r="EIX45" s="1044"/>
      <c r="EIY45" s="1044"/>
      <c r="EIZ45" s="1044"/>
      <c r="EJA45" s="1044"/>
      <c r="EJB45" s="1044"/>
      <c r="EJC45" s="1044"/>
      <c r="EJD45" s="1044"/>
      <c r="EJE45" s="1044"/>
      <c r="EJF45" s="1044"/>
      <c r="EJG45" s="1044"/>
      <c r="EJH45" s="1044"/>
      <c r="EJI45" s="1044"/>
      <c r="EJJ45" s="1044"/>
      <c r="EJK45" s="1044"/>
      <c r="EJL45" s="1044"/>
      <c r="EJM45" s="1044"/>
      <c r="EJN45" s="1044"/>
      <c r="EJO45" s="1044"/>
      <c r="EJP45" s="1044"/>
      <c r="EJQ45" s="1044"/>
      <c r="EJR45" s="1044"/>
      <c r="EJS45" s="1044"/>
      <c r="EJT45" s="1044"/>
      <c r="EJU45" s="1044"/>
      <c r="EJV45" s="1044"/>
      <c r="EJW45" s="1044"/>
      <c r="EJX45" s="1044"/>
      <c r="EJY45" s="1044"/>
      <c r="EJZ45" s="1044"/>
      <c r="EKA45" s="1044"/>
      <c r="EKB45" s="1044"/>
      <c r="EKC45" s="1044"/>
      <c r="EKD45" s="1044"/>
      <c r="EKE45" s="1044"/>
      <c r="EKF45" s="1044"/>
      <c r="EKG45" s="1044"/>
      <c r="EKH45" s="1044"/>
      <c r="EKI45" s="1044"/>
      <c r="EKJ45" s="1044"/>
      <c r="EKK45" s="1044"/>
      <c r="EKL45" s="1044"/>
      <c r="EKM45" s="1044"/>
      <c r="EKN45" s="1044"/>
      <c r="EKO45" s="1044"/>
      <c r="EKP45" s="1044"/>
      <c r="EKQ45" s="1044"/>
      <c r="EKR45" s="1044"/>
      <c r="EKS45" s="1044"/>
      <c r="EKT45" s="1044"/>
      <c r="EKU45" s="1044"/>
      <c r="EKV45" s="1044"/>
      <c r="EKW45" s="1044"/>
      <c r="EKX45" s="1044"/>
      <c r="EKY45" s="1044"/>
      <c r="EKZ45" s="1044"/>
      <c r="ELA45" s="1044"/>
      <c r="ELB45" s="1044"/>
      <c r="ELC45" s="1044"/>
      <c r="ELD45" s="1044"/>
      <c r="ELE45" s="1044"/>
      <c r="ELF45" s="1044"/>
      <c r="ELG45" s="1044"/>
      <c r="ELH45" s="1044"/>
      <c r="ELI45" s="1044"/>
      <c r="ELJ45" s="1044"/>
      <c r="ELK45" s="1044"/>
      <c r="ELL45" s="1044"/>
      <c r="ELM45" s="1044"/>
      <c r="ELN45" s="1044"/>
      <c r="ELO45" s="1044"/>
      <c r="ELP45" s="1044"/>
      <c r="ELQ45" s="1044"/>
      <c r="ELR45" s="1044"/>
      <c r="ELS45" s="1044"/>
      <c r="ELT45" s="1044"/>
      <c r="ELU45" s="1044"/>
      <c r="ELV45" s="1044"/>
      <c r="ELW45" s="1044"/>
      <c r="ELX45" s="1044"/>
      <c r="ELY45" s="1044"/>
      <c r="ELZ45" s="1044"/>
      <c r="EMA45" s="1044"/>
      <c r="EMB45" s="1044"/>
      <c r="EMC45" s="1044"/>
      <c r="EMD45" s="1044"/>
      <c r="EME45" s="1044"/>
      <c r="EMF45" s="1044"/>
      <c r="EMG45" s="1044"/>
      <c r="EMH45" s="1044"/>
      <c r="EMI45" s="1044"/>
      <c r="EMJ45" s="1044"/>
      <c r="EMK45" s="1044"/>
      <c r="EML45" s="1044"/>
      <c r="EMM45" s="1044"/>
      <c r="EMN45" s="1044"/>
      <c r="EMO45" s="1044"/>
      <c r="EMP45" s="1044"/>
      <c r="EMQ45" s="1044"/>
      <c r="EMR45" s="1044"/>
      <c r="EMS45" s="1044"/>
      <c r="EMT45" s="1044"/>
      <c r="EMU45" s="1044"/>
      <c r="EMV45" s="1044"/>
      <c r="EMW45" s="1044"/>
      <c r="EMX45" s="1044"/>
      <c r="EMY45" s="1044"/>
      <c r="EMZ45" s="1044"/>
      <c r="ENA45" s="1044"/>
      <c r="ENB45" s="1044"/>
      <c r="ENC45" s="1044"/>
      <c r="END45" s="1044"/>
      <c r="ENE45" s="1044"/>
      <c r="ENF45" s="1044"/>
      <c r="ENG45" s="1044"/>
      <c r="ENH45" s="1044"/>
      <c r="ENI45" s="1044"/>
      <c r="ENJ45" s="1044"/>
      <c r="ENK45" s="1044"/>
      <c r="ENL45" s="1044"/>
      <c r="ENM45" s="1044"/>
      <c r="ENN45" s="1044"/>
      <c r="ENO45" s="1044"/>
      <c r="ENP45" s="1044"/>
      <c r="ENQ45" s="1044"/>
      <c r="ENR45" s="1044"/>
      <c r="ENS45" s="1044"/>
      <c r="ENT45" s="1044"/>
      <c r="ENU45" s="1044"/>
      <c r="ENV45" s="1044"/>
      <c r="ENW45" s="1044"/>
      <c r="ENX45" s="1044"/>
      <c r="ENY45" s="1044"/>
      <c r="ENZ45" s="1044"/>
      <c r="EOA45" s="1044"/>
      <c r="EOB45" s="1044"/>
      <c r="EOC45" s="1044"/>
      <c r="EOD45" s="1044"/>
      <c r="EOE45" s="1044"/>
      <c r="EOF45" s="1044"/>
      <c r="EOG45" s="1044"/>
      <c r="EOH45" s="1044"/>
      <c r="EOI45" s="1044"/>
      <c r="EOJ45" s="1044"/>
      <c r="EOK45" s="1044"/>
      <c r="EOL45" s="1044"/>
      <c r="EOM45" s="1044"/>
      <c r="EON45" s="1044"/>
      <c r="EOO45" s="1044"/>
      <c r="EOP45" s="1044"/>
      <c r="EOQ45" s="1044"/>
      <c r="EOR45" s="1044"/>
      <c r="EOS45" s="1044"/>
      <c r="EOT45" s="1044"/>
      <c r="EOU45" s="1044"/>
      <c r="EOV45" s="1044"/>
      <c r="EOW45" s="1044"/>
      <c r="EOX45" s="1044"/>
      <c r="EOY45" s="1044"/>
      <c r="EOZ45" s="1044"/>
      <c r="EPA45" s="1044"/>
      <c r="EPB45" s="1044"/>
      <c r="EPC45" s="1044"/>
      <c r="EPD45" s="1044"/>
      <c r="EPE45" s="1044"/>
      <c r="EPF45" s="1044"/>
      <c r="EPG45" s="1044"/>
      <c r="EPH45" s="1044"/>
      <c r="EPI45" s="1044"/>
      <c r="EPJ45" s="1044"/>
      <c r="EPK45" s="1044"/>
      <c r="EPL45" s="1044"/>
      <c r="EPM45" s="1044"/>
      <c r="EPN45" s="1044"/>
      <c r="EPO45" s="1044"/>
      <c r="EPP45" s="1044"/>
      <c r="EPQ45" s="1044"/>
      <c r="EPR45" s="1044"/>
      <c r="EPS45" s="1044"/>
      <c r="EPT45" s="1044"/>
      <c r="EPU45" s="1044"/>
      <c r="EPV45" s="1044"/>
      <c r="EPW45" s="1044"/>
      <c r="EPX45" s="1044"/>
      <c r="EPY45" s="1044"/>
      <c r="EPZ45" s="1044"/>
      <c r="EQA45" s="1044"/>
      <c r="EQB45" s="1044"/>
      <c r="EQC45" s="1044"/>
      <c r="EQD45" s="1044"/>
      <c r="EQE45" s="1044"/>
      <c r="EQF45" s="1044"/>
      <c r="EQG45" s="1044"/>
      <c r="EQH45" s="1044"/>
      <c r="EQI45" s="1044"/>
      <c r="EQJ45" s="1044"/>
      <c r="EQK45" s="1044"/>
      <c r="EQL45" s="1044"/>
      <c r="EQM45" s="1044"/>
      <c r="EQN45" s="1044"/>
      <c r="EQO45" s="1044"/>
      <c r="EQP45" s="1044"/>
      <c r="EQQ45" s="1044"/>
      <c r="EQR45" s="1044"/>
      <c r="EQS45" s="1044"/>
      <c r="EQT45" s="1044"/>
      <c r="EQU45" s="1044"/>
      <c r="EQV45" s="1044"/>
      <c r="EQW45" s="1044"/>
      <c r="EQX45" s="1044"/>
      <c r="EQY45" s="1044"/>
      <c r="EQZ45" s="1044"/>
      <c r="ERA45" s="1044"/>
      <c r="ERB45" s="1044"/>
      <c r="ERC45" s="1044"/>
      <c r="ERD45" s="1044"/>
      <c r="ERE45" s="1044"/>
      <c r="ERF45" s="1044"/>
      <c r="ERG45" s="1044"/>
      <c r="ERH45" s="1044"/>
      <c r="ERI45" s="1044"/>
      <c r="ERJ45" s="1044"/>
      <c r="ERK45" s="1044"/>
      <c r="ERL45" s="1044"/>
      <c r="ERM45" s="1044"/>
      <c r="ERN45" s="1044"/>
      <c r="ERO45" s="1044"/>
      <c r="ERP45" s="1044"/>
      <c r="ERQ45" s="1044"/>
      <c r="ERR45" s="1044"/>
      <c r="ERS45" s="1044"/>
      <c r="ERT45" s="1044"/>
      <c r="ERU45" s="1044"/>
      <c r="ERV45" s="1044"/>
      <c r="ERW45" s="1044"/>
      <c r="ERX45" s="1044"/>
      <c r="ERY45" s="1044"/>
      <c r="ERZ45" s="1044"/>
      <c r="ESA45" s="1044"/>
      <c r="ESB45" s="1044"/>
      <c r="ESC45" s="1044"/>
      <c r="ESD45" s="1044"/>
      <c r="ESE45" s="1044"/>
      <c r="ESF45" s="1044"/>
      <c r="ESG45" s="1044"/>
      <c r="ESH45" s="1044"/>
      <c r="ESI45" s="1044"/>
      <c r="ESJ45" s="1044"/>
      <c r="ESK45" s="1044"/>
      <c r="ESL45" s="1044"/>
      <c r="ESM45" s="1044"/>
      <c r="ESN45" s="1044"/>
      <c r="ESO45" s="1044"/>
      <c r="ESP45" s="1044"/>
      <c r="ESQ45" s="1044"/>
      <c r="ESR45" s="1044"/>
      <c r="ESS45" s="1044"/>
      <c r="EST45" s="1044"/>
      <c r="ESU45" s="1044"/>
      <c r="ESV45" s="1044"/>
      <c r="ESW45" s="1044"/>
      <c r="ESX45" s="1044"/>
      <c r="ESY45" s="1044"/>
      <c r="ESZ45" s="1044"/>
      <c r="ETA45" s="1044"/>
      <c r="ETB45" s="1044"/>
      <c r="ETC45" s="1044"/>
      <c r="ETD45" s="1044"/>
      <c r="ETE45" s="1044"/>
      <c r="ETF45" s="1044"/>
      <c r="ETG45" s="1044"/>
      <c r="ETH45" s="1044"/>
      <c r="ETI45" s="1044"/>
      <c r="ETJ45" s="1044"/>
      <c r="ETK45" s="1044"/>
      <c r="ETL45" s="1044"/>
      <c r="ETM45" s="1044"/>
      <c r="ETN45" s="1044"/>
      <c r="ETO45" s="1044"/>
      <c r="ETP45" s="1044"/>
      <c r="ETQ45" s="1044"/>
      <c r="ETR45" s="1044"/>
      <c r="ETS45" s="1044"/>
      <c r="ETT45" s="1044"/>
      <c r="ETU45" s="1044"/>
      <c r="ETV45" s="1044"/>
      <c r="ETW45" s="1044"/>
      <c r="ETX45" s="1044"/>
      <c r="ETY45" s="1044"/>
      <c r="ETZ45" s="1044"/>
      <c r="EUA45" s="1044"/>
      <c r="EUB45" s="1044"/>
      <c r="EUC45" s="1044"/>
      <c r="EUD45" s="1044"/>
      <c r="EUE45" s="1044"/>
      <c r="EUF45" s="1044"/>
      <c r="EUG45" s="1044"/>
      <c r="EUH45" s="1044"/>
      <c r="EUI45" s="1044"/>
      <c r="EUJ45" s="1044"/>
      <c r="EUK45" s="1044"/>
      <c r="EUL45" s="1044"/>
      <c r="EUM45" s="1044"/>
      <c r="EUN45" s="1044"/>
      <c r="EUO45" s="1044"/>
      <c r="EUP45" s="1044"/>
      <c r="EUQ45" s="1044"/>
      <c r="EUR45" s="1044"/>
      <c r="EUS45" s="1044"/>
      <c r="EUT45" s="1044"/>
      <c r="EUU45" s="1044"/>
      <c r="EUV45" s="1044"/>
      <c r="EUW45" s="1044"/>
      <c r="EUX45" s="1044"/>
      <c r="EUY45" s="1044"/>
      <c r="EUZ45" s="1044"/>
      <c r="EVA45" s="1044"/>
      <c r="EVB45" s="1044"/>
      <c r="EVC45" s="1044"/>
      <c r="EVD45" s="1044"/>
      <c r="EVE45" s="1044"/>
      <c r="EVF45" s="1044"/>
      <c r="EVG45" s="1044"/>
      <c r="EVH45" s="1044"/>
      <c r="EVI45" s="1044"/>
      <c r="EVJ45" s="1044"/>
      <c r="EVK45" s="1044"/>
      <c r="EVL45" s="1044"/>
      <c r="EVM45" s="1044"/>
      <c r="EVN45" s="1044"/>
      <c r="EVO45" s="1044"/>
      <c r="EVP45" s="1044"/>
      <c r="EVQ45" s="1044"/>
      <c r="EVR45" s="1044"/>
      <c r="EVS45" s="1044"/>
      <c r="EVT45" s="1044"/>
      <c r="EVU45" s="1044"/>
      <c r="EVV45" s="1044"/>
      <c r="EVW45" s="1044"/>
      <c r="EVX45" s="1044"/>
      <c r="EVY45" s="1044"/>
      <c r="EVZ45" s="1044"/>
      <c r="EWA45" s="1044"/>
      <c r="EWB45" s="1044"/>
      <c r="EWC45" s="1044"/>
      <c r="EWD45" s="1044"/>
      <c r="EWE45" s="1044"/>
      <c r="EWF45" s="1044"/>
      <c r="EWG45" s="1044"/>
      <c r="EWH45" s="1044"/>
      <c r="EWI45" s="1044"/>
      <c r="EWJ45" s="1044"/>
      <c r="EWK45" s="1044"/>
      <c r="EWL45" s="1044"/>
      <c r="EWM45" s="1044"/>
      <c r="EWN45" s="1044"/>
      <c r="EWO45" s="1044"/>
      <c r="EWP45" s="1044"/>
      <c r="EWQ45" s="1044"/>
      <c r="EWR45" s="1044"/>
      <c r="EWS45" s="1044"/>
      <c r="EWT45" s="1044"/>
      <c r="EWU45" s="1044"/>
      <c r="EWV45" s="1044"/>
      <c r="EWW45" s="1044"/>
      <c r="EWX45" s="1044"/>
      <c r="EWY45" s="1044"/>
      <c r="EWZ45" s="1044"/>
      <c r="EXA45" s="1044"/>
      <c r="EXB45" s="1044"/>
      <c r="EXC45" s="1044"/>
      <c r="EXD45" s="1044"/>
      <c r="EXE45" s="1044"/>
      <c r="EXF45" s="1044"/>
      <c r="EXG45" s="1044"/>
      <c r="EXH45" s="1044"/>
      <c r="EXI45" s="1044"/>
      <c r="EXJ45" s="1044"/>
      <c r="EXK45" s="1044"/>
      <c r="EXL45" s="1044"/>
      <c r="EXM45" s="1044"/>
      <c r="EXN45" s="1044"/>
      <c r="EXO45" s="1044"/>
      <c r="EXP45" s="1044"/>
      <c r="EXQ45" s="1044"/>
      <c r="EXR45" s="1044"/>
      <c r="EXS45" s="1044"/>
      <c r="EXT45" s="1044"/>
      <c r="EXU45" s="1044"/>
      <c r="EXV45" s="1044"/>
      <c r="EXW45" s="1044"/>
      <c r="EXX45" s="1044"/>
      <c r="EXY45" s="1044"/>
      <c r="EXZ45" s="1044"/>
      <c r="EYA45" s="1044"/>
      <c r="EYB45" s="1044"/>
      <c r="EYC45" s="1044"/>
      <c r="EYD45" s="1044"/>
      <c r="EYE45" s="1044"/>
      <c r="EYF45" s="1044"/>
      <c r="EYG45" s="1044"/>
      <c r="EYH45" s="1044"/>
      <c r="EYI45" s="1044"/>
      <c r="EYJ45" s="1044"/>
      <c r="EYK45" s="1044"/>
      <c r="EYL45" s="1044"/>
      <c r="EYM45" s="1044"/>
      <c r="EYN45" s="1044"/>
      <c r="EYO45" s="1044"/>
      <c r="EYP45" s="1044"/>
      <c r="EYQ45" s="1044"/>
      <c r="EYR45" s="1044"/>
      <c r="EYS45" s="1044"/>
      <c r="EYT45" s="1044"/>
      <c r="EYU45" s="1044"/>
      <c r="EYV45" s="1044"/>
      <c r="EYW45" s="1044"/>
      <c r="EYX45" s="1044"/>
      <c r="EYY45" s="1044"/>
      <c r="EYZ45" s="1044"/>
      <c r="EZA45" s="1044"/>
      <c r="EZB45" s="1044"/>
      <c r="EZC45" s="1044"/>
      <c r="EZD45" s="1044"/>
      <c r="EZE45" s="1044"/>
      <c r="EZF45" s="1044"/>
      <c r="EZG45" s="1044"/>
      <c r="EZH45" s="1044"/>
      <c r="EZI45" s="1044"/>
      <c r="EZJ45" s="1044"/>
      <c r="EZK45" s="1044"/>
      <c r="EZL45" s="1044"/>
      <c r="EZM45" s="1044"/>
      <c r="EZN45" s="1044"/>
      <c r="EZO45" s="1044"/>
      <c r="EZP45" s="1044"/>
      <c r="EZQ45" s="1044"/>
      <c r="EZR45" s="1044"/>
      <c r="EZS45" s="1044"/>
      <c r="EZT45" s="1044"/>
      <c r="EZU45" s="1044"/>
      <c r="EZV45" s="1044"/>
      <c r="EZW45" s="1044"/>
      <c r="EZX45" s="1044"/>
      <c r="EZY45" s="1044"/>
      <c r="EZZ45" s="1044"/>
      <c r="FAA45" s="1044"/>
      <c r="FAB45" s="1044"/>
      <c r="FAC45" s="1044"/>
      <c r="FAD45" s="1044"/>
      <c r="FAE45" s="1044"/>
      <c r="FAF45" s="1044"/>
      <c r="FAG45" s="1044"/>
      <c r="FAH45" s="1044"/>
      <c r="FAI45" s="1044"/>
      <c r="FAJ45" s="1044"/>
      <c r="FAK45" s="1044"/>
      <c r="FAL45" s="1044"/>
      <c r="FAM45" s="1044"/>
      <c r="FAN45" s="1044"/>
      <c r="FAO45" s="1044"/>
      <c r="FAP45" s="1044"/>
      <c r="FAQ45" s="1044"/>
      <c r="FAR45" s="1044"/>
      <c r="FAS45" s="1044"/>
      <c r="FAT45" s="1044"/>
      <c r="FAU45" s="1044"/>
      <c r="FAV45" s="1044"/>
      <c r="FAW45" s="1044"/>
      <c r="FAX45" s="1044"/>
      <c r="FAY45" s="1044"/>
      <c r="FAZ45" s="1044"/>
      <c r="FBA45" s="1044"/>
      <c r="FBB45" s="1044"/>
      <c r="FBC45" s="1044"/>
      <c r="FBD45" s="1044"/>
      <c r="FBE45" s="1044"/>
      <c r="FBF45" s="1044"/>
      <c r="FBG45" s="1044"/>
      <c r="FBH45" s="1044"/>
      <c r="FBI45" s="1044"/>
      <c r="FBJ45" s="1044"/>
      <c r="FBK45" s="1044"/>
      <c r="FBL45" s="1044"/>
      <c r="FBM45" s="1044"/>
      <c r="FBN45" s="1044"/>
      <c r="FBO45" s="1044"/>
      <c r="FBP45" s="1044"/>
      <c r="FBQ45" s="1044"/>
      <c r="FBR45" s="1044"/>
      <c r="FBS45" s="1044"/>
      <c r="FBT45" s="1044"/>
      <c r="FBU45" s="1044"/>
      <c r="FBV45" s="1044"/>
      <c r="FBW45" s="1044"/>
      <c r="FBX45" s="1044"/>
      <c r="FBY45" s="1044"/>
      <c r="FBZ45" s="1044"/>
      <c r="FCA45" s="1044"/>
      <c r="FCB45" s="1044"/>
      <c r="FCC45" s="1044"/>
      <c r="FCD45" s="1044"/>
      <c r="FCE45" s="1044"/>
      <c r="FCF45" s="1044"/>
      <c r="FCG45" s="1044"/>
      <c r="FCH45" s="1044"/>
      <c r="FCI45" s="1044"/>
      <c r="FCJ45" s="1044"/>
      <c r="FCK45" s="1044"/>
      <c r="FCL45" s="1044"/>
      <c r="FCM45" s="1044"/>
      <c r="FCN45" s="1044"/>
      <c r="FCO45" s="1044"/>
      <c r="FCP45" s="1044"/>
      <c r="FCQ45" s="1044"/>
      <c r="FCR45" s="1044"/>
      <c r="FCS45" s="1044"/>
      <c r="FCT45" s="1044"/>
      <c r="FCU45" s="1044"/>
      <c r="FCV45" s="1044"/>
      <c r="FCW45" s="1044"/>
      <c r="FCX45" s="1044"/>
      <c r="FCY45" s="1044"/>
      <c r="FCZ45" s="1044"/>
      <c r="FDA45" s="1044"/>
      <c r="FDB45" s="1044"/>
      <c r="FDC45" s="1044"/>
      <c r="FDD45" s="1044"/>
      <c r="FDE45" s="1044"/>
      <c r="FDF45" s="1044"/>
      <c r="FDG45" s="1044"/>
      <c r="FDH45" s="1044"/>
      <c r="FDI45" s="1044"/>
      <c r="FDJ45" s="1044"/>
      <c r="FDK45" s="1044"/>
      <c r="FDL45" s="1044"/>
      <c r="FDM45" s="1044"/>
      <c r="FDN45" s="1044"/>
      <c r="FDO45" s="1044"/>
      <c r="FDP45" s="1044"/>
      <c r="FDQ45" s="1044"/>
      <c r="FDR45" s="1044"/>
      <c r="FDS45" s="1044"/>
      <c r="FDT45" s="1044"/>
      <c r="FDU45" s="1044"/>
      <c r="FDV45" s="1044"/>
      <c r="FDW45" s="1044"/>
      <c r="FDX45" s="1044"/>
      <c r="FDY45" s="1044"/>
      <c r="FDZ45" s="1044"/>
      <c r="FEA45" s="1044"/>
      <c r="FEB45" s="1044"/>
      <c r="FEC45" s="1044"/>
      <c r="FED45" s="1044"/>
      <c r="FEE45" s="1044"/>
      <c r="FEF45" s="1044"/>
      <c r="FEG45" s="1044"/>
      <c r="FEH45" s="1044"/>
      <c r="FEI45" s="1044"/>
      <c r="FEJ45" s="1044"/>
      <c r="FEK45" s="1044"/>
      <c r="FEL45" s="1044"/>
      <c r="FEM45" s="1044"/>
      <c r="FEN45" s="1044"/>
      <c r="FEO45" s="1044"/>
      <c r="FEP45" s="1044"/>
      <c r="FEQ45" s="1044"/>
      <c r="FER45" s="1044"/>
      <c r="FES45" s="1044"/>
      <c r="FET45" s="1044"/>
      <c r="FEU45" s="1044"/>
      <c r="FEV45" s="1044"/>
      <c r="FEW45" s="1044"/>
      <c r="FEX45" s="1044"/>
      <c r="FEY45" s="1044"/>
      <c r="FEZ45" s="1044"/>
      <c r="FFA45" s="1044"/>
      <c r="FFB45" s="1044"/>
      <c r="FFC45" s="1044"/>
      <c r="FFD45" s="1044"/>
      <c r="FFE45" s="1044"/>
      <c r="FFF45" s="1044"/>
      <c r="FFG45" s="1044"/>
      <c r="FFH45" s="1044"/>
      <c r="FFI45" s="1044"/>
      <c r="FFJ45" s="1044"/>
      <c r="FFK45" s="1044"/>
      <c r="FFL45" s="1044"/>
      <c r="FFM45" s="1044"/>
      <c r="FFN45" s="1044"/>
      <c r="FFO45" s="1044"/>
      <c r="FFP45" s="1044"/>
      <c r="FFQ45" s="1044"/>
      <c r="FFR45" s="1044"/>
      <c r="FFS45" s="1044"/>
      <c r="FFT45" s="1044"/>
      <c r="FFU45" s="1044"/>
      <c r="FFV45" s="1044"/>
      <c r="FFW45" s="1044"/>
      <c r="FFX45" s="1044"/>
      <c r="FFY45" s="1044"/>
      <c r="FFZ45" s="1044"/>
      <c r="FGA45" s="1044"/>
      <c r="FGB45" s="1044"/>
      <c r="FGC45" s="1044"/>
      <c r="FGD45" s="1044"/>
      <c r="FGE45" s="1044"/>
      <c r="FGF45" s="1044"/>
      <c r="FGG45" s="1044"/>
      <c r="FGH45" s="1044"/>
      <c r="FGI45" s="1044"/>
      <c r="FGJ45" s="1044"/>
      <c r="FGK45" s="1044"/>
      <c r="FGL45" s="1044"/>
      <c r="FGM45" s="1044"/>
      <c r="FGN45" s="1044"/>
      <c r="FGO45" s="1044"/>
      <c r="FGP45" s="1044"/>
      <c r="FGQ45" s="1044"/>
      <c r="FGR45" s="1044"/>
      <c r="FGS45" s="1044"/>
      <c r="FGT45" s="1044"/>
      <c r="FGU45" s="1044"/>
      <c r="FGV45" s="1044"/>
      <c r="FGW45" s="1044"/>
      <c r="FGX45" s="1044"/>
      <c r="FGY45" s="1044"/>
      <c r="FGZ45" s="1044"/>
      <c r="FHA45" s="1044"/>
      <c r="FHB45" s="1044"/>
      <c r="FHC45" s="1044"/>
      <c r="FHD45" s="1044"/>
      <c r="FHE45" s="1044"/>
      <c r="FHF45" s="1044"/>
      <c r="FHG45" s="1044"/>
      <c r="FHH45" s="1044"/>
      <c r="FHI45" s="1044"/>
      <c r="FHJ45" s="1044"/>
      <c r="FHK45" s="1044"/>
      <c r="FHL45" s="1044"/>
      <c r="FHM45" s="1044"/>
      <c r="FHN45" s="1044"/>
      <c r="FHO45" s="1044"/>
      <c r="FHP45" s="1044"/>
      <c r="FHQ45" s="1044"/>
      <c r="FHR45" s="1044"/>
      <c r="FHS45" s="1044"/>
      <c r="FHT45" s="1044"/>
      <c r="FHU45" s="1044"/>
      <c r="FHV45" s="1044"/>
      <c r="FHW45" s="1044"/>
      <c r="FHX45" s="1044"/>
      <c r="FHY45" s="1044"/>
      <c r="FHZ45" s="1044"/>
      <c r="FIA45" s="1044"/>
      <c r="FIB45" s="1044"/>
      <c r="FIC45" s="1044"/>
      <c r="FID45" s="1044"/>
      <c r="FIE45" s="1044"/>
      <c r="FIF45" s="1044"/>
      <c r="FIG45" s="1044"/>
      <c r="FIH45" s="1044"/>
      <c r="FII45" s="1044"/>
      <c r="FIJ45" s="1044"/>
      <c r="FIK45" s="1044"/>
      <c r="FIL45" s="1044"/>
      <c r="FIM45" s="1044"/>
      <c r="FIN45" s="1044"/>
      <c r="FIO45" s="1044"/>
      <c r="FIP45" s="1044"/>
      <c r="FIQ45" s="1044"/>
      <c r="FIR45" s="1044"/>
      <c r="FIS45" s="1044"/>
      <c r="FIT45" s="1044"/>
      <c r="FIU45" s="1044"/>
      <c r="FIV45" s="1044"/>
      <c r="FIW45" s="1044"/>
      <c r="FIX45" s="1044"/>
      <c r="FIY45" s="1044"/>
      <c r="FIZ45" s="1044"/>
      <c r="FJA45" s="1044"/>
      <c r="FJB45" s="1044"/>
      <c r="FJC45" s="1044"/>
      <c r="FJD45" s="1044"/>
      <c r="FJE45" s="1044"/>
      <c r="FJF45" s="1044"/>
      <c r="FJG45" s="1044"/>
      <c r="FJH45" s="1044"/>
      <c r="FJI45" s="1044"/>
      <c r="FJJ45" s="1044"/>
      <c r="FJK45" s="1044"/>
      <c r="FJL45" s="1044"/>
      <c r="FJM45" s="1044"/>
      <c r="FJN45" s="1044"/>
      <c r="FJO45" s="1044"/>
      <c r="FJP45" s="1044"/>
      <c r="FJQ45" s="1044"/>
      <c r="FJR45" s="1044"/>
      <c r="FJS45" s="1044"/>
      <c r="FJT45" s="1044"/>
      <c r="FJU45" s="1044"/>
      <c r="FJV45" s="1044"/>
      <c r="FJW45" s="1044"/>
      <c r="FJX45" s="1044"/>
      <c r="FJY45" s="1044"/>
      <c r="FJZ45" s="1044"/>
      <c r="FKA45" s="1044"/>
      <c r="FKB45" s="1044"/>
      <c r="FKC45" s="1044"/>
      <c r="FKD45" s="1044"/>
      <c r="FKE45" s="1044"/>
      <c r="FKF45" s="1044"/>
      <c r="FKG45" s="1044"/>
      <c r="FKH45" s="1044"/>
      <c r="FKI45" s="1044"/>
      <c r="FKJ45" s="1044"/>
      <c r="FKK45" s="1044"/>
      <c r="FKL45" s="1044"/>
      <c r="FKM45" s="1044"/>
      <c r="FKN45" s="1044"/>
      <c r="FKO45" s="1044"/>
      <c r="FKP45" s="1044"/>
      <c r="FKQ45" s="1044"/>
      <c r="FKR45" s="1044"/>
      <c r="FKS45" s="1044"/>
      <c r="FKT45" s="1044"/>
      <c r="FKU45" s="1044"/>
      <c r="FKV45" s="1044"/>
      <c r="FKW45" s="1044"/>
      <c r="FKX45" s="1044"/>
      <c r="FKY45" s="1044"/>
      <c r="FKZ45" s="1044"/>
      <c r="FLA45" s="1044"/>
      <c r="FLB45" s="1044"/>
      <c r="FLC45" s="1044"/>
      <c r="FLD45" s="1044"/>
      <c r="FLE45" s="1044"/>
      <c r="FLF45" s="1044"/>
      <c r="FLG45" s="1044"/>
      <c r="FLH45" s="1044"/>
      <c r="FLI45" s="1044"/>
      <c r="FLJ45" s="1044"/>
      <c r="FLK45" s="1044"/>
      <c r="FLL45" s="1044"/>
      <c r="FLM45" s="1044"/>
      <c r="FLN45" s="1044"/>
      <c r="FLO45" s="1044"/>
      <c r="FLP45" s="1044"/>
      <c r="FLQ45" s="1044"/>
      <c r="FLR45" s="1044"/>
      <c r="FLS45" s="1044"/>
      <c r="FLT45" s="1044"/>
      <c r="FLU45" s="1044"/>
      <c r="FLV45" s="1044"/>
      <c r="FLW45" s="1044"/>
      <c r="FLX45" s="1044"/>
      <c r="FLY45" s="1044"/>
      <c r="FLZ45" s="1044"/>
      <c r="FMA45" s="1044"/>
      <c r="FMB45" s="1044"/>
      <c r="FMC45" s="1044"/>
      <c r="FMD45" s="1044"/>
      <c r="FME45" s="1044"/>
      <c r="FMF45" s="1044"/>
      <c r="FMG45" s="1044"/>
      <c r="FMH45" s="1044"/>
      <c r="FMI45" s="1044"/>
      <c r="FMJ45" s="1044"/>
      <c r="FMK45" s="1044"/>
      <c r="FML45" s="1044"/>
      <c r="FMM45" s="1044"/>
      <c r="FMN45" s="1044"/>
      <c r="FMO45" s="1044"/>
      <c r="FMP45" s="1044"/>
      <c r="FMQ45" s="1044"/>
      <c r="FMR45" s="1044"/>
      <c r="FMS45" s="1044"/>
      <c r="FMT45" s="1044"/>
      <c r="FMU45" s="1044"/>
      <c r="FMV45" s="1044"/>
      <c r="FMW45" s="1044"/>
      <c r="FMX45" s="1044"/>
      <c r="FMY45" s="1044"/>
      <c r="FMZ45" s="1044"/>
      <c r="FNA45" s="1044"/>
      <c r="FNB45" s="1044"/>
      <c r="FNC45" s="1044"/>
      <c r="FND45" s="1044"/>
      <c r="FNE45" s="1044"/>
      <c r="FNF45" s="1044"/>
      <c r="FNG45" s="1044"/>
      <c r="FNH45" s="1044"/>
      <c r="FNI45" s="1044"/>
      <c r="FNJ45" s="1044"/>
      <c r="FNK45" s="1044"/>
      <c r="FNL45" s="1044"/>
      <c r="FNM45" s="1044"/>
      <c r="FNN45" s="1044"/>
      <c r="FNO45" s="1044"/>
      <c r="FNP45" s="1044"/>
      <c r="FNQ45" s="1044"/>
      <c r="FNR45" s="1044"/>
      <c r="FNS45" s="1044"/>
      <c r="FNT45" s="1044"/>
      <c r="FNU45" s="1044"/>
      <c r="FNV45" s="1044"/>
      <c r="FNW45" s="1044"/>
      <c r="FNX45" s="1044"/>
      <c r="FNY45" s="1044"/>
      <c r="FNZ45" s="1044"/>
      <c r="FOA45" s="1044"/>
      <c r="FOB45" s="1044"/>
      <c r="FOC45" s="1044"/>
      <c r="FOD45" s="1044"/>
      <c r="FOE45" s="1044"/>
      <c r="FOF45" s="1044"/>
      <c r="FOG45" s="1044"/>
      <c r="FOH45" s="1044"/>
      <c r="FOI45" s="1044"/>
      <c r="FOJ45" s="1044"/>
      <c r="FOK45" s="1044"/>
      <c r="FOL45" s="1044"/>
      <c r="FOM45" s="1044"/>
      <c r="FON45" s="1044"/>
      <c r="FOO45" s="1044"/>
      <c r="FOP45" s="1044"/>
      <c r="FOQ45" s="1044"/>
      <c r="FOR45" s="1044"/>
      <c r="FOS45" s="1044"/>
      <c r="FOT45" s="1044"/>
      <c r="FOU45" s="1044"/>
      <c r="FOV45" s="1044"/>
      <c r="FOW45" s="1044"/>
      <c r="FOX45" s="1044"/>
      <c r="FOY45" s="1044"/>
      <c r="FOZ45" s="1044"/>
      <c r="FPA45" s="1044"/>
      <c r="FPB45" s="1044"/>
      <c r="FPC45" s="1044"/>
      <c r="FPD45" s="1044"/>
      <c r="FPE45" s="1044"/>
      <c r="FPF45" s="1044"/>
      <c r="FPG45" s="1044"/>
      <c r="FPH45" s="1044"/>
      <c r="FPI45" s="1044"/>
      <c r="FPJ45" s="1044"/>
      <c r="FPK45" s="1044"/>
      <c r="FPL45" s="1044"/>
      <c r="FPM45" s="1044"/>
      <c r="FPN45" s="1044"/>
      <c r="FPO45" s="1044"/>
      <c r="FPP45" s="1044"/>
      <c r="FPQ45" s="1044"/>
      <c r="FPR45" s="1044"/>
      <c r="FPS45" s="1044"/>
      <c r="FPT45" s="1044"/>
      <c r="FPU45" s="1044"/>
      <c r="FPV45" s="1044"/>
      <c r="FPW45" s="1044"/>
      <c r="FPX45" s="1044"/>
      <c r="FPY45" s="1044"/>
      <c r="FPZ45" s="1044"/>
      <c r="FQA45" s="1044"/>
      <c r="FQB45" s="1044"/>
      <c r="FQC45" s="1044"/>
      <c r="FQD45" s="1044"/>
      <c r="FQE45" s="1044"/>
      <c r="FQF45" s="1044"/>
      <c r="FQG45" s="1044"/>
      <c r="FQH45" s="1044"/>
      <c r="FQI45" s="1044"/>
      <c r="FQJ45" s="1044"/>
      <c r="FQK45" s="1044"/>
      <c r="FQL45" s="1044"/>
      <c r="FQM45" s="1044"/>
      <c r="FQN45" s="1044"/>
      <c r="FQO45" s="1044"/>
      <c r="FQP45" s="1044"/>
      <c r="FQQ45" s="1044"/>
      <c r="FQR45" s="1044"/>
      <c r="FQS45" s="1044"/>
      <c r="FQT45" s="1044"/>
      <c r="FQU45" s="1044"/>
      <c r="FQV45" s="1044"/>
      <c r="FQW45" s="1044"/>
      <c r="FQX45" s="1044"/>
      <c r="FQY45" s="1044"/>
      <c r="FQZ45" s="1044"/>
      <c r="FRA45" s="1044"/>
      <c r="FRB45" s="1044"/>
      <c r="FRC45" s="1044"/>
      <c r="FRD45" s="1044"/>
      <c r="FRE45" s="1044"/>
      <c r="FRF45" s="1044"/>
      <c r="FRG45" s="1044"/>
      <c r="FRH45" s="1044"/>
      <c r="FRI45" s="1044"/>
      <c r="FRJ45" s="1044"/>
      <c r="FRK45" s="1044"/>
      <c r="FRL45" s="1044"/>
      <c r="FRM45" s="1044"/>
      <c r="FRN45" s="1044"/>
      <c r="FRO45" s="1044"/>
      <c r="FRP45" s="1044"/>
      <c r="FRQ45" s="1044"/>
      <c r="FRR45" s="1044"/>
      <c r="FRS45" s="1044"/>
      <c r="FRT45" s="1044"/>
      <c r="FRU45" s="1044"/>
      <c r="FRV45" s="1044"/>
      <c r="FRW45" s="1044"/>
      <c r="FRX45" s="1044"/>
      <c r="FRY45" s="1044"/>
      <c r="FRZ45" s="1044"/>
      <c r="FSA45" s="1044"/>
      <c r="FSB45" s="1044"/>
      <c r="FSC45" s="1044"/>
      <c r="FSD45" s="1044"/>
      <c r="FSE45" s="1044"/>
      <c r="FSF45" s="1044"/>
      <c r="FSG45" s="1044"/>
      <c r="FSH45" s="1044"/>
      <c r="FSI45" s="1044"/>
      <c r="FSJ45" s="1044"/>
      <c r="FSK45" s="1044"/>
      <c r="FSL45" s="1044"/>
      <c r="FSM45" s="1044"/>
      <c r="FSN45" s="1044"/>
      <c r="FSO45" s="1044"/>
      <c r="FSP45" s="1044"/>
      <c r="FSQ45" s="1044"/>
      <c r="FSR45" s="1044"/>
      <c r="FSS45" s="1044"/>
      <c r="FST45" s="1044"/>
      <c r="FSU45" s="1044"/>
      <c r="FSV45" s="1044"/>
      <c r="FSW45" s="1044"/>
      <c r="FSX45" s="1044"/>
      <c r="FSY45" s="1044"/>
      <c r="FSZ45" s="1044"/>
      <c r="FTA45" s="1044"/>
      <c r="FTB45" s="1044"/>
      <c r="FTC45" s="1044"/>
      <c r="FTD45" s="1044"/>
      <c r="FTE45" s="1044"/>
      <c r="FTF45" s="1044"/>
      <c r="FTG45" s="1044"/>
      <c r="FTH45" s="1044"/>
      <c r="FTI45" s="1044"/>
      <c r="FTJ45" s="1044"/>
      <c r="FTK45" s="1044"/>
      <c r="FTL45" s="1044"/>
      <c r="FTM45" s="1044"/>
      <c r="FTN45" s="1044"/>
      <c r="FTO45" s="1044"/>
      <c r="FTP45" s="1044"/>
      <c r="FTQ45" s="1044"/>
      <c r="FTR45" s="1044"/>
      <c r="FTS45" s="1044"/>
      <c r="FTT45" s="1044"/>
      <c r="FTU45" s="1044"/>
      <c r="FTV45" s="1044"/>
      <c r="FTW45" s="1044"/>
      <c r="FTX45" s="1044"/>
      <c r="FTY45" s="1044"/>
      <c r="FTZ45" s="1044"/>
      <c r="FUA45" s="1044"/>
      <c r="FUB45" s="1044"/>
      <c r="FUC45" s="1044"/>
      <c r="FUD45" s="1044"/>
      <c r="FUE45" s="1044"/>
      <c r="FUF45" s="1044"/>
      <c r="FUG45" s="1044"/>
      <c r="FUH45" s="1044"/>
      <c r="FUI45" s="1044"/>
      <c r="FUJ45" s="1044"/>
      <c r="FUK45" s="1044"/>
      <c r="FUL45" s="1044"/>
      <c r="FUM45" s="1044"/>
      <c r="FUN45" s="1044"/>
      <c r="FUO45" s="1044"/>
      <c r="FUP45" s="1044"/>
      <c r="FUQ45" s="1044"/>
      <c r="FUR45" s="1044"/>
      <c r="FUS45" s="1044"/>
      <c r="FUT45" s="1044"/>
      <c r="FUU45" s="1044"/>
      <c r="FUV45" s="1044"/>
      <c r="FUW45" s="1044"/>
      <c r="FUX45" s="1044"/>
      <c r="FUY45" s="1044"/>
      <c r="FUZ45" s="1044"/>
      <c r="FVA45" s="1044"/>
      <c r="FVB45" s="1044"/>
      <c r="FVC45" s="1044"/>
      <c r="FVD45" s="1044"/>
      <c r="FVE45" s="1044"/>
      <c r="FVF45" s="1044"/>
      <c r="FVG45" s="1044"/>
      <c r="FVH45" s="1044"/>
      <c r="FVI45" s="1044"/>
      <c r="FVJ45" s="1044"/>
      <c r="FVK45" s="1044"/>
      <c r="FVL45" s="1044"/>
      <c r="FVM45" s="1044"/>
      <c r="FVN45" s="1044"/>
      <c r="FVO45" s="1044"/>
      <c r="FVP45" s="1044"/>
      <c r="FVQ45" s="1044"/>
      <c r="FVR45" s="1044"/>
      <c r="FVS45" s="1044"/>
      <c r="FVT45" s="1044"/>
      <c r="FVU45" s="1044"/>
      <c r="FVV45" s="1044"/>
      <c r="FVW45" s="1044"/>
      <c r="FVX45" s="1044"/>
      <c r="FVY45" s="1044"/>
      <c r="FVZ45" s="1044"/>
      <c r="FWA45" s="1044"/>
      <c r="FWB45" s="1044"/>
      <c r="FWC45" s="1044"/>
      <c r="FWD45" s="1044"/>
      <c r="FWE45" s="1044"/>
      <c r="FWF45" s="1044"/>
      <c r="FWG45" s="1044"/>
      <c r="FWH45" s="1044"/>
      <c r="FWI45" s="1044"/>
      <c r="FWJ45" s="1044"/>
      <c r="FWK45" s="1044"/>
      <c r="FWL45" s="1044"/>
      <c r="FWM45" s="1044"/>
      <c r="FWN45" s="1044"/>
      <c r="FWO45" s="1044"/>
      <c r="FWP45" s="1044"/>
      <c r="FWQ45" s="1044"/>
      <c r="FWR45" s="1044"/>
      <c r="FWS45" s="1044"/>
      <c r="FWT45" s="1044"/>
      <c r="FWU45" s="1044"/>
      <c r="FWV45" s="1044"/>
      <c r="FWW45" s="1044"/>
      <c r="FWX45" s="1044"/>
      <c r="FWY45" s="1044"/>
      <c r="FWZ45" s="1044"/>
      <c r="FXA45" s="1044"/>
      <c r="FXB45" s="1044"/>
      <c r="FXC45" s="1044"/>
      <c r="FXD45" s="1044"/>
      <c r="FXE45" s="1044"/>
      <c r="FXF45" s="1044"/>
      <c r="FXG45" s="1044"/>
      <c r="FXH45" s="1044"/>
      <c r="FXI45" s="1044"/>
      <c r="FXJ45" s="1044"/>
      <c r="FXK45" s="1044"/>
      <c r="FXL45" s="1044"/>
      <c r="FXM45" s="1044"/>
      <c r="FXN45" s="1044"/>
      <c r="FXO45" s="1044"/>
      <c r="FXP45" s="1044"/>
      <c r="FXQ45" s="1044"/>
      <c r="FXR45" s="1044"/>
      <c r="FXS45" s="1044"/>
      <c r="FXT45" s="1044"/>
      <c r="FXU45" s="1044"/>
      <c r="FXV45" s="1044"/>
      <c r="FXW45" s="1044"/>
      <c r="FXX45" s="1044"/>
      <c r="FXY45" s="1044"/>
      <c r="FXZ45" s="1044"/>
      <c r="FYA45" s="1044"/>
      <c r="FYB45" s="1044"/>
      <c r="FYC45" s="1044"/>
      <c r="FYD45" s="1044"/>
      <c r="FYE45" s="1044"/>
      <c r="FYF45" s="1044"/>
      <c r="FYG45" s="1044"/>
      <c r="FYH45" s="1044"/>
      <c r="FYI45" s="1044"/>
      <c r="FYJ45" s="1044"/>
      <c r="FYK45" s="1044"/>
      <c r="FYL45" s="1044"/>
      <c r="FYM45" s="1044"/>
      <c r="FYN45" s="1044"/>
      <c r="FYO45" s="1044"/>
      <c r="FYP45" s="1044"/>
      <c r="FYQ45" s="1044"/>
      <c r="FYR45" s="1044"/>
      <c r="FYS45" s="1044"/>
      <c r="FYT45" s="1044"/>
      <c r="FYU45" s="1044"/>
      <c r="FYV45" s="1044"/>
      <c r="FYW45" s="1044"/>
      <c r="FYX45" s="1044"/>
      <c r="FYY45" s="1044"/>
      <c r="FYZ45" s="1044"/>
      <c r="FZA45" s="1044"/>
      <c r="FZB45" s="1044"/>
      <c r="FZC45" s="1044"/>
      <c r="FZD45" s="1044"/>
      <c r="FZE45" s="1044"/>
      <c r="FZF45" s="1044"/>
      <c r="FZG45" s="1044"/>
      <c r="FZH45" s="1044"/>
      <c r="FZI45" s="1044"/>
      <c r="FZJ45" s="1044"/>
      <c r="FZK45" s="1044"/>
      <c r="FZL45" s="1044"/>
      <c r="FZM45" s="1044"/>
      <c r="FZN45" s="1044"/>
      <c r="FZO45" s="1044"/>
      <c r="FZP45" s="1044"/>
      <c r="FZQ45" s="1044"/>
      <c r="FZR45" s="1044"/>
      <c r="FZS45" s="1044"/>
      <c r="FZT45" s="1044"/>
      <c r="FZU45" s="1044"/>
      <c r="FZV45" s="1044"/>
      <c r="FZW45" s="1044"/>
      <c r="FZX45" s="1044"/>
      <c r="FZY45" s="1044"/>
      <c r="FZZ45" s="1044"/>
      <c r="GAA45" s="1044"/>
      <c r="GAB45" s="1044"/>
      <c r="GAC45" s="1044"/>
      <c r="GAD45" s="1044"/>
      <c r="GAE45" s="1044"/>
      <c r="GAF45" s="1044"/>
      <c r="GAG45" s="1044"/>
      <c r="GAH45" s="1044"/>
      <c r="GAI45" s="1044"/>
      <c r="GAJ45" s="1044"/>
      <c r="GAK45" s="1044"/>
      <c r="GAL45" s="1044"/>
      <c r="GAM45" s="1044"/>
      <c r="GAN45" s="1044"/>
      <c r="GAO45" s="1044"/>
      <c r="GAP45" s="1044"/>
      <c r="GAQ45" s="1044"/>
      <c r="GAR45" s="1044"/>
      <c r="GAS45" s="1044"/>
      <c r="GAT45" s="1044"/>
      <c r="GAU45" s="1044"/>
      <c r="GAV45" s="1044"/>
      <c r="GAW45" s="1044"/>
      <c r="GAX45" s="1044"/>
      <c r="GAY45" s="1044"/>
      <c r="GAZ45" s="1044"/>
      <c r="GBA45" s="1044"/>
      <c r="GBB45" s="1044"/>
      <c r="GBC45" s="1044"/>
      <c r="GBD45" s="1044"/>
      <c r="GBE45" s="1044"/>
      <c r="GBF45" s="1044"/>
      <c r="GBG45" s="1044"/>
      <c r="GBH45" s="1044"/>
      <c r="GBI45" s="1044"/>
      <c r="GBJ45" s="1044"/>
      <c r="GBK45" s="1044"/>
      <c r="GBL45" s="1044"/>
      <c r="GBM45" s="1044"/>
      <c r="GBN45" s="1044"/>
      <c r="GBO45" s="1044"/>
      <c r="GBP45" s="1044"/>
      <c r="GBQ45" s="1044"/>
      <c r="GBR45" s="1044"/>
      <c r="GBS45" s="1044"/>
      <c r="GBT45" s="1044"/>
      <c r="GBU45" s="1044"/>
      <c r="GBV45" s="1044"/>
      <c r="GBW45" s="1044"/>
      <c r="GBX45" s="1044"/>
      <c r="GBY45" s="1044"/>
      <c r="GBZ45" s="1044"/>
      <c r="GCA45" s="1044"/>
      <c r="GCB45" s="1044"/>
      <c r="GCC45" s="1044"/>
      <c r="GCD45" s="1044"/>
      <c r="GCE45" s="1044"/>
      <c r="GCF45" s="1044"/>
      <c r="GCG45" s="1044"/>
      <c r="GCH45" s="1044"/>
      <c r="GCI45" s="1044"/>
      <c r="GCJ45" s="1044"/>
      <c r="GCK45" s="1044"/>
      <c r="GCL45" s="1044"/>
      <c r="GCM45" s="1044"/>
      <c r="GCN45" s="1044"/>
      <c r="GCO45" s="1044"/>
      <c r="GCP45" s="1044"/>
      <c r="GCQ45" s="1044"/>
      <c r="GCR45" s="1044"/>
      <c r="GCS45" s="1044"/>
      <c r="GCT45" s="1044"/>
      <c r="GCU45" s="1044"/>
      <c r="GCV45" s="1044"/>
      <c r="GCW45" s="1044"/>
      <c r="GCX45" s="1044"/>
      <c r="GCY45" s="1044"/>
      <c r="GCZ45" s="1044"/>
      <c r="GDA45" s="1044"/>
      <c r="GDB45" s="1044"/>
      <c r="GDC45" s="1044"/>
      <c r="GDD45" s="1044"/>
      <c r="GDE45" s="1044"/>
      <c r="GDF45" s="1044"/>
      <c r="GDG45" s="1044"/>
      <c r="GDH45" s="1044"/>
      <c r="GDI45" s="1044"/>
      <c r="GDJ45" s="1044"/>
      <c r="GDK45" s="1044"/>
      <c r="GDL45" s="1044"/>
      <c r="GDM45" s="1044"/>
      <c r="GDN45" s="1044"/>
      <c r="GDO45" s="1044"/>
      <c r="GDP45" s="1044"/>
      <c r="GDQ45" s="1044"/>
      <c r="GDR45" s="1044"/>
      <c r="GDS45" s="1044"/>
      <c r="GDT45" s="1044"/>
      <c r="GDU45" s="1044"/>
      <c r="GDV45" s="1044"/>
      <c r="GDW45" s="1044"/>
      <c r="GDX45" s="1044"/>
      <c r="GDY45" s="1044"/>
      <c r="GDZ45" s="1044"/>
      <c r="GEA45" s="1044"/>
      <c r="GEB45" s="1044"/>
      <c r="GEC45" s="1044"/>
      <c r="GED45" s="1044"/>
      <c r="GEE45" s="1044"/>
      <c r="GEF45" s="1044"/>
      <c r="GEG45" s="1044"/>
      <c r="GEH45" s="1044"/>
      <c r="GEI45" s="1044"/>
      <c r="GEJ45" s="1044"/>
      <c r="GEK45" s="1044"/>
      <c r="GEL45" s="1044"/>
      <c r="GEM45" s="1044"/>
      <c r="GEN45" s="1044"/>
      <c r="GEO45" s="1044"/>
      <c r="GEP45" s="1044"/>
      <c r="GEQ45" s="1044"/>
      <c r="GER45" s="1044"/>
      <c r="GES45" s="1044"/>
      <c r="GET45" s="1044"/>
      <c r="GEU45" s="1044"/>
      <c r="GEV45" s="1044"/>
      <c r="GEW45" s="1044"/>
      <c r="GEX45" s="1044"/>
      <c r="GEY45" s="1044"/>
      <c r="GEZ45" s="1044"/>
      <c r="GFA45" s="1044"/>
      <c r="GFB45" s="1044"/>
      <c r="GFC45" s="1044"/>
      <c r="GFD45" s="1044"/>
      <c r="GFE45" s="1044"/>
      <c r="GFF45" s="1044"/>
      <c r="GFG45" s="1044"/>
      <c r="GFH45" s="1044"/>
      <c r="GFI45" s="1044"/>
      <c r="GFJ45" s="1044"/>
      <c r="GFK45" s="1044"/>
      <c r="GFL45" s="1044"/>
      <c r="GFM45" s="1044"/>
      <c r="GFN45" s="1044"/>
      <c r="GFO45" s="1044"/>
      <c r="GFP45" s="1044"/>
      <c r="GFQ45" s="1044"/>
      <c r="GFR45" s="1044"/>
      <c r="GFS45" s="1044"/>
      <c r="GFT45" s="1044"/>
      <c r="GFU45" s="1044"/>
      <c r="GFV45" s="1044"/>
      <c r="GFW45" s="1044"/>
      <c r="GFX45" s="1044"/>
      <c r="GFY45" s="1044"/>
      <c r="GFZ45" s="1044"/>
      <c r="GGA45" s="1044"/>
      <c r="GGB45" s="1044"/>
      <c r="GGC45" s="1044"/>
      <c r="GGD45" s="1044"/>
      <c r="GGE45" s="1044"/>
      <c r="GGF45" s="1044"/>
      <c r="GGG45" s="1044"/>
      <c r="GGH45" s="1044"/>
      <c r="GGI45" s="1044"/>
      <c r="GGJ45" s="1044"/>
      <c r="GGK45" s="1044"/>
      <c r="GGL45" s="1044"/>
      <c r="GGM45" s="1044"/>
      <c r="GGN45" s="1044"/>
      <c r="GGO45" s="1044"/>
      <c r="GGP45" s="1044"/>
      <c r="GGQ45" s="1044"/>
      <c r="GGR45" s="1044"/>
      <c r="GGS45" s="1044"/>
      <c r="GGT45" s="1044"/>
      <c r="GGU45" s="1044"/>
      <c r="GGV45" s="1044"/>
      <c r="GGW45" s="1044"/>
      <c r="GGX45" s="1044"/>
      <c r="GGY45" s="1044"/>
      <c r="GGZ45" s="1044"/>
      <c r="GHA45" s="1044"/>
      <c r="GHB45" s="1044"/>
      <c r="GHC45" s="1044"/>
      <c r="GHD45" s="1044"/>
      <c r="GHE45" s="1044"/>
      <c r="GHF45" s="1044"/>
      <c r="GHG45" s="1044"/>
      <c r="GHH45" s="1044"/>
      <c r="GHI45" s="1044"/>
      <c r="GHJ45" s="1044"/>
      <c r="GHK45" s="1044"/>
      <c r="GHL45" s="1044"/>
      <c r="GHM45" s="1044"/>
      <c r="GHN45" s="1044"/>
      <c r="GHO45" s="1044"/>
      <c r="GHP45" s="1044"/>
      <c r="GHQ45" s="1044"/>
      <c r="GHR45" s="1044"/>
      <c r="GHS45" s="1044"/>
      <c r="GHT45" s="1044"/>
      <c r="GHU45" s="1044"/>
      <c r="GHV45" s="1044"/>
      <c r="GHW45" s="1044"/>
      <c r="GHX45" s="1044"/>
      <c r="GHY45" s="1044"/>
      <c r="GHZ45" s="1044"/>
      <c r="GIA45" s="1044"/>
      <c r="GIB45" s="1044"/>
      <c r="GIC45" s="1044"/>
      <c r="GID45" s="1044"/>
      <c r="GIE45" s="1044"/>
      <c r="GIF45" s="1044"/>
      <c r="GIG45" s="1044"/>
      <c r="GIH45" s="1044"/>
      <c r="GII45" s="1044"/>
      <c r="GIJ45" s="1044"/>
      <c r="GIK45" s="1044"/>
      <c r="GIL45" s="1044"/>
      <c r="GIM45" s="1044"/>
      <c r="GIN45" s="1044"/>
      <c r="GIO45" s="1044"/>
      <c r="GIP45" s="1044"/>
      <c r="GIQ45" s="1044"/>
      <c r="GIR45" s="1044"/>
      <c r="GIS45" s="1044"/>
      <c r="GIT45" s="1044"/>
      <c r="GIU45" s="1044"/>
      <c r="GIV45" s="1044"/>
      <c r="GIW45" s="1044"/>
      <c r="GIX45" s="1044"/>
      <c r="GIY45" s="1044"/>
      <c r="GIZ45" s="1044"/>
      <c r="GJA45" s="1044"/>
      <c r="GJB45" s="1044"/>
      <c r="GJC45" s="1044"/>
      <c r="GJD45" s="1044"/>
      <c r="GJE45" s="1044"/>
      <c r="GJF45" s="1044"/>
      <c r="GJG45" s="1044"/>
      <c r="GJH45" s="1044"/>
      <c r="GJI45" s="1044"/>
      <c r="GJJ45" s="1044"/>
      <c r="GJK45" s="1044"/>
      <c r="GJL45" s="1044"/>
      <c r="GJM45" s="1044"/>
      <c r="GJN45" s="1044"/>
      <c r="GJO45" s="1044"/>
      <c r="GJP45" s="1044"/>
      <c r="GJQ45" s="1044"/>
      <c r="GJR45" s="1044"/>
      <c r="GJS45" s="1044"/>
      <c r="GJT45" s="1044"/>
      <c r="GJU45" s="1044"/>
      <c r="GJV45" s="1044"/>
      <c r="GJW45" s="1044"/>
      <c r="GJX45" s="1044"/>
      <c r="GJY45" s="1044"/>
      <c r="GJZ45" s="1044"/>
      <c r="GKA45" s="1044"/>
      <c r="GKB45" s="1044"/>
      <c r="GKC45" s="1044"/>
      <c r="GKD45" s="1044"/>
      <c r="GKE45" s="1044"/>
      <c r="GKF45" s="1044"/>
      <c r="GKG45" s="1044"/>
      <c r="GKH45" s="1044"/>
      <c r="GKI45" s="1044"/>
      <c r="GKJ45" s="1044"/>
      <c r="GKK45" s="1044"/>
      <c r="GKL45" s="1044"/>
      <c r="GKM45" s="1044"/>
      <c r="GKN45" s="1044"/>
      <c r="GKO45" s="1044"/>
      <c r="GKP45" s="1044"/>
      <c r="GKQ45" s="1044"/>
      <c r="GKR45" s="1044"/>
      <c r="GKS45" s="1044"/>
      <c r="GKT45" s="1044"/>
      <c r="GKU45" s="1044"/>
      <c r="GKV45" s="1044"/>
      <c r="GKW45" s="1044"/>
      <c r="GKX45" s="1044"/>
      <c r="GKY45" s="1044"/>
      <c r="GKZ45" s="1044"/>
      <c r="GLA45" s="1044"/>
      <c r="GLB45" s="1044"/>
      <c r="GLC45" s="1044"/>
      <c r="GLD45" s="1044"/>
      <c r="GLE45" s="1044"/>
      <c r="GLF45" s="1044"/>
      <c r="GLG45" s="1044"/>
      <c r="GLH45" s="1044"/>
      <c r="GLI45" s="1044"/>
      <c r="GLJ45" s="1044"/>
      <c r="GLK45" s="1044"/>
      <c r="GLL45" s="1044"/>
      <c r="GLM45" s="1044"/>
      <c r="GLN45" s="1044"/>
      <c r="GLO45" s="1044"/>
      <c r="GLP45" s="1044"/>
      <c r="GLQ45" s="1044"/>
      <c r="GLR45" s="1044"/>
      <c r="GLS45" s="1044"/>
      <c r="GLT45" s="1044"/>
      <c r="GLU45" s="1044"/>
      <c r="GLV45" s="1044"/>
      <c r="GLW45" s="1044"/>
      <c r="GLX45" s="1044"/>
      <c r="GLY45" s="1044"/>
      <c r="GLZ45" s="1044"/>
      <c r="GMA45" s="1044"/>
      <c r="GMB45" s="1044"/>
      <c r="GMC45" s="1044"/>
      <c r="GMD45" s="1044"/>
      <c r="GME45" s="1044"/>
      <c r="GMF45" s="1044"/>
      <c r="GMG45" s="1044"/>
      <c r="GMH45" s="1044"/>
      <c r="GMI45" s="1044"/>
      <c r="GMJ45" s="1044"/>
      <c r="GMK45" s="1044"/>
      <c r="GML45" s="1044"/>
      <c r="GMM45" s="1044"/>
      <c r="GMN45" s="1044"/>
      <c r="GMO45" s="1044"/>
      <c r="GMP45" s="1044"/>
      <c r="GMQ45" s="1044"/>
      <c r="GMR45" s="1044"/>
      <c r="GMS45" s="1044"/>
      <c r="GMT45" s="1044"/>
      <c r="GMU45" s="1044"/>
      <c r="GMV45" s="1044"/>
      <c r="GMW45" s="1044"/>
      <c r="GMX45" s="1044"/>
      <c r="GMY45" s="1044"/>
      <c r="GMZ45" s="1044"/>
      <c r="GNA45" s="1044"/>
      <c r="GNB45" s="1044"/>
      <c r="GNC45" s="1044"/>
      <c r="GND45" s="1044"/>
      <c r="GNE45" s="1044"/>
      <c r="GNF45" s="1044"/>
      <c r="GNG45" s="1044"/>
      <c r="GNH45" s="1044"/>
      <c r="GNI45" s="1044"/>
      <c r="GNJ45" s="1044"/>
      <c r="GNK45" s="1044"/>
      <c r="GNL45" s="1044"/>
      <c r="GNM45" s="1044"/>
      <c r="GNN45" s="1044"/>
      <c r="GNO45" s="1044"/>
      <c r="GNP45" s="1044"/>
      <c r="GNQ45" s="1044"/>
      <c r="GNR45" s="1044"/>
      <c r="GNS45" s="1044"/>
      <c r="GNT45" s="1044"/>
      <c r="GNU45" s="1044"/>
      <c r="GNV45" s="1044"/>
      <c r="GNW45" s="1044"/>
      <c r="GNX45" s="1044"/>
      <c r="GNY45" s="1044"/>
      <c r="GNZ45" s="1044"/>
      <c r="GOA45" s="1044"/>
      <c r="GOB45" s="1044"/>
      <c r="GOC45" s="1044"/>
      <c r="GOD45" s="1044"/>
      <c r="GOE45" s="1044"/>
      <c r="GOF45" s="1044"/>
      <c r="GOG45" s="1044"/>
      <c r="GOH45" s="1044"/>
      <c r="GOI45" s="1044"/>
      <c r="GOJ45" s="1044"/>
      <c r="GOK45" s="1044"/>
      <c r="GOL45" s="1044"/>
      <c r="GOM45" s="1044"/>
      <c r="GON45" s="1044"/>
      <c r="GOO45" s="1044"/>
      <c r="GOP45" s="1044"/>
      <c r="GOQ45" s="1044"/>
      <c r="GOR45" s="1044"/>
      <c r="GOS45" s="1044"/>
      <c r="GOT45" s="1044"/>
      <c r="GOU45" s="1044"/>
      <c r="GOV45" s="1044"/>
      <c r="GOW45" s="1044"/>
      <c r="GOX45" s="1044"/>
      <c r="GOY45" s="1044"/>
      <c r="GOZ45" s="1044"/>
      <c r="GPA45" s="1044"/>
      <c r="GPB45" s="1044"/>
      <c r="GPC45" s="1044"/>
      <c r="GPD45" s="1044"/>
      <c r="GPE45" s="1044"/>
      <c r="GPF45" s="1044"/>
      <c r="GPG45" s="1044"/>
      <c r="GPH45" s="1044"/>
      <c r="GPI45" s="1044"/>
      <c r="GPJ45" s="1044"/>
      <c r="GPK45" s="1044"/>
      <c r="GPL45" s="1044"/>
      <c r="GPM45" s="1044"/>
      <c r="GPN45" s="1044"/>
      <c r="GPO45" s="1044"/>
      <c r="GPP45" s="1044"/>
      <c r="GPQ45" s="1044"/>
      <c r="GPR45" s="1044"/>
      <c r="GPS45" s="1044"/>
      <c r="GPT45" s="1044"/>
      <c r="GPU45" s="1044"/>
      <c r="GPV45" s="1044"/>
      <c r="GPW45" s="1044"/>
      <c r="GPX45" s="1044"/>
      <c r="GPY45" s="1044"/>
      <c r="GPZ45" s="1044"/>
      <c r="GQA45" s="1044"/>
      <c r="GQB45" s="1044"/>
      <c r="GQC45" s="1044"/>
      <c r="GQD45" s="1044"/>
      <c r="GQE45" s="1044"/>
      <c r="GQF45" s="1044"/>
      <c r="GQG45" s="1044"/>
      <c r="GQH45" s="1044"/>
      <c r="GQI45" s="1044"/>
      <c r="GQJ45" s="1044"/>
      <c r="GQK45" s="1044"/>
      <c r="GQL45" s="1044"/>
      <c r="GQM45" s="1044"/>
      <c r="GQN45" s="1044"/>
      <c r="GQO45" s="1044"/>
      <c r="GQP45" s="1044"/>
      <c r="GQQ45" s="1044"/>
      <c r="GQR45" s="1044"/>
      <c r="GQS45" s="1044"/>
      <c r="GQT45" s="1044"/>
      <c r="GQU45" s="1044"/>
      <c r="GQV45" s="1044"/>
      <c r="GQW45" s="1044"/>
      <c r="GQX45" s="1044"/>
      <c r="GQY45" s="1044"/>
      <c r="GQZ45" s="1044"/>
      <c r="GRA45" s="1044"/>
      <c r="GRB45" s="1044"/>
      <c r="GRC45" s="1044"/>
      <c r="GRD45" s="1044"/>
      <c r="GRE45" s="1044"/>
      <c r="GRF45" s="1044"/>
      <c r="GRG45" s="1044"/>
      <c r="GRH45" s="1044"/>
      <c r="GRI45" s="1044"/>
      <c r="GRJ45" s="1044"/>
      <c r="GRK45" s="1044"/>
      <c r="GRL45" s="1044"/>
      <c r="GRM45" s="1044"/>
      <c r="GRN45" s="1044"/>
      <c r="GRO45" s="1044"/>
      <c r="GRP45" s="1044"/>
      <c r="GRQ45" s="1044"/>
      <c r="GRR45" s="1044"/>
      <c r="GRS45" s="1044"/>
      <c r="GRT45" s="1044"/>
      <c r="GRU45" s="1044"/>
      <c r="GRV45" s="1044"/>
      <c r="GRW45" s="1044"/>
      <c r="GRX45" s="1044"/>
      <c r="GRY45" s="1044"/>
      <c r="GRZ45" s="1044"/>
      <c r="GSA45" s="1044"/>
      <c r="GSB45" s="1044"/>
      <c r="GSC45" s="1044"/>
      <c r="GSD45" s="1044"/>
      <c r="GSE45" s="1044"/>
      <c r="GSF45" s="1044"/>
      <c r="GSG45" s="1044"/>
      <c r="GSH45" s="1044"/>
      <c r="GSI45" s="1044"/>
      <c r="GSJ45" s="1044"/>
      <c r="GSK45" s="1044"/>
      <c r="GSL45" s="1044"/>
      <c r="GSM45" s="1044"/>
      <c r="GSN45" s="1044"/>
      <c r="GSO45" s="1044"/>
      <c r="GSP45" s="1044"/>
      <c r="GSQ45" s="1044"/>
      <c r="GSR45" s="1044"/>
      <c r="GSS45" s="1044"/>
      <c r="GST45" s="1044"/>
      <c r="GSU45" s="1044"/>
      <c r="GSV45" s="1044"/>
      <c r="GSW45" s="1044"/>
      <c r="GSX45" s="1044"/>
      <c r="GSY45" s="1044"/>
      <c r="GSZ45" s="1044"/>
      <c r="GTA45" s="1044"/>
      <c r="GTB45" s="1044"/>
      <c r="GTC45" s="1044"/>
      <c r="GTD45" s="1044"/>
      <c r="GTE45" s="1044"/>
      <c r="GTF45" s="1044"/>
      <c r="GTG45" s="1044"/>
      <c r="GTH45" s="1044"/>
      <c r="GTI45" s="1044"/>
      <c r="GTJ45" s="1044"/>
      <c r="GTK45" s="1044"/>
      <c r="GTL45" s="1044"/>
      <c r="GTM45" s="1044"/>
      <c r="GTN45" s="1044"/>
      <c r="GTO45" s="1044"/>
      <c r="GTP45" s="1044"/>
      <c r="GTQ45" s="1044"/>
      <c r="GTR45" s="1044"/>
      <c r="GTS45" s="1044"/>
      <c r="GTT45" s="1044"/>
      <c r="GTU45" s="1044"/>
      <c r="GTV45" s="1044"/>
      <c r="GTW45" s="1044"/>
      <c r="GTX45" s="1044"/>
      <c r="GTY45" s="1044"/>
      <c r="GTZ45" s="1044"/>
      <c r="GUA45" s="1044"/>
      <c r="GUB45" s="1044"/>
      <c r="GUC45" s="1044"/>
      <c r="GUD45" s="1044"/>
      <c r="GUE45" s="1044"/>
      <c r="GUF45" s="1044"/>
      <c r="GUG45" s="1044"/>
      <c r="GUH45" s="1044"/>
      <c r="GUI45" s="1044"/>
      <c r="GUJ45" s="1044"/>
      <c r="GUK45" s="1044"/>
      <c r="GUL45" s="1044"/>
      <c r="GUM45" s="1044"/>
      <c r="GUN45" s="1044"/>
      <c r="GUO45" s="1044"/>
      <c r="GUP45" s="1044"/>
      <c r="GUQ45" s="1044"/>
      <c r="GUR45" s="1044"/>
      <c r="GUS45" s="1044"/>
      <c r="GUT45" s="1044"/>
      <c r="GUU45" s="1044"/>
      <c r="GUV45" s="1044"/>
      <c r="GUW45" s="1044"/>
      <c r="GUX45" s="1044"/>
      <c r="GUY45" s="1044"/>
      <c r="GUZ45" s="1044"/>
      <c r="GVA45" s="1044"/>
      <c r="GVB45" s="1044"/>
      <c r="GVC45" s="1044"/>
      <c r="GVD45" s="1044"/>
      <c r="GVE45" s="1044"/>
      <c r="GVF45" s="1044"/>
      <c r="GVG45" s="1044"/>
      <c r="GVH45" s="1044"/>
      <c r="GVI45" s="1044"/>
      <c r="GVJ45" s="1044"/>
      <c r="GVK45" s="1044"/>
      <c r="GVL45" s="1044"/>
      <c r="GVM45" s="1044"/>
      <c r="GVN45" s="1044"/>
      <c r="GVO45" s="1044"/>
      <c r="GVP45" s="1044"/>
      <c r="GVQ45" s="1044"/>
      <c r="GVR45" s="1044"/>
      <c r="GVS45" s="1044"/>
      <c r="GVT45" s="1044"/>
      <c r="GVU45" s="1044"/>
      <c r="GVV45" s="1044"/>
      <c r="GVW45" s="1044"/>
      <c r="GVX45" s="1044"/>
      <c r="GVY45" s="1044"/>
      <c r="GVZ45" s="1044"/>
      <c r="GWA45" s="1044"/>
      <c r="GWB45" s="1044"/>
      <c r="GWC45" s="1044"/>
      <c r="GWD45" s="1044"/>
      <c r="GWE45" s="1044"/>
      <c r="GWF45" s="1044"/>
      <c r="GWG45" s="1044"/>
      <c r="GWH45" s="1044"/>
      <c r="GWI45" s="1044"/>
      <c r="GWJ45" s="1044"/>
      <c r="GWK45" s="1044"/>
      <c r="GWL45" s="1044"/>
      <c r="GWM45" s="1044"/>
      <c r="GWN45" s="1044"/>
      <c r="GWO45" s="1044"/>
      <c r="GWP45" s="1044"/>
      <c r="GWQ45" s="1044"/>
      <c r="GWR45" s="1044"/>
      <c r="GWS45" s="1044"/>
      <c r="GWT45" s="1044"/>
      <c r="GWU45" s="1044"/>
      <c r="GWV45" s="1044"/>
      <c r="GWW45" s="1044"/>
      <c r="GWX45" s="1044"/>
      <c r="GWY45" s="1044"/>
      <c r="GWZ45" s="1044"/>
      <c r="GXA45" s="1044"/>
      <c r="GXB45" s="1044"/>
      <c r="GXC45" s="1044"/>
      <c r="GXD45" s="1044"/>
      <c r="GXE45" s="1044"/>
      <c r="GXF45" s="1044"/>
      <c r="GXG45" s="1044"/>
      <c r="GXH45" s="1044"/>
      <c r="GXI45" s="1044"/>
      <c r="GXJ45" s="1044"/>
      <c r="GXK45" s="1044"/>
      <c r="GXL45" s="1044"/>
      <c r="GXM45" s="1044"/>
      <c r="GXN45" s="1044"/>
      <c r="GXO45" s="1044"/>
      <c r="GXP45" s="1044"/>
      <c r="GXQ45" s="1044"/>
      <c r="GXR45" s="1044"/>
      <c r="GXS45" s="1044"/>
      <c r="GXT45" s="1044"/>
      <c r="GXU45" s="1044"/>
      <c r="GXV45" s="1044"/>
      <c r="GXW45" s="1044"/>
      <c r="GXX45" s="1044"/>
      <c r="GXY45" s="1044"/>
      <c r="GXZ45" s="1044"/>
      <c r="GYA45" s="1044"/>
      <c r="GYB45" s="1044"/>
      <c r="GYC45" s="1044"/>
      <c r="GYD45" s="1044"/>
      <c r="GYE45" s="1044"/>
      <c r="GYF45" s="1044"/>
      <c r="GYG45" s="1044"/>
      <c r="GYH45" s="1044"/>
      <c r="GYI45" s="1044"/>
      <c r="GYJ45" s="1044"/>
      <c r="GYK45" s="1044"/>
      <c r="GYL45" s="1044"/>
      <c r="GYM45" s="1044"/>
      <c r="GYN45" s="1044"/>
      <c r="GYO45" s="1044"/>
      <c r="GYP45" s="1044"/>
      <c r="GYQ45" s="1044"/>
      <c r="GYR45" s="1044"/>
      <c r="GYS45" s="1044"/>
      <c r="GYT45" s="1044"/>
      <c r="GYU45" s="1044"/>
      <c r="GYV45" s="1044"/>
      <c r="GYW45" s="1044"/>
      <c r="GYX45" s="1044"/>
      <c r="GYY45" s="1044"/>
      <c r="GYZ45" s="1044"/>
      <c r="GZA45" s="1044"/>
      <c r="GZB45" s="1044"/>
      <c r="GZC45" s="1044"/>
      <c r="GZD45" s="1044"/>
      <c r="GZE45" s="1044"/>
      <c r="GZF45" s="1044"/>
      <c r="GZG45" s="1044"/>
      <c r="GZH45" s="1044"/>
      <c r="GZI45" s="1044"/>
      <c r="GZJ45" s="1044"/>
      <c r="GZK45" s="1044"/>
      <c r="GZL45" s="1044"/>
      <c r="GZM45" s="1044"/>
      <c r="GZN45" s="1044"/>
      <c r="GZO45" s="1044"/>
      <c r="GZP45" s="1044"/>
      <c r="GZQ45" s="1044"/>
      <c r="GZR45" s="1044"/>
      <c r="GZS45" s="1044"/>
      <c r="GZT45" s="1044"/>
      <c r="GZU45" s="1044"/>
      <c r="GZV45" s="1044"/>
      <c r="GZW45" s="1044"/>
      <c r="GZX45" s="1044"/>
      <c r="GZY45" s="1044"/>
      <c r="GZZ45" s="1044"/>
      <c r="HAA45" s="1044"/>
      <c r="HAB45" s="1044"/>
      <c r="HAC45" s="1044"/>
      <c r="HAD45" s="1044"/>
      <c r="HAE45" s="1044"/>
      <c r="HAF45" s="1044"/>
      <c r="HAG45" s="1044"/>
      <c r="HAH45" s="1044"/>
      <c r="HAI45" s="1044"/>
      <c r="HAJ45" s="1044"/>
      <c r="HAK45" s="1044"/>
      <c r="HAL45" s="1044"/>
      <c r="HAM45" s="1044"/>
      <c r="HAN45" s="1044"/>
      <c r="HAO45" s="1044"/>
      <c r="HAP45" s="1044"/>
      <c r="HAQ45" s="1044"/>
      <c r="HAR45" s="1044"/>
      <c r="HAS45" s="1044"/>
      <c r="HAT45" s="1044"/>
      <c r="HAU45" s="1044"/>
      <c r="HAV45" s="1044"/>
      <c r="HAW45" s="1044"/>
      <c r="HAX45" s="1044"/>
      <c r="HAY45" s="1044"/>
      <c r="HAZ45" s="1044"/>
      <c r="HBA45" s="1044"/>
      <c r="HBB45" s="1044"/>
      <c r="HBC45" s="1044"/>
      <c r="HBD45" s="1044"/>
      <c r="HBE45" s="1044"/>
      <c r="HBF45" s="1044"/>
      <c r="HBG45" s="1044"/>
      <c r="HBH45" s="1044"/>
      <c r="HBI45" s="1044"/>
      <c r="HBJ45" s="1044"/>
      <c r="HBK45" s="1044"/>
      <c r="HBL45" s="1044"/>
      <c r="HBM45" s="1044"/>
      <c r="HBN45" s="1044"/>
      <c r="HBO45" s="1044"/>
      <c r="HBP45" s="1044"/>
      <c r="HBQ45" s="1044"/>
      <c r="HBR45" s="1044"/>
      <c r="HBS45" s="1044"/>
      <c r="HBT45" s="1044"/>
      <c r="HBU45" s="1044"/>
      <c r="HBV45" s="1044"/>
      <c r="HBW45" s="1044"/>
      <c r="HBX45" s="1044"/>
      <c r="HBY45" s="1044"/>
      <c r="HBZ45" s="1044"/>
      <c r="HCA45" s="1044"/>
      <c r="HCB45" s="1044"/>
      <c r="HCC45" s="1044"/>
      <c r="HCD45" s="1044"/>
      <c r="HCE45" s="1044"/>
      <c r="HCF45" s="1044"/>
      <c r="HCG45" s="1044"/>
      <c r="HCH45" s="1044"/>
      <c r="HCI45" s="1044"/>
      <c r="HCJ45" s="1044"/>
      <c r="HCK45" s="1044"/>
      <c r="HCL45" s="1044"/>
      <c r="HCM45" s="1044"/>
      <c r="HCN45" s="1044"/>
      <c r="HCO45" s="1044"/>
      <c r="HCP45" s="1044"/>
      <c r="HCQ45" s="1044"/>
      <c r="HCR45" s="1044"/>
      <c r="HCS45" s="1044"/>
      <c r="HCT45" s="1044"/>
      <c r="HCU45" s="1044"/>
      <c r="HCV45" s="1044"/>
      <c r="HCW45" s="1044"/>
      <c r="HCX45" s="1044"/>
      <c r="HCY45" s="1044"/>
      <c r="HCZ45" s="1044"/>
      <c r="HDA45" s="1044"/>
      <c r="HDB45" s="1044"/>
      <c r="HDC45" s="1044"/>
      <c r="HDD45" s="1044"/>
      <c r="HDE45" s="1044"/>
      <c r="HDF45" s="1044"/>
      <c r="HDG45" s="1044"/>
      <c r="HDH45" s="1044"/>
      <c r="HDI45" s="1044"/>
      <c r="HDJ45" s="1044"/>
      <c r="HDK45" s="1044"/>
      <c r="HDL45" s="1044"/>
      <c r="HDM45" s="1044"/>
      <c r="HDN45" s="1044"/>
      <c r="HDO45" s="1044"/>
      <c r="HDP45" s="1044"/>
      <c r="HDQ45" s="1044"/>
      <c r="HDR45" s="1044"/>
      <c r="HDS45" s="1044"/>
      <c r="HDT45" s="1044"/>
      <c r="HDU45" s="1044"/>
      <c r="HDV45" s="1044"/>
      <c r="HDW45" s="1044"/>
      <c r="HDX45" s="1044"/>
      <c r="HDY45" s="1044"/>
      <c r="HDZ45" s="1044"/>
      <c r="HEA45" s="1044"/>
      <c r="HEB45" s="1044"/>
      <c r="HEC45" s="1044"/>
      <c r="HED45" s="1044"/>
      <c r="HEE45" s="1044"/>
      <c r="HEF45" s="1044"/>
      <c r="HEG45" s="1044"/>
      <c r="HEH45" s="1044"/>
      <c r="HEI45" s="1044"/>
      <c r="HEJ45" s="1044"/>
      <c r="HEK45" s="1044"/>
      <c r="HEL45" s="1044"/>
      <c r="HEM45" s="1044"/>
      <c r="HEN45" s="1044"/>
      <c r="HEO45" s="1044"/>
      <c r="HEP45" s="1044"/>
      <c r="HEQ45" s="1044"/>
      <c r="HER45" s="1044"/>
      <c r="HES45" s="1044"/>
      <c r="HET45" s="1044"/>
      <c r="HEU45" s="1044"/>
      <c r="HEV45" s="1044"/>
      <c r="HEW45" s="1044"/>
      <c r="HEX45" s="1044"/>
      <c r="HEY45" s="1044"/>
      <c r="HEZ45" s="1044"/>
      <c r="HFA45" s="1044"/>
      <c r="HFB45" s="1044"/>
      <c r="HFC45" s="1044"/>
      <c r="HFD45" s="1044"/>
      <c r="HFE45" s="1044"/>
      <c r="HFF45" s="1044"/>
      <c r="HFG45" s="1044"/>
      <c r="HFH45" s="1044"/>
      <c r="HFI45" s="1044"/>
      <c r="HFJ45" s="1044"/>
      <c r="HFK45" s="1044"/>
      <c r="HFL45" s="1044"/>
      <c r="HFM45" s="1044"/>
      <c r="HFN45" s="1044"/>
      <c r="HFO45" s="1044"/>
      <c r="HFP45" s="1044"/>
      <c r="HFQ45" s="1044"/>
      <c r="HFR45" s="1044"/>
      <c r="HFS45" s="1044"/>
      <c r="HFT45" s="1044"/>
      <c r="HFU45" s="1044"/>
      <c r="HFV45" s="1044"/>
      <c r="HFW45" s="1044"/>
      <c r="HFX45" s="1044"/>
      <c r="HFY45" s="1044"/>
      <c r="HFZ45" s="1044"/>
      <c r="HGA45" s="1044"/>
      <c r="HGB45" s="1044"/>
      <c r="HGC45" s="1044"/>
      <c r="HGD45" s="1044"/>
      <c r="HGE45" s="1044"/>
      <c r="HGF45" s="1044"/>
      <c r="HGG45" s="1044"/>
      <c r="HGH45" s="1044"/>
      <c r="HGI45" s="1044"/>
      <c r="HGJ45" s="1044"/>
      <c r="HGK45" s="1044"/>
      <c r="HGL45" s="1044"/>
      <c r="HGM45" s="1044"/>
      <c r="HGN45" s="1044"/>
      <c r="HGO45" s="1044"/>
      <c r="HGP45" s="1044"/>
      <c r="HGQ45" s="1044"/>
      <c r="HGR45" s="1044"/>
      <c r="HGS45" s="1044"/>
      <c r="HGT45" s="1044"/>
      <c r="HGU45" s="1044"/>
      <c r="HGV45" s="1044"/>
      <c r="HGW45" s="1044"/>
      <c r="HGX45" s="1044"/>
      <c r="HGY45" s="1044"/>
      <c r="HGZ45" s="1044"/>
      <c r="HHA45" s="1044"/>
      <c r="HHB45" s="1044"/>
      <c r="HHC45" s="1044"/>
      <c r="HHD45" s="1044"/>
      <c r="HHE45" s="1044"/>
      <c r="HHF45" s="1044"/>
      <c r="HHG45" s="1044"/>
      <c r="HHH45" s="1044"/>
      <c r="HHI45" s="1044"/>
      <c r="HHJ45" s="1044"/>
      <c r="HHK45" s="1044"/>
      <c r="HHL45" s="1044"/>
      <c r="HHM45" s="1044"/>
      <c r="HHN45" s="1044"/>
      <c r="HHO45" s="1044"/>
      <c r="HHP45" s="1044"/>
      <c r="HHQ45" s="1044"/>
      <c r="HHR45" s="1044"/>
      <c r="HHS45" s="1044"/>
      <c r="HHT45" s="1044"/>
      <c r="HHU45" s="1044"/>
      <c r="HHV45" s="1044"/>
      <c r="HHW45" s="1044"/>
      <c r="HHX45" s="1044"/>
      <c r="HHY45" s="1044"/>
      <c r="HHZ45" s="1044"/>
      <c r="HIA45" s="1044"/>
      <c r="HIB45" s="1044"/>
      <c r="HIC45" s="1044"/>
      <c r="HID45" s="1044"/>
      <c r="HIE45" s="1044"/>
      <c r="HIF45" s="1044"/>
      <c r="HIG45" s="1044"/>
      <c r="HIH45" s="1044"/>
      <c r="HII45" s="1044"/>
      <c r="HIJ45" s="1044"/>
      <c r="HIK45" s="1044"/>
      <c r="HIL45" s="1044"/>
      <c r="HIM45" s="1044"/>
      <c r="HIN45" s="1044"/>
      <c r="HIO45" s="1044"/>
      <c r="HIP45" s="1044"/>
      <c r="HIQ45" s="1044"/>
      <c r="HIR45" s="1044"/>
      <c r="HIS45" s="1044"/>
      <c r="HIT45" s="1044"/>
      <c r="HIU45" s="1044"/>
      <c r="HIV45" s="1044"/>
      <c r="HIW45" s="1044"/>
      <c r="HIX45" s="1044"/>
      <c r="HIY45" s="1044"/>
      <c r="HIZ45" s="1044"/>
      <c r="HJA45" s="1044"/>
      <c r="HJB45" s="1044"/>
      <c r="HJC45" s="1044"/>
      <c r="HJD45" s="1044"/>
      <c r="HJE45" s="1044"/>
      <c r="HJF45" s="1044"/>
      <c r="HJG45" s="1044"/>
      <c r="HJH45" s="1044"/>
      <c r="HJI45" s="1044"/>
      <c r="HJJ45" s="1044"/>
      <c r="HJK45" s="1044"/>
      <c r="HJL45" s="1044"/>
      <c r="HJM45" s="1044"/>
      <c r="HJN45" s="1044"/>
      <c r="HJO45" s="1044"/>
      <c r="HJP45" s="1044"/>
      <c r="HJQ45" s="1044"/>
      <c r="HJR45" s="1044"/>
      <c r="HJS45" s="1044"/>
      <c r="HJT45" s="1044"/>
      <c r="HJU45" s="1044"/>
      <c r="HJV45" s="1044"/>
      <c r="HJW45" s="1044"/>
      <c r="HJX45" s="1044"/>
      <c r="HJY45" s="1044"/>
      <c r="HJZ45" s="1044"/>
      <c r="HKA45" s="1044"/>
      <c r="HKB45" s="1044"/>
      <c r="HKC45" s="1044"/>
      <c r="HKD45" s="1044"/>
      <c r="HKE45" s="1044"/>
      <c r="HKF45" s="1044"/>
      <c r="HKG45" s="1044"/>
      <c r="HKH45" s="1044"/>
      <c r="HKI45" s="1044"/>
      <c r="HKJ45" s="1044"/>
      <c r="HKK45" s="1044"/>
      <c r="HKL45" s="1044"/>
      <c r="HKM45" s="1044"/>
      <c r="HKN45" s="1044"/>
      <c r="HKO45" s="1044"/>
      <c r="HKP45" s="1044"/>
      <c r="HKQ45" s="1044"/>
      <c r="HKR45" s="1044"/>
      <c r="HKS45" s="1044"/>
      <c r="HKT45" s="1044"/>
      <c r="HKU45" s="1044"/>
      <c r="HKV45" s="1044"/>
      <c r="HKW45" s="1044"/>
      <c r="HKX45" s="1044"/>
      <c r="HKY45" s="1044"/>
      <c r="HKZ45" s="1044"/>
      <c r="HLA45" s="1044"/>
      <c r="HLB45" s="1044"/>
      <c r="HLC45" s="1044"/>
      <c r="HLD45" s="1044"/>
      <c r="HLE45" s="1044"/>
      <c r="HLF45" s="1044"/>
      <c r="HLG45" s="1044"/>
      <c r="HLH45" s="1044"/>
      <c r="HLI45" s="1044"/>
      <c r="HLJ45" s="1044"/>
      <c r="HLK45" s="1044"/>
      <c r="HLL45" s="1044"/>
      <c r="HLM45" s="1044"/>
      <c r="HLN45" s="1044"/>
      <c r="HLO45" s="1044"/>
      <c r="HLP45" s="1044"/>
      <c r="HLQ45" s="1044"/>
      <c r="HLR45" s="1044"/>
      <c r="HLS45" s="1044"/>
      <c r="HLT45" s="1044"/>
      <c r="HLU45" s="1044"/>
      <c r="HLV45" s="1044"/>
      <c r="HLW45" s="1044"/>
      <c r="HLX45" s="1044"/>
      <c r="HLY45" s="1044"/>
      <c r="HLZ45" s="1044"/>
      <c r="HMA45" s="1044"/>
      <c r="HMB45" s="1044"/>
      <c r="HMC45" s="1044"/>
      <c r="HMD45" s="1044"/>
      <c r="HME45" s="1044"/>
      <c r="HMF45" s="1044"/>
      <c r="HMG45" s="1044"/>
      <c r="HMH45" s="1044"/>
      <c r="HMI45" s="1044"/>
      <c r="HMJ45" s="1044"/>
      <c r="HMK45" s="1044"/>
      <c r="HML45" s="1044"/>
      <c r="HMM45" s="1044"/>
      <c r="HMN45" s="1044"/>
      <c r="HMO45" s="1044"/>
      <c r="HMP45" s="1044"/>
      <c r="HMQ45" s="1044"/>
      <c r="HMR45" s="1044"/>
      <c r="HMS45" s="1044"/>
      <c r="HMT45" s="1044"/>
      <c r="HMU45" s="1044"/>
      <c r="HMV45" s="1044"/>
      <c r="HMW45" s="1044"/>
      <c r="HMX45" s="1044"/>
      <c r="HMY45" s="1044"/>
      <c r="HMZ45" s="1044"/>
      <c r="HNA45" s="1044"/>
      <c r="HNB45" s="1044"/>
      <c r="HNC45" s="1044"/>
      <c r="HND45" s="1044"/>
      <c r="HNE45" s="1044"/>
      <c r="HNF45" s="1044"/>
      <c r="HNG45" s="1044"/>
      <c r="HNH45" s="1044"/>
      <c r="HNI45" s="1044"/>
      <c r="HNJ45" s="1044"/>
      <c r="HNK45" s="1044"/>
      <c r="HNL45" s="1044"/>
      <c r="HNM45" s="1044"/>
      <c r="HNN45" s="1044"/>
      <c r="HNO45" s="1044"/>
      <c r="HNP45" s="1044"/>
      <c r="HNQ45" s="1044"/>
      <c r="HNR45" s="1044"/>
      <c r="HNS45" s="1044"/>
      <c r="HNT45" s="1044"/>
      <c r="HNU45" s="1044"/>
      <c r="HNV45" s="1044"/>
      <c r="HNW45" s="1044"/>
      <c r="HNX45" s="1044"/>
      <c r="HNY45" s="1044"/>
      <c r="HNZ45" s="1044"/>
      <c r="HOA45" s="1044"/>
      <c r="HOB45" s="1044"/>
      <c r="HOC45" s="1044"/>
      <c r="HOD45" s="1044"/>
      <c r="HOE45" s="1044"/>
      <c r="HOF45" s="1044"/>
      <c r="HOG45" s="1044"/>
      <c r="HOH45" s="1044"/>
      <c r="HOI45" s="1044"/>
      <c r="HOJ45" s="1044"/>
      <c r="HOK45" s="1044"/>
      <c r="HOL45" s="1044"/>
      <c r="HOM45" s="1044"/>
      <c r="HON45" s="1044"/>
      <c r="HOO45" s="1044"/>
      <c r="HOP45" s="1044"/>
      <c r="HOQ45" s="1044"/>
      <c r="HOR45" s="1044"/>
      <c r="HOS45" s="1044"/>
      <c r="HOT45" s="1044"/>
      <c r="HOU45" s="1044"/>
      <c r="HOV45" s="1044"/>
      <c r="HOW45" s="1044"/>
      <c r="HOX45" s="1044"/>
      <c r="HOY45" s="1044"/>
      <c r="HOZ45" s="1044"/>
      <c r="HPA45" s="1044"/>
      <c r="HPB45" s="1044"/>
      <c r="HPC45" s="1044"/>
      <c r="HPD45" s="1044"/>
      <c r="HPE45" s="1044"/>
      <c r="HPF45" s="1044"/>
      <c r="HPG45" s="1044"/>
      <c r="HPH45" s="1044"/>
      <c r="HPI45" s="1044"/>
      <c r="HPJ45" s="1044"/>
      <c r="HPK45" s="1044"/>
      <c r="HPL45" s="1044"/>
      <c r="HPM45" s="1044"/>
      <c r="HPN45" s="1044"/>
      <c r="HPO45" s="1044"/>
      <c r="HPP45" s="1044"/>
      <c r="HPQ45" s="1044"/>
      <c r="HPR45" s="1044"/>
      <c r="HPS45" s="1044"/>
      <c r="HPT45" s="1044"/>
      <c r="HPU45" s="1044"/>
      <c r="HPV45" s="1044"/>
      <c r="HPW45" s="1044"/>
      <c r="HPX45" s="1044"/>
      <c r="HPY45" s="1044"/>
      <c r="HPZ45" s="1044"/>
      <c r="HQA45" s="1044"/>
      <c r="HQB45" s="1044"/>
      <c r="HQC45" s="1044"/>
      <c r="HQD45" s="1044"/>
      <c r="HQE45" s="1044"/>
      <c r="HQF45" s="1044"/>
      <c r="HQG45" s="1044"/>
      <c r="HQH45" s="1044"/>
      <c r="HQI45" s="1044"/>
      <c r="HQJ45" s="1044"/>
      <c r="HQK45" s="1044"/>
      <c r="HQL45" s="1044"/>
      <c r="HQM45" s="1044"/>
      <c r="HQN45" s="1044"/>
      <c r="HQO45" s="1044"/>
      <c r="HQP45" s="1044"/>
      <c r="HQQ45" s="1044"/>
      <c r="HQR45" s="1044"/>
      <c r="HQS45" s="1044"/>
      <c r="HQT45" s="1044"/>
      <c r="HQU45" s="1044"/>
      <c r="HQV45" s="1044"/>
      <c r="HQW45" s="1044"/>
      <c r="HQX45" s="1044"/>
      <c r="HQY45" s="1044"/>
      <c r="HQZ45" s="1044"/>
      <c r="HRA45" s="1044"/>
      <c r="HRB45" s="1044"/>
      <c r="HRC45" s="1044"/>
      <c r="HRD45" s="1044"/>
      <c r="HRE45" s="1044"/>
      <c r="HRF45" s="1044"/>
      <c r="HRG45" s="1044"/>
      <c r="HRH45" s="1044"/>
      <c r="HRI45" s="1044"/>
      <c r="HRJ45" s="1044"/>
      <c r="HRK45" s="1044"/>
      <c r="HRL45" s="1044"/>
      <c r="HRM45" s="1044"/>
      <c r="HRN45" s="1044"/>
      <c r="HRO45" s="1044"/>
      <c r="HRP45" s="1044"/>
      <c r="HRQ45" s="1044"/>
      <c r="HRR45" s="1044"/>
      <c r="HRS45" s="1044"/>
      <c r="HRT45" s="1044"/>
      <c r="HRU45" s="1044"/>
      <c r="HRV45" s="1044"/>
      <c r="HRW45" s="1044"/>
      <c r="HRX45" s="1044"/>
      <c r="HRY45" s="1044"/>
      <c r="HRZ45" s="1044"/>
      <c r="HSA45" s="1044"/>
      <c r="HSB45" s="1044"/>
      <c r="HSC45" s="1044"/>
      <c r="HSD45" s="1044"/>
      <c r="HSE45" s="1044"/>
      <c r="HSF45" s="1044"/>
      <c r="HSG45" s="1044"/>
      <c r="HSH45" s="1044"/>
      <c r="HSI45" s="1044"/>
      <c r="HSJ45" s="1044"/>
      <c r="HSK45" s="1044"/>
      <c r="HSL45" s="1044"/>
      <c r="HSM45" s="1044"/>
      <c r="HSN45" s="1044"/>
      <c r="HSO45" s="1044"/>
      <c r="HSP45" s="1044"/>
      <c r="HSQ45" s="1044"/>
      <c r="HSR45" s="1044"/>
      <c r="HSS45" s="1044"/>
      <c r="HST45" s="1044"/>
      <c r="HSU45" s="1044"/>
      <c r="HSV45" s="1044"/>
      <c r="HSW45" s="1044"/>
      <c r="HSX45" s="1044"/>
      <c r="HSY45" s="1044"/>
      <c r="HSZ45" s="1044"/>
      <c r="HTA45" s="1044"/>
      <c r="HTB45" s="1044"/>
      <c r="HTC45" s="1044"/>
      <c r="HTD45" s="1044"/>
      <c r="HTE45" s="1044"/>
      <c r="HTF45" s="1044"/>
      <c r="HTG45" s="1044"/>
      <c r="HTH45" s="1044"/>
      <c r="HTI45" s="1044"/>
      <c r="HTJ45" s="1044"/>
      <c r="HTK45" s="1044"/>
      <c r="HTL45" s="1044"/>
      <c r="HTM45" s="1044"/>
      <c r="HTN45" s="1044"/>
      <c r="HTO45" s="1044"/>
      <c r="HTP45" s="1044"/>
      <c r="HTQ45" s="1044"/>
      <c r="HTR45" s="1044"/>
      <c r="HTS45" s="1044"/>
      <c r="HTT45" s="1044"/>
      <c r="HTU45" s="1044"/>
      <c r="HTV45" s="1044"/>
      <c r="HTW45" s="1044"/>
      <c r="HTX45" s="1044"/>
      <c r="HTY45" s="1044"/>
      <c r="HTZ45" s="1044"/>
      <c r="HUA45" s="1044"/>
      <c r="HUB45" s="1044"/>
      <c r="HUC45" s="1044"/>
      <c r="HUD45" s="1044"/>
      <c r="HUE45" s="1044"/>
      <c r="HUF45" s="1044"/>
      <c r="HUG45" s="1044"/>
      <c r="HUH45" s="1044"/>
      <c r="HUI45" s="1044"/>
      <c r="HUJ45" s="1044"/>
      <c r="HUK45" s="1044"/>
      <c r="HUL45" s="1044"/>
      <c r="HUM45" s="1044"/>
      <c r="HUN45" s="1044"/>
      <c r="HUO45" s="1044"/>
      <c r="HUP45" s="1044"/>
      <c r="HUQ45" s="1044"/>
      <c r="HUR45" s="1044"/>
      <c r="HUS45" s="1044"/>
      <c r="HUT45" s="1044"/>
      <c r="HUU45" s="1044"/>
      <c r="HUV45" s="1044"/>
      <c r="HUW45" s="1044"/>
      <c r="HUX45" s="1044"/>
      <c r="HUY45" s="1044"/>
      <c r="HUZ45" s="1044"/>
      <c r="HVA45" s="1044"/>
      <c r="HVB45" s="1044"/>
      <c r="HVC45" s="1044"/>
      <c r="HVD45" s="1044"/>
      <c r="HVE45" s="1044"/>
      <c r="HVF45" s="1044"/>
      <c r="HVG45" s="1044"/>
      <c r="HVH45" s="1044"/>
      <c r="HVI45" s="1044"/>
      <c r="HVJ45" s="1044"/>
      <c r="HVK45" s="1044"/>
      <c r="HVL45" s="1044"/>
      <c r="HVM45" s="1044"/>
      <c r="HVN45" s="1044"/>
      <c r="HVO45" s="1044"/>
      <c r="HVP45" s="1044"/>
      <c r="HVQ45" s="1044"/>
      <c r="HVR45" s="1044"/>
      <c r="HVS45" s="1044"/>
      <c r="HVT45" s="1044"/>
      <c r="HVU45" s="1044"/>
      <c r="HVV45" s="1044"/>
      <c r="HVW45" s="1044"/>
      <c r="HVX45" s="1044"/>
      <c r="HVY45" s="1044"/>
      <c r="HVZ45" s="1044"/>
      <c r="HWA45" s="1044"/>
      <c r="HWB45" s="1044"/>
      <c r="HWC45" s="1044"/>
      <c r="HWD45" s="1044"/>
      <c r="HWE45" s="1044"/>
      <c r="HWF45" s="1044"/>
      <c r="HWG45" s="1044"/>
      <c r="HWH45" s="1044"/>
      <c r="HWI45" s="1044"/>
      <c r="HWJ45" s="1044"/>
      <c r="HWK45" s="1044"/>
      <c r="HWL45" s="1044"/>
      <c r="HWM45" s="1044"/>
      <c r="HWN45" s="1044"/>
      <c r="HWO45" s="1044"/>
      <c r="HWP45" s="1044"/>
      <c r="HWQ45" s="1044"/>
      <c r="HWR45" s="1044"/>
      <c r="HWS45" s="1044"/>
      <c r="HWT45" s="1044"/>
      <c r="HWU45" s="1044"/>
      <c r="HWV45" s="1044"/>
      <c r="HWW45" s="1044"/>
      <c r="HWX45" s="1044"/>
      <c r="HWY45" s="1044"/>
      <c r="HWZ45" s="1044"/>
      <c r="HXA45" s="1044"/>
      <c r="HXB45" s="1044"/>
      <c r="HXC45" s="1044"/>
      <c r="HXD45" s="1044"/>
      <c r="HXE45" s="1044"/>
      <c r="HXF45" s="1044"/>
      <c r="HXG45" s="1044"/>
      <c r="HXH45" s="1044"/>
      <c r="HXI45" s="1044"/>
      <c r="HXJ45" s="1044"/>
      <c r="HXK45" s="1044"/>
      <c r="HXL45" s="1044"/>
      <c r="HXM45" s="1044"/>
      <c r="HXN45" s="1044"/>
      <c r="HXO45" s="1044"/>
      <c r="HXP45" s="1044"/>
      <c r="HXQ45" s="1044"/>
      <c r="HXR45" s="1044"/>
      <c r="HXS45" s="1044"/>
      <c r="HXT45" s="1044"/>
      <c r="HXU45" s="1044"/>
      <c r="HXV45" s="1044"/>
      <c r="HXW45" s="1044"/>
      <c r="HXX45" s="1044"/>
      <c r="HXY45" s="1044"/>
      <c r="HXZ45" s="1044"/>
      <c r="HYA45" s="1044"/>
      <c r="HYB45" s="1044"/>
      <c r="HYC45" s="1044"/>
      <c r="HYD45" s="1044"/>
      <c r="HYE45" s="1044"/>
      <c r="HYF45" s="1044"/>
      <c r="HYG45" s="1044"/>
      <c r="HYH45" s="1044"/>
      <c r="HYI45" s="1044"/>
      <c r="HYJ45" s="1044"/>
      <c r="HYK45" s="1044"/>
      <c r="HYL45" s="1044"/>
      <c r="HYM45" s="1044"/>
      <c r="HYN45" s="1044"/>
      <c r="HYO45" s="1044"/>
      <c r="HYP45" s="1044"/>
      <c r="HYQ45" s="1044"/>
      <c r="HYR45" s="1044"/>
      <c r="HYS45" s="1044"/>
      <c r="HYT45" s="1044"/>
      <c r="HYU45" s="1044"/>
      <c r="HYV45" s="1044"/>
      <c r="HYW45" s="1044"/>
      <c r="HYX45" s="1044"/>
      <c r="HYY45" s="1044"/>
      <c r="HYZ45" s="1044"/>
      <c r="HZA45" s="1044"/>
      <c r="HZB45" s="1044"/>
      <c r="HZC45" s="1044"/>
      <c r="HZD45" s="1044"/>
      <c r="HZE45" s="1044"/>
      <c r="HZF45" s="1044"/>
      <c r="HZG45" s="1044"/>
      <c r="HZH45" s="1044"/>
      <c r="HZI45" s="1044"/>
      <c r="HZJ45" s="1044"/>
      <c r="HZK45" s="1044"/>
      <c r="HZL45" s="1044"/>
      <c r="HZM45" s="1044"/>
      <c r="HZN45" s="1044"/>
      <c r="HZO45" s="1044"/>
      <c r="HZP45" s="1044"/>
      <c r="HZQ45" s="1044"/>
      <c r="HZR45" s="1044"/>
      <c r="HZS45" s="1044"/>
      <c r="HZT45" s="1044"/>
      <c r="HZU45" s="1044"/>
      <c r="HZV45" s="1044"/>
      <c r="HZW45" s="1044"/>
      <c r="HZX45" s="1044"/>
      <c r="HZY45" s="1044"/>
      <c r="HZZ45" s="1044"/>
      <c r="IAA45" s="1044"/>
      <c r="IAB45" s="1044"/>
      <c r="IAC45" s="1044"/>
      <c r="IAD45" s="1044"/>
      <c r="IAE45" s="1044"/>
      <c r="IAF45" s="1044"/>
      <c r="IAG45" s="1044"/>
      <c r="IAH45" s="1044"/>
      <c r="IAI45" s="1044"/>
      <c r="IAJ45" s="1044"/>
      <c r="IAK45" s="1044"/>
      <c r="IAL45" s="1044"/>
      <c r="IAM45" s="1044"/>
      <c r="IAN45" s="1044"/>
      <c r="IAO45" s="1044"/>
      <c r="IAP45" s="1044"/>
      <c r="IAQ45" s="1044"/>
      <c r="IAR45" s="1044"/>
      <c r="IAS45" s="1044"/>
      <c r="IAT45" s="1044"/>
      <c r="IAU45" s="1044"/>
      <c r="IAV45" s="1044"/>
      <c r="IAW45" s="1044"/>
      <c r="IAX45" s="1044"/>
      <c r="IAY45" s="1044"/>
      <c r="IAZ45" s="1044"/>
      <c r="IBA45" s="1044"/>
      <c r="IBB45" s="1044"/>
      <c r="IBC45" s="1044"/>
      <c r="IBD45" s="1044"/>
      <c r="IBE45" s="1044"/>
      <c r="IBF45" s="1044"/>
      <c r="IBG45" s="1044"/>
      <c r="IBH45" s="1044"/>
      <c r="IBI45" s="1044"/>
      <c r="IBJ45" s="1044"/>
      <c r="IBK45" s="1044"/>
      <c r="IBL45" s="1044"/>
      <c r="IBM45" s="1044"/>
      <c r="IBN45" s="1044"/>
      <c r="IBO45" s="1044"/>
      <c r="IBP45" s="1044"/>
      <c r="IBQ45" s="1044"/>
      <c r="IBR45" s="1044"/>
      <c r="IBS45" s="1044"/>
      <c r="IBT45" s="1044"/>
      <c r="IBU45" s="1044"/>
      <c r="IBV45" s="1044"/>
      <c r="IBW45" s="1044"/>
      <c r="IBX45" s="1044"/>
      <c r="IBY45" s="1044"/>
      <c r="IBZ45" s="1044"/>
      <c r="ICA45" s="1044"/>
      <c r="ICB45" s="1044"/>
      <c r="ICC45" s="1044"/>
      <c r="ICD45" s="1044"/>
      <c r="ICE45" s="1044"/>
      <c r="ICF45" s="1044"/>
      <c r="ICG45" s="1044"/>
      <c r="ICH45" s="1044"/>
      <c r="ICI45" s="1044"/>
      <c r="ICJ45" s="1044"/>
      <c r="ICK45" s="1044"/>
      <c r="ICL45" s="1044"/>
      <c r="ICM45" s="1044"/>
      <c r="ICN45" s="1044"/>
      <c r="ICO45" s="1044"/>
      <c r="ICP45" s="1044"/>
      <c r="ICQ45" s="1044"/>
      <c r="ICR45" s="1044"/>
      <c r="ICS45" s="1044"/>
      <c r="ICT45" s="1044"/>
      <c r="ICU45" s="1044"/>
      <c r="ICV45" s="1044"/>
      <c r="ICW45" s="1044"/>
      <c r="ICX45" s="1044"/>
      <c r="ICY45" s="1044"/>
      <c r="ICZ45" s="1044"/>
      <c r="IDA45" s="1044"/>
      <c r="IDB45" s="1044"/>
      <c r="IDC45" s="1044"/>
      <c r="IDD45" s="1044"/>
      <c r="IDE45" s="1044"/>
      <c r="IDF45" s="1044"/>
      <c r="IDG45" s="1044"/>
      <c r="IDH45" s="1044"/>
      <c r="IDI45" s="1044"/>
      <c r="IDJ45" s="1044"/>
      <c r="IDK45" s="1044"/>
      <c r="IDL45" s="1044"/>
      <c r="IDM45" s="1044"/>
      <c r="IDN45" s="1044"/>
      <c r="IDO45" s="1044"/>
      <c r="IDP45" s="1044"/>
      <c r="IDQ45" s="1044"/>
      <c r="IDR45" s="1044"/>
      <c r="IDS45" s="1044"/>
      <c r="IDT45" s="1044"/>
      <c r="IDU45" s="1044"/>
      <c r="IDV45" s="1044"/>
      <c r="IDW45" s="1044"/>
      <c r="IDX45" s="1044"/>
      <c r="IDY45" s="1044"/>
      <c r="IDZ45" s="1044"/>
      <c r="IEA45" s="1044"/>
      <c r="IEB45" s="1044"/>
      <c r="IEC45" s="1044"/>
      <c r="IED45" s="1044"/>
      <c r="IEE45" s="1044"/>
      <c r="IEF45" s="1044"/>
      <c r="IEG45" s="1044"/>
      <c r="IEH45" s="1044"/>
      <c r="IEI45" s="1044"/>
      <c r="IEJ45" s="1044"/>
      <c r="IEK45" s="1044"/>
      <c r="IEL45" s="1044"/>
      <c r="IEM45" s="1044"/>
      <c r="IEN45" s="1044"/>
      <c r="IEO45" s="1044"/>
      <c r="IEP45" s="1044"/>
      <c r="IEQ45" s="1044"/>
      <c r="IER45" s="1044"/>
      <c r="IES45" s="1044"/>
      <c r="IET45" s="1044"/>
      <c r="IEU45" s="1044"/>
      <c r="IEV45" s="1044"/>
      <c r="IEW45" s="1044"/>
      <c r="IEX45" s="1044"/>
      <c r="IEY45" s="1044"/>
      <c r="IEZ45" s="1044"/>
      <c r="IFA45" s="1044"/>
      <c r="IFB45" s="1044"/>
      <c r="IFC45" s="1044"/>
      <c r="IFD45" s="1044"/>
      <c r="IFE45" s="1044"/>
      <c r="IFF45" s="1044"/>
      <c r="IFG45" s="1044"/>
      <c r="IFH45" s="1044"/>
      <c r="IFI45" s="1044"/>
      <c r="IFJ45" s="1044"/>
      <c r="IFK45" s="1044"/>
      <c r="IFL45" s="1044"/>
      <c r="IFM45" s="1044"/>
      <c r="IFN45" s="1044"/>
      <c r="IFO45" s="1044"/>
      <c r="IFP45" s="1044"/>
      <c r="IFQ45" s="1044"/>
      <c r="IFR45" s="1044"/>
      <c r="IFS45" s="1044"/>
      <c r="IFT45" s="1044"/>
      <c r="IFU45" s="1044"/>
      <c r="IFV45" s="1044"/>
      <c r="IFW45" s="1044"/>
      <c r="IFX45" s="1044"/>
      <c r="IFY45" s="1044"/>
      <c r="IFZ45" s="1044"/>
      <c r="IGA45" s="1044"/>
      <c r="IGB45" s="1044"/>
      <c r="IGC45" s="1044"/>
      <c r="IGD45" s="1044"/>
      <c r="IGE45" s="1044"/>
      <c r="IGF45" s="1044"/>
      <c r="IGG45" s="1044"/>
      <c r="IGH45" s="1044"/>
      <c r="IGI45" s="1044"/>
      <c r="IGJ45" s="1044"/>
      <c r="IGK45" s="1044"/>
      <c r="IGL45" s="1044"/>
      <c r="IGM45" s="1044"/>
      <c r="IGN45" s="1044"/>
      <c r="IGO45" s="1044"/>
      <c r="IGP45" s="1044"/>
      <c r="IGQ45" s="1044"/>
      <c r="IGR45" s="1044"/>
      <c r="IGS45" s="1044"/>
      <c r="IGT45" s="1044"/>
      <c r="IGU45" s="1044"/>
      <c r="IGV45" s="1044"/>
      <c r="IGW45" s="1044"/>
      <c r="IGX45" s="1044"/>
      <c r="IGY45" s="1044"/>
      <c r="IGZ45" s="1044"/>
      <c r="IHA45" s="1044"/>
      <c r="IHB45" s="1044"/>
      <c r="IHC45" s="1044"/>
      <c r="IHD45" s="1044"/>
      <c r="IHE45" s="1044"/>
      <c r="IHF45" s="1044"/>
      <c r="IHG45" s="1044"/>
      <c r="IHH45" s="1044"/>
      <c r="IHI45" s="1044"/>
      <c r="IHJ45" s="1044"/>
      <c r="IHK45" s="1044"/>
      <c r="IHL45" s="1044"/>
      <c r="IHM45" s="1044"/>
      <c r="IHN45" s="1044"/>
      <c r="IHO45" s="1044"/>
      <c r="IHP45" s="1044"/>
      <c r="IHQ45" s="1044"/>
      <c r="IHR45" s="1044"/>
      <c r="IHS45" s="1044"/>
      <c r="IHT45" s="1044"/>
      <c r="IHU45" s="1044"/>
      <c r="IHV45" s="1044"/>
      <c r="IHW45" s="1044"/>
      <c r="IHX45" s="1044"/>
      <c r="IHY45" s="1044"/>
      <c r="IHZ45" s="1044"/>
      <c r="IIA45" s="1044"/>
      <c r="IIB45" s="1044"/>
      <c r="IIC45" s="1044"/>
      <c r="IID45" s="1044"/>
      <c r="IIE45" s="1044"/>
      <c r="IIF45" s="1044"/>
      <c r="IIG45" s="1044"/>
      <c r="IIH45" s="1044"/>
      <c r="III45" s="1044"/>
      <c r="IIJ45" s="1044"/>
      <c r="IIK45" s="1044"/>
      <c r="IIL45" s="1044"/>
      <c r="IIM45" s="1044"/>
      <c r="IIN45" s="1044"/>
      <c r="IIO45" s="1044"/>
      <c r="IIP45" s="1044"/>
      <c r="IIQ45" s="1044"/>
      <c r="IIR45" s="1044"/>
      <c r="IIS45" s="1044"/>
      <c r="IIT45" s="1044"/>
      <c r="IIU45" s="1044"/>
      <c r="IIV45" s="1044"/>
      <c r="IIW45" s="1044"/>
      <c r="IIX45" s="1044"/>
      <c r="IIY45" s="1044"/>
      <c r="IIZ45" s="1044"/>
      <c r="IJA45" s="1044"/>
      <c r="IJB45" s="1044"/>
      <c r="IJC45" s="1044"/>
      <c r="IJD45" s="1044"/>
      <c r="IJE45" s="1044"/>
      <c r="IJF45" s="1044"/>
      <c r="IJG45" s="1044"/>
      <c r="IJH45" s="1044"/>
      <c r="IJI45" s="1044"/>
      <c r="IJJ45" s="1044"/>
      <c r="IJK45" s="1044"/>
      <c r="IJL45" s="1044"/>
      <c r="IJM45" s="1044"/>
      <c r="IJN45" s="1044"/>
      <c r="IJO45" s="1044"/>
      <c r="IJP45" s="1044"/>
      <c r="IJQ45" s="1044"/>
      <c r="IJR45" s="1044"/>
      <c r="IJS45" s="1044"/>
      <c r="IJT45" s="1044"/>
      <c r="IJU45" s="1044"/>
      <c r="IJV45" s="1044"/>
      <c r="IJW45" s="1044"/>
      <c r="IJX45" s="1044"/>
      <c r="IJY45" s="1044"/>
      <c r="IJZ45" s="1044"/>
      <c r="IKA45" s="1044"/>
      <c r="IKB45" s="1044"/>
      <c r="IKC45" s="1044"/>
      <c r="IKD45" s="1044"/>
      <c r="IKE45" s="1044"/>
      <c r="IKF45" s="1044"/>
      <c r="IKG45" s="1044"/>
      <c r="IKH45" s="1044"/>
      <c r="IKI45" s="1044"/>
      <c r="IKJ45" s="1044"/>
      <c r="IKK45" s="1044"/>
      <c r="IKL45" s="1044"/>
      <c r="IKM45" s="1044"/>
      <c r="IKN45" s="1044"/>
      <c r="IKO45" s="1044"/>
      <c r="IKP45" s="1044"/>
      <c r="IKQ45" s="1044"/>
      <c r="IKR45" s="1044"/>
      <c r="IKS45" s="1044"/>
      <c r="IKT45" s="1044"/>
      <c r="IKU45" s="1044"/>
      <c r="IKV45" s="1044"/>
      <c r="IKW45" s="1044"/>
      <c r="IKX45" s="1044"/>
      <c r="IKY45" s="1044"/>
      <c r="IKZ45" s="1044"/>
      <c r="ILA45" s="1044"/>
      <c r="ILB45" s="1044"/>
      <c r="ILC45" s="1044"/>
      <c r="ILD45" s="1044"/>
      <c r="ILE45" s="1044"/>
      <c r="ILF45" s="1044"/>
      <c r="ILG45" s="1044"/>
      <c r="ILH45" s="1044"/>
      <c r="ILI45" s="1044"/>
      <c r="ILJ45" s="1044"/>
      <c r="ILK45" s="1044"/>
      <c r="ILL45" s="1044"/>
      <c r="ILM45" s="1044"/>
      <c r="ILN45" s="1044"/>
      <c r="ILO45" s="1044"/>
      <c r="ILP45" s="1044"/>
      <c r="ILQ45" s="1044"/>
      <c r="ILR45" s="1044"/>
      <c r="ILS45" s="1044"/>
      <c r="ILT45" s="1044"/>
      <c r="ILU45" s="1044"/>
      <c r="ILV45" s="1044"/>
      <c r="ILW45" s="1044"/>
      <c r="ILX45" s="1044"/>
      <c r="ILY45" s="1044"/>
      <c r="ILZ45" s="1044"/>
      <c r="IMA45" s="1044"/>
      <c r="IMB45" s="1044"/>
      <c r="IMC45" s="1044"/>
      <c r="IMD45" s="1044"/>
      <c r="IME45" s="1044"/>
      <c r="IMF45" s="1044"/>
      <c r="IMG45" s="1044"/>
      <c r="IMH45" s="1044"/>
      <c r="IMI45" s="1044"/>
      <c r="IMJ45" s="1044"/>
      <c r="IMK45" s="1044"/>
      <c r="IML45" s="1044"/>
      <c r="IMM45" s="1044"/>
      <c r="IMN45" s="1044"/>
      <c r="IMO45" s="1044"/>
      <c r="IMP45" s="1044"/>
      <c r="IMQ45" s="1044"/>
      <c r="IMR45" s="1044"/>
      <c r="IMS45" s="1044"/>
      <c r="IMT45" s="1044"/>
      <c r="IMU45" s="1044"/>
      <c r="IMV45" s="1044"/>
      <c r="IMW45" s="1044"/>
      <c r="IMX45" s="1044"/>
      <c r="IMY45" s="1044"/>
      <c r="IMZ45" s="1044"/>
      <c r="INA45" s="1044"/>
      <c r="INB45" s="1044"/>
      <c r="INC45" s="1044"/>
      <c r="IND45" s="1044"/>
      <c r="INE45" s="1044"/>
      <c r="INF45" s="1044"/>
      <c r="ING45" s="1044"/>
      <c r="INH45" s="1044"/>
      <c r="INI45" s="1044"/>
      <c r="INJ45" s="1044"/>
      <c r="INK45" s="1044"/>
      <c r="INL45" s="1044"/>
      <c r="INM45" s="1044"/>
      <c r="INN45" s="1044"/>
      <c r="INO45" s="1044"/>
      <c r="INP45" s="1044"/>
      <c r="INQ45" s="1044"/>
      <c r="INR45" s="1044"/>
      <c r="INS45" s="1044"/>
      <c r="INT45" s="1044"/>
      <c r="INU45" s="1044"/>
      <c r="INV45" s="1044"/>
      <c r="INW45" s="1044"/>
      <c r="INX45" s="1044"/>
      <c r="INY45" s="1044"/>
      <c r="INZ45" s="1044"/>
      <c r="IOA45" s="1044"/>
      <c r="IOB45" s="1044"/>
      <c r="IOC45" s="1044"/>
      <c r="IOD45" s="1044"/>
      <c r="IOE45" s="1044"/>
      <c r="IOF45" s="1044"/>
      <c r="IOG45" s="1044"/>
      <c r="IOH45" s="1044"/>
      <c r="IOI45" s="1044"/>
      <c r="IOJ45" s="1044"/>
      <c r="IOK45" s="1044"/>
      <c r="IOL45" s="1044"/>
      <c r="IOM45" s="1044"/>
      <c r="ION45" s="1044"/>
      <c r="IOO45" s="1044"/>
      <c r="IOP45" s="1044"/>
      <c r="IOQ45" s="1044"/>
      <c r="IOR45" s="1044"/>
      <c r="IOS45" s="1044"/>
      <c r="IOT45" s="1044"/>
      <c r="IOU45" s="1044"/>
      <c r="IOV45" s="1044"/>
      <c r="IOW45" s="1044"/>
      <c r="IOX45" s="1044"/>
      <c r="IOY45" s="1044"/>
      <c r="IOZ45" s="1044"/>
      <c r="IPA45" s="1044"/>
      <c r="IPB45" s="1044"/>
      <c r="IPC45" s="1044"/>
      <c r="IPD45" s="1044"/>
      <c r="IPE45" s="1044"/>
      <c r="IPF45" s="1044"/>
      <c r="IPG45" s="1044"/>
      <c r="IPH45" s="1044"/>
      <c r="IPI45" s="1044"/>
      <c r="IPJ45" s="1044"/>
      <c r="IPK45" s="1044"/>
      <c r="IPL45" s="1044"/>
      <c r="IPM45" s="1044"/>
      <c r="IPN45" s="1044"/>
      <c r="IPO45" s="1044"/>
      <c r="IPP45" s="1044"/>
      <c r="IPQ45" s="1044"/>
      <c r="IPR45" s="1044"/>
      <c r="IPS45" s="1044"/>
      <c r="IPT45" s="1044"/>
      <c r="IPU45" s="1044"/>
      <c r="IPV45" s="1044"/>
      <c r="IPW45" s="1044"/>
      <c r="IPX45" s="1044"/>
      <c r="IPY45" s="1044"/>
      <c r="IPZ45" s="1044"/>
      <c r="IQA45" s="1044"/>
      <c r="IQB45" s="1044"/>
      <c r="IQC45" s="1044"/>
      <c r="IQD45" s="1044"/>
      <c r="IQE45" s="1044"/>
      <c r="IQF45" s="1044"/>
      <c r="IQG45" s="1044"/>
      <c r="IQH45" s="1044"/>
      <c r="IQI45" s="1044"/>
      <c r="IQJ45" s="1044"/>
      <c r="IQK45" s="1044"/>
      <c r="IQL45" s="1044"/>
      <c r="IQM45" s="1044"/>
      <c r="IQN45" s="1044"/>
      <c r="IQO45" s="1044"/>
      <c r="IQP45" s="1044"/>
      <c r="IQQ45" s="1044"/>
      <c r="IQR45" s="1044"/>
      <c r="IQS45" s="1044"/>
      <c r="IQT45" s="1044"/>
      <c r="IQU45" s="1044"/>
      <c r="IQV45" s="1044"/>
      <c r="IQW45" s="1044"/>
      <c r="IQX45" s="1044"/>
      <c r="IQY45" s="1044"/>
      <c r="IQZ45" s="1044"/>
      <c r="IRA45" s="1044"/>
      <c r="IRB45" s="1044"/>
      <c r="IRC45" s="1044"/>
      <c r="IRD45" s="1044"/>
      <c r="IRE45" s="1044"/>
      <c r="IRF45" s="1044"/>
      <c r="IRG45" s="1044"/>
      <c r="IRH45" s="1044"/>
      <c r="IRI45" s="1044"/>
      <c r="IRJ45" s="1044"/>
      <c r="IRK45" s="1044"/>
      <c r="IRL45" s="1044"/>
      <c r="IRM45" s="1044"/>
      <c r="IRN45" s="1044"/>
      <c r="IRO45" s="1044"/>
      <c r="IRP45" s="1044"/>
      <c r="IRQ45" s="1044"/>
      <c r="IRR45" s="1044"/>
      <c r="IRS45" s="1044"/>
      <c r="IRT45" s="1044"/>
      <c r="IRU45" s="1044"/>
      <c r="IRV45" s="1044"/>
      <c r="IRW45" s="1044"/>
      <c r="IRX45" s="1044"/>
      <c r="IRY45" s="1044"/>
      <c r="IRZ45" s="1044"/>
      <c r="ISA45" s="1044"/>
      <c r="ISB45" s="1044"/>
      <c r="ISC45" s="1044"/>
      <c r="ISD45" s="1044"/>
      <c r="ISE45" s="1044"/>
      <c r="ISF45" s="1044"/>
      <c r="ISG45" s="1044"/>
      <c r="ISH45" s="1044"/>
      <c r="ISI45" s="1044"/>
      <c r="ISJ45" s="1044"/>
      <c r="ISK45" s="1044"/>
      <c r="ISL45" s="1044"/>
      <c r="ISM45" s="1044"/>
      <c r="ISN45" s="1044"/>
      <c r="ISO45" s="1044"/>
      <c r="ISP45" s="1044"/>
      <c r="ISQ45" s="1044"/>
      <c r="ISR45" s="1044"/>
      <c r="ISS45" s="1044"/>
      <c r="IST45" s="1044"/>
      <c r="ISU45" s="1044"/>
      <c r="ISV45" s="1044"/>
      <c r="ISW45" s="1044"/>
      <c r="ISX45" s="1044"/>
      <c r="ISY45" s="1044"/>
      <c r="ISZ45" s="1044"/>
      <c r="ITA45" s="1044"/>
      <c r="ITB45" s="1044"/>
      <c r="ITC45" s="1044"/>
      <c r="ITD45" s="1044"/>
      <c r="ITE45" s="1044"/>
      <c r="ITF45" s="1044"/>
      <c r="ITG45" s="1044"/>
      <c r="ITH45" s="1044"/>
      <c r="ITI45" s="1044"/>
      <c r="ITJ45" s="1044"/>
      <c r="ITK45" s="1044"/>
      <c r="ITL45" s="1044"/>
      <c r="ITM45" s="1044"/>
      <c r="ITN45" s="1044"/>
      <c r="ITO45" s="1044"/>
      <c r="ITP45" s="1044"/>
      <c r="ITQ45" s="1044"/>
      <c r="ITR45" s="1044"/>
      <c r="ITS45" s="1044"/>
      <c r="ITT45" s="1044"/>
      <c r="ITU45" s="1044"/>
      <c r="ITV45" s="1044"/>
      <c r="ITW45" s="1044"/>
      <c r="ITX45" s="1044"/>
      <c r="ITY45" s="1044"/>
      <c r="ITZ45" s="1044"/>
      <c r="IUA45" s="1044"/>
      <c r="IUB45" s="1044"/>
      <c r="IUC45" s="1044"/>
      <c r="IUD45" s="1044"/>
      <c r="IUE45" s="1044"/>
      <c r="IUF45" s="1044"/>
      <c r="IUG45" s="1044"/>
      <c r="IUH45" s="1044"/>
      <c r="IUI45" s="1044"/>
      <c r="IUJ45" s="1044"/>
      <c r="IUK45" s="1044"/>
      <c r="IUL45" s="1044"/>
      <c r="IUM45" s="1044"/>
      <c r="IUN45" s="1044"/>
      <c r="IUO45" s="1044"/>
      <c r="IUP45" s="1044"/>
      <c r="IUQ45" s="1044"/>
      <c r="IUR45" s="1044"/>
      <c r="IUS45" s="1044"/>
      <c r="IUT45" s="1044"/>
      <c r="IUU45" s="1044"/>
      <c r="IUV45" s="1044"/>
      <c r="IUW45" s="1044"/>
      <c r="IUX45" s="1044"/>
      <c r="IUY45" s="1044"/>
      <c r="IUZ45" s="1044"/>
      <c r="IVA45" s="1044"/>
      <c r="IVB45" s="1044"/>
      <c r="IVC45" s="1044"/>
      <c r="IVD45" s="1044"/>
      <c r="IVE45" s="1044"/>
      <c r="IVF45" s="1044"/>
      <c r="IVG45" s="1044"/>
      <c r="IVH45" s="1044"/>
      <c r="IVI45" s="1044"/>
      <c r="IVJ45" s="1044"/>
      <c r="IVK45" s="1044"/>
      <c r="IVL45" s="1044"/>
      <c r="IVM45" s="1044"/>
      <c r="IVN45" s="1044"/>
      <c r="IVO45" s="1044"/>
      <c r="IVP45" s="1044"/>
      <c r="IVQ45" s="1044"/>
      <c r="IVR45" s="1044"/>
      <c r="IVS45" s="1044"/>
      <c r="IVT45" s="1044"/>
      <c r="IVU45" s="1044"/>
      <c r="IVV45" s="1044"/>
      <c r="IVW45" s="1044"/>
      <c r="IVX45" s="1044"/>
      <c r="IVY45" s="1044"/>
      <c r="IVZ45" s="1044"/>
      <c r="IWA45" s="1044"/>
      <c r="IWB45" s="1044"/>
      <c r="IWC45" s="1044"/>
      <c r="IWD45" s="1044"/>
      <c r="IWE45" s="1044"/>
      <c r="IWF45" s="1044"/>
      <c r="IWG45" s="1044"/>
      <c r="IWH45" s="1044"/>
      <c r="IWI45" s="1044"/>
      <c r="IWJ45" s="1044"/>
      <c r="IWK45" s="1044"/>
      <c r="IWL45" s="1044"/>
      <c r="IWM45" s="1044"/>
      <c r="IWN45" s="1044"/>
      <c r="IWO45" s="1044"/>
      <c r="IWP45" s="1044"/>
      <c r="IWQ45" s="1044"/>
      <c r="IWR45" s="1044"/>
      <c r="IWS45" s="1044"/>
      <c r="IWT45" s="1044"/>
      <c r="IWU45" s="1044"/>
      <c r="IWV45" s="1044"/>
      <c r="IWW45" s="1044"/>
      <c r="IWX45" s="1044"/>
      <c r="IWY45" s="1044"/>
      <c r="IWZ45" s="1044"/>
      <c r="IXA45" s="1044"/>
      <c r="IXB45" s="1044"/>
      <c r="IXC45" s="1044"/>
      <c r="IXD45" s="1044"/>
      <c r="IXE45" s="1044"/>
      <c r="IXF45" s="1044"/>
      <c r="IXG45" s="1044"/>
      <c r="IXH45" s="1044"/>
      <c r="IXI45" s="1044"/>
      <c r="IXJ45" s="1044"/>
      <c r="IXK45" s="1044"/>
      <c r="IXL45" s="1044"/>
      <c r="IXM45" s="1044"/>
      <c r="IXN45" s="1044"/>
      <c r="IXO45" s="1044"/>
      <c r="IXP45" s="1044"/>
      <c r="IXQ45" s="1044"/>
      <c r="IXR45" s="1044"/>
      <c r="IXS45" s="1044"/>
      <c r="IXT45" s="1044"/>
      <c r="IXU45" s="1044"/>
      <c r="IXV45" s="1044"/>
      <c r="IXW45" s="1044"/>
      <c r="IXX45" s="1044"/>
      <c r="IXY45" s="1044"/>
      <c r="IXZ45" s="1044"/>
      <c r="IYA45" s="1044"/>
      <c r="IYB45" s="1044"/>
      <c r="IYC45" s="1044"/>
      <c r="IYD45" s="1044"/>
      <c r="IYE45" s="1044"/>
      <c r="IYF45" s="1044"/>
      <c r="IYG45" s="1044"/>
      <c r="IYH45" s="1044"/>
      <c r="IYI45" s="1044"/>
      <c r="IYJ45" s="1044"/>
      <c r="IYK45" s="1044"/>
      <c r="IYL45" s="1044"/>
      <c r="IYM45" s="1044"/>
      <c r="IYN45" s="1044"/>
      <c r="IYO45" s="1044"/>
      <c r="IYP45" s="1044"/>
      <c r="IYQ45" s="1044"/>
      <c r="IYR45" s="1044"/>
      <c r="IYS45" s="1044"/>
      <c r="IYT45" s="1044"/>
      <c r="IYU45" s="1044"/>
      <c r="IYV45" s="1044"/>
      <c r="IYW45" s="1044"/>
      <c r="IYX45" s="1044"/>
      <c r="IYY45" s="1044"/>
      <c r="IYZ45" s="1044"/>
      <c r="IZA45" s="1044"/>
      <c r="IZB45" s="1044"/>
      <c r="IZC45" s="1044"/>
      <c r="IZD45" s="1044"/>
      <c r="IZE45" s="1044"/>
      <c r="IZF45" s="1044"/>
      <c r="IZG45" s="1044"/>
      <c r="IZH45" s="1044"/>
      <c r="IZI45" s="1044"/>
      <c r="IZJ45" s="1044"/>
      <c r="IZK45" s="1044"/>
      <c r="IZL45" s="1044"/>
      <c r="IZM45" s="1044"/>
      <c r="IZN45" s="1044"/>
      <c r="IZO45" s="1044"/>
      <c r="IZP45" s="1044"/>
      <c r="IZQ45" s="1044"/>
      <c r="IZR45" s="1044"/>
      <c r="IZS45" s="1044"/>
      <c r="IZT45" s="1044"/>
      <c r="IZU45" s="1044"/>
      <c r="IZV45" s="1044"/>
      <c r="IZW45" s="1044"/>
      <c r="IZX45" s="1044"/>
      <c r="IZY45" s="1044"/>
      <c r="IZZ45" s="1044"/>
      <c r="JAA45" s="1044"/>
      <c r="JAB45" s="1044"/>
      <c r="JAC45" s="1044"/>
      <c r="JAD45" s="1044"/>
      <c r="JAE45" s="1044"/>
      <c r="JAF45" s="1044"/>
      <c r="JAG45" s="1044"/>
      <c r="JAH45" s="1044"/>
      <c r="JAI45" s="1044"/>
      <c r="JAJ45" s="1044"/>
      <c r="JAK45" s="1044"/>
      <c r="JAL45" s="1044"/>
      <c r="JAM45" s="1044"/>
      <c r="JAN45" s="1044"/>
      <c r="JAO45" s="1044"/>
      <c r="JAP45" s="1044"/>
      <c r="JAQ45" s="1044"/>
      <c r="JAR45" s="1044"/>
      <c r="JAS45" s="1044"/>
      <c r="JAT45" s="1044"/>
      <c r="JAU45" s="1044"/>
      <c r="JAV45" s="1044"/>
      <c r="JAW45" s="1044"/>
      <c r="JAX45" s="1044"/>
      <c r="JAY45" s="1044"/>
      <c r="JAZ45" s="1044"/>
      <c r="JBA45" s="1044"/>
      <c r="JBB45" s="1044"/>
      <c r="JBC45" s="1044"/>
      <c r="JBD45" s="1044"/>
      <c r="JBE45" s="1044"/>
      <c r="JBF45" s="1044"/>
      <c r="JBG45" s="1044"/>
      <c r="JBH45" s="1044"/>
      <c r="JBI45" s="1044"/>
      <c r="JBJ45" s="1044"/>
      <c r="JBK45" s="1044"/>
      <c r="JBL45" s="1044"/>
      <c r="JBM45" s="1044"/>
      <c r="JBN45" s="1044"/>
      <c r="JBO45" s="1044"/>
      <c r="JBP45" s="1044"/>
      <c r="JBQ45" s="1044"/>
      <c r="JBR45" s="1044"/>
      <c r="JBS45" s="1044"/>
      <c r="JBT45" s="1044"/>
      <c r="JBU45" s="1044"/>
      <c r="JBV45" s="1044"/>
      <c r="JBW45" s="1044"/>
      <c r="JBX45" s="1044"/>
      <c r="JBY45" s="1044"/>
      <c r="JBZ45" s="1044"/>
      <c r="JCA45" s="1044"/>
      <c r="JCB45" s="1044"/>
      <c r="JCC45" s="1044"/>
      <c r="JCD45" s="1044"/>
      <c r="JCE45" s="1044"/>
      <c r="JCF45" s="1044"/>
      <c r="JCG45" s="1044"/>
      <c r="JCH45" s="1044"/>
      <c r="JCI45" s="1044"/>
      <c r="JCJ45" s="1044"/>
      <c r="JCK45" s="1044"/>
      <c r="JCL45" s="1044"/>
      <c r="JCM45" s="1044"/>
      <c r="JCN45" s="1044"/>
      <c r="JCO45" s="1044"/>
      <c r="JCP45" s="1044"/>
      <c r="JCQ45" s="1044"/>
      <c r="JCR45" s="1044"/>
      <c r="JCS45" s="1044"/>
      <c r="JCT45" s="1044"/>
      <c r="JCU45" s="1044"/>
      <c r="JCV45" s="1044"/>
      <c r="JCW45" s="1044"/>
      <c r="JCX45" s="1044"/>
      <c r="JCY45" s="1044"/>
      <c r="JCZ45" s="1044"/>
      <c r="JDA45" s="1044"/>
      <c r="JDB45" s="1044"/>
      <c r="JDC45" s="1044"/>
      <c r="JDD45" s="1044"/>
      <c r="JDE45" s="1044"/>
      <c r="JDF45" s="1044"/>
      <c r="JDG45" s="1044"/>
      <c r="JDH45" s="1044"/>
      <c r="JDI45" s="1044"/>
      <c r="JDJ45" s="1044"/>
      <c r="JDK45" s="1044"/>
      <c r="JDL45" s="1044"/>
      <c r="JDM45" s="1044"/>
      <c r="JDN45" s="1044"/>
      <c r="JDO45" s="1044"/>
      <c r="JDP45" s="1044"/>
      <c r="JDQ45" s="1044"/>
      <c r="JDR45" s="1044"/>
      <c r="JDS45" s="1044"/>
      <c r="JDT45" s="1044"/>
      <c r="JDU45" s="1044"/>
      <c r="JDV45" s="1044"/>
      <c r="JDW45" s="1044"/>
      <c r="JDX45" s="1044"/>
      <c r="JDY45" s="1044"/>
      <c r="JDZ45" s="1044"/>
      <c r="JEA45" s="1044"/>
      <c r="JEB45" s="1044"/>
      <c r="JEC45" s="1044"/>
      <c r="JED45" s="1044"/>
      <c r="JEE45" s="1044"/>
      <c r="JEF45" s="1044"/>
      <c r="JEG45" s="1044"/>
      <c r="JEH45" s="1044"/>
      <c r="JEI45" s="1044"/>
      <c r="JEJ45" s="1044"/>
      <c r="JEK45" s="1044"/>
      <c r="JEL45" s="1044"/>
      <c r="JEM45" s="1044"/>
      <c r="JEN45" s="1044"/>
      <c r="JEO45" s="1044"/>
      <c r="JEP45" s="1044"/>
      <c r="JEQ45" s="1044"/>
      <c r="JER45" s="1044"/>
      <c r="JES45" s="1044"/>
      <c r="JET45" s="1044"/>
      <c r="JEU45" s="1044"/>
      <c r="JEV45" s="1044"/>
      <c r="JEW45" s="1044"/>
      <c r="JEX45" s="1044"/>
      <c r="JEY45" s="1044"/>
      <c r="JEZ45" s="1044"/>
      <c r="JFA45" s="1044"/>
      <c r="JFB45" s="1044"/>
      <c r="JFC45" s="1044"/>
      <c r="JFD45" s="1044"/>
      <c r="JFE45" s="1044"/>
      <c r="JFF45" s="1044"/>
      <c r="JFG45" s="1044"/>
      <c r="JFH45" s="1044"/>
      <c r="JFI45" s="1044"/>
      <c r="JFJ45" s="1044"/>
      <c r="JFK45" s="1044"/>
      <c r="JFL45" s="1044"/>
      <c r="JFM45" s="1044"/>
      <c r="JFN45" s="1044"/>
      <c r="JFO45" s="1044"/>
      <c r="JFP45" s="1044"/>
      <c r="JFQ45" s="1044"/>
      <c r="JFR45" s="1044"/>
      <c r="JFS45" s="1044"/>
      <c r="JFT45" s="1044"/>
      <c r="JFU45" s="1044"/>
      <c r="JFV45" s="1044"/>
      <c r="JFW45" s="1044"/>
      <c r="JFX45" s="1044"/>
      <c r="JFY45" s="1044"/>
      <c r="JFZ45" s="1044"/>
      <c r="JGA45" s="1044"/>
      <c r="JGB45" s="1044"/>
      <c r="JGC45" s="1044"/>
      <c r="JGD45" s="1044"/>
      <c r="JGE45" s="1044"/>
      <c r="JGF45" s="1044"/>
      <c r="JGG45" s="1044"/>
      <c r="JGH45" s="1044"/>
      <c r="JGI45" s="1044"/>
      <c r="JGJ45" s="1044"/>
      <c r="JGK45" s="1044"/>
      <c r="JGL45" s="1044"/>
      <c r="JGM45" s="1044"/>
      <c r="JGN45" s="1044"/>
      <c r="JGO45" s="1044"/>
      <c r="JGP45" s="1044"/>
      <c r="JGQ45" s="1044"/>
      <c r="JGR45" s="1044"/>
      <c r="JGS45" s="1044"/>
      <c r="JGT45" s="1044"/>
      <c r="JGU45" s="1044"/>
      <c r="JGV45" s="1044"/>
      <c r="JGW45" s="1044"/>
      <c r="JGX45" s="1044"/>
      <c r="JGY45" s="1044"/>
      <c r="JGZ45" s="1044"/>
      <c r="JHA45" s="1044"/>
      <c r="JHB45" s="1044"/>
      <c r="JHC45" s="1044"/>
      <c r="JHD45" s="1044"/>
      <c r="JHE45" s="1044"/>
      <c r="JHF45" s="1044"/>
      <c r="JHG45" s="1044"/>
      <c r="JHH45" s="1044"/>
      <c r="JHI45" s="1044"/>
      <c r="JHJ45" s="1044"/>
      <c r="JHK45" s="1044"/>
      <c r="JHL45" s="1044"/>
      <c r="JHM45" s="1044"/>
      <c r="JHN45" s="1044"/>
      <c r="JHO45" s="1044"/>
      <c r="JHP45" s="1044"/>
      <c r="JHQ45" s="1044"/>
      <c r="JHR45" s="1044"/>
      <c r="JHS45" s="1044"/>
      <c r="JHT45" s="1044"/>
      <c r="JHU45" s="1044"/>
      <c r="JHV45" s="1044"/>
      <c r="JHW45" s="1044"/>
      <c r="JHX45" s="1044"/>
      <c r="JHY45" s="1044"/>
      <c r="JHZ45" s="1044"/>
      <c r="JIA45" s="1044"/>
      <c r="JIB45" s="1044"/>
      <c r="JIC45" s="1044"/>
      <c r="JID45" s="1044"/>
      <c r="JIE45" s="1044"/>
      <c r="JIF45" s="1044"/>
      <c r="JIG45" s="1044"/>
      <c r="JIH45" s="1044"/>
      <c r="JII45" s="1044"/>
      <c r="JIJ45" s="1044"/>
      <c r="JIK45" s="1044"/>
      <c r="JIL45" s="1044"/>
      <c r="JIM45" s="1044"/>
      <c r="JIN45" s="1044"/>
      <c r="JIO45" s="1044"/>
      <c r="JIP45" s="1044"/>
      <c r="JIQ45" s="1044"/>
      <c r="JIR45" s="1044"/>
      <c r="JIS45" s="1044"/>
      <c r="JIT45" s="1044"/>
      <c r="JIU45" s="1044"/>
      <c r="JIV45" s="1044"/>
      <c r="JIW45" s="1044"/>
      <c r="JIX45" s="1044"/>
      <c r="JIY45" s="1044"/>
      <c r="JIZ45" s="1044"/>
      <c r="JJA45" s="1044"/>
      <c r="JJB45" s="1044"/>
      <c r="JJC45" s="1044"/>
      <c r="JJD45" s="1044"/>
      <c r="JJE45" s="1044"/>
      <c r="JJF45" s="1044"/>
      <c r="JJG45" s="1044"/>
      <c r="JJH45" s="1044"/>
      <c r="JJI45" s="1044"/>
      <c r="JJJ45" s="1044"/>
      <c r="JJK45" s="1044"/>
      <c r="JJL45" s="1044"/>
      <c r="JJM45" s="1044"/>
      <c r="JJN45" s="1044"/>
      <c r="JJO45" s="1044"/>
      <c r="JJP45" s="1044"/>
      <c r="JJQ45" s="1044"/>
      <c r="JJR45" s="1044"/>
      <c r="JJS45" s="1044"/>
      <c r="JJT45" s="1044"/>
      <c r="JJU45" s="1044"/>
      <c r="JJV45" s="1044"/>
      <c r="JJW45" s="1044"/>
      <c r="JJX45" s="1044"/>
      <c r="JJY45" s="1044"/>
      <c r="JJZ45" s="1044"/>
      <c r="JKA45" s="1044"/>
      <c r="JKB45" s="1044"/>
      <c r="JKC45" s="1044"/>
      <c r="JKD45" s="1044"/>
      <c r="JKE45" s="1044"/>
      <c r="JKF45" s="1044"/>
      <c r="JKG45" s="1044"/>
      <c r="JKH45" s="1044"/>
      <c r="JKI45" s="1044"/>
      <c r="JKJ45" s="1044"/>
      <c r="JKK45" s="1044"/>
      <c r="JKL45" s="1044"/>
      <c r="JKM45" s="1044"/>
      <c r="JKN45" s="1044"/>
      <c r="JKO45" s="1044"/>
      <c r="JKP45" s="1044"/>
      <c r="JKQ45" s="1044"/>
      <c r="JKR45" s="1044"/>
      <c r="JKS45" s="1044"/>
      <c r="JKT45" s="1044"/>
      <c r="JKU45" s="1044"/>
      <c r="JKV45" s="1044"/>
      <c r="JKW45" s="1044"/>
      <c r="JKX45" s="1044"/>
      <c r="JKY45" s="1044"/>
      <c r="JKZ45" s="1044"/>
      <c r="JLA45" s="1044"/>
      <c r="JLB45" s="1044"/>
      <c r="JLC45" s="1044"/>
      <c r="JLD45" s="1044"/>
      <c r="JLE45" s="1044"/>
      <c r="JLF45" s="1044"/>
      <c r="JLG45" s="1044"/>
      <c r="JLH45" s="1044"/>
      <c r="JLI45" s="1044"/>
      <c r="JLJ45" s="1044"/>
      <c r="JLK45" s="1044"/>
      <c r="JLL45" s="1044"/>
      <c r="JLM45" s="1044"/>
      <c r="JLN45" s="1044"/>
      <c r="JLO45" s="1044"/>
      <c r="JLP45" s="1044"/>
      <c r="JLQ45" s="1044"/>
      <c r="JLR45" s="1044"/>
      <c r="JLS45" s="1044"/>
      <c r="JLT45" s="1044"/>
      <c r="JLU45" s="1044"/>
      <c r="JLV45" s="1044"/>
      <c r="JLW45" s="1044"/>
      <c r="JLX45" s="1044"/>
      <c r="JLY45" s="1044"/>
      <c r="JLZ45" s="1044"/>
      <c r="JMA45" s="1044"/>
      <c r="JMB45" s="1044"/>
      <c r="JMC45" s="1044"/>
      <c r="JMD45" s="1044"/>
      <c r="JME45" s="1044"/>
      <c r="JMF45" s="1044"/>
      <c r="JMG45" s="1044"/>
      <c r="JMH45" s="1044"/>
      <c r="JMI45" s="1044"/>
      <c r="JMJ45" s="1044"/>
      <c r="JMK45" s="1044"/>
      <c r="JML45" s="1044"/>
      <c r="JMM45" s="1044"/>
      <c r="JMN45" s="1044"/>
      <c r="JMO45" s="1044"/>
      <c r="JMP45" s="1044"/>
      <c r="JMQ45" s="1044"/>
      <c r="JMR45" s="1044"/>
      <c r="JMS45" s="1044"/>
      <c r="JMT45" s="1044"/>
      <c r="JMU45" s="1044"/>
      <c r="JMV45" s="1044"/>
      <c r="JMW45" s="1044"/>
      <c r="JMX45" s="1044"/>
      <c r="JMY45" s="1044"/>
      <c r="JMZ45" s="1044"/>
      <c r="JNA45" s="1044"/>
      <c r="JNB45" s="1044"/>
      <c r="JNC45" s="1044"/>
      <c r="JND45" s="1044"/>
      <c r="JNE45" s="1044"/>
      <c r="JNF45" s="1044"/>
      <c r="JNG45" s="1044"/>
      <c r="JNH45" s="1044"/>
      <c r="JNI45" s="1044"/>
      <c r="JNJ45" s="1044"/>
      <c r="JNK45" s="1044"/>
      <c r="JNL45" s="1044"/>
      <c r="JNM45" s="1044"/>
      <c r="JNN45" s="1044"/>
      <c r="JNO45" s="1044"/>
      <c r="JNP45" s="1044"/>
      <c r="JNQ45" s="1044"/>
      <c r="JNR45" s="1044"/>
      <c r="JNS45" s="1044"/>
      <c r="JNT45" s="1044"/>
      <c r="JNU45" s="1044"/>
      <c r="JNV45" s="1044"/>
      <c r="JNW45" s="1044"/>
      <c r="JNX45" s="1044"/>
      <c r="JNY45" s="1044"/>
      <c r="JNZ45" s="1044"/>
      <c r="JOA45" s="1044"/>
      <c r="JOB45" s="1044"/>
      <c r="JOC45" s="1044"/>
      <c r="JOD45" s="1044"/>
      <c r="JOE45" s="1044"/>
      <c r="JOF45" s="1044"/>
      <c r="JOG45" s="1044"/>
      <c r="JOH45" s="1044"/>
      <c r="JOI45" s="1044"/>
      <c r="JOJ45" s="1044"/>
      <c r="JOK45" s="1044"/>
      <c r="JOL45" s="1044"/>
      <c r="JOM45" s="1044"/>
      <c r="JON45" s="1044"/>
      <c r="JOO45" s="1044"/>
      <c r="JOP45" s="1044"/>
      <c r="JOQ45" s="1044"/>
      <c r="JOR45" s="1044"/>
      <c r="JOS45" s="1044"/>
      <c r="JOT45" s="1044"/>
      <c r="JOU45" s="1044"/>
      <c r="JOV45" s="1044"/>
      <c r="JOW45" s="1044"/>
      <c r="JOX45" s="1044"/>
      <c r="JOY45" s="1044"/>
      <c r="JOZ45" s="1044"/>
      <c r="JPA45" s="1044"/>
      <c r="JPB45" s="1044"/>
      <c r="JPC45" s="1044"/>
      <c r="JPD45" s="1044"/>
      <c r="JPE45" s="1044"/>
      <c r="JPF45" s="1044"/>
      <c r="JPG45" s="1044"/>
      <c r="JPH45" s="1044"/>
      <c r="JPI45" s="1044"/>
      <c r="JPJ45" s="1044"/>
      <c r="JPK45" s="1044"/>
      <c r="JPL45" s="1044"/>
      <c r="JPM45" s="1044"/>
      <c r="JPN45" s="1044"/>
      <c r="JPO45" s="1044"/>
      <c r="JPP45" s="1044"/>
      <c r="JPQ45" s="1044"/>
      <c r="JPR45" s="1044"/>
      <c r="JPS45" s="1044"/>
      <c r="JPT45" s="1044"/>
      <c r="JPU45" s="1044"/>
      <c r="JPV45" s="1044"/>
      <c r="JPW45" s="1044"/>
      <c r="JPX45" s="1044"/>
      <c r="JPY45" s="1044"/>
      <c r="JPZ45" s="1044"/>
      <c r="JQA45" s="1044"/>
      <c r="JQB45" s="1044"/>
      <c r="JQC45" s="1044"/>
      <c r="JQD45" s="1044"/>
      <c r="JQE45" s="1044"/>
      <c r="JQF45" s="1044"/>
      <c r="JQG45" s="1044"/>
      <c r="JQH45" s="1044"/>
      <c r="JQI45" s="1044"/>
      <c r="JQJ45" s="1044"/>
      <c r="JQK45" s="1044"/>
      <c r="JQL45" s="1044"/>
      <c r="JQM45" s="1044"/>
      <c r="JQN45" s="1044"/>
      <c r="JQO45" s="1044"/>
      <c r="JQP45" s="1044"/>
      <c r="JQQ45" s="1044"/>
      <c r="JQR45" s="1044"/>
      <c r="JQS45" s="1044"/>
      <c r="JQT45" s="1044"/>
      <c r="JQU45" s="1044"/>
      <c r="JQV45" s="1044"/>
      <c r="JQW45" s="1044"/>
      <c r="JQX45" s="1044"/>
      <c r="JQY45" s="1044"/>
      <c r="JQZ45" s="1044"/>
      <c r="JRA45" s="1044"/>
      <c r="JRB45" s="1044"/>
      <c r="JRC45" s="1044"/>
      <c r="JRD45" s="1044"/>
      <c r="JRE45" s="1044"/>
      <c r="JRF45" s="1044"/>
      <c r="JRG45" s="1044"/>
      <c r="JRH45" s="1044"/>
      <c r="JRI45" s="1044"/>
      <c r="JRJ45" s="1044"/>
      <c r="JRK45" s="1044"/>
      <c r="JRL45" s="1044"/>
      <c r="JRM45" s="1044"/>
      <c r="JRN45" s="1044"/>
      <c r="JRO45" s="1044"/>
      <c r="JRP45" s="1044"/>
      <c r="JRQ45" s="1044"/>
      <c r="JRR45" s="1044"/>
      <c r="JRS45" s="1044"/>
      <c r="JRT45" s="1044"/>
      <c r="JRU45" s="1044"/>
      <c r="JRV45" s="1044"/>
      <c r="JRW45" s="1044"/>
      <c r="JRX45" s="1044"/>
      <c r="JRY45" s="1044"/>
      <c r="JRZ45" s="1044"/>
      <c r="JSA45" s="1044"/>
      <c r="JSB45" s="1044"/>
      <c r="JSC45" s="1044"/>
      <c r="JSD45" s="1044"/>
      <c r="JSE45" s="1044"/>
      <c r="JSF45" s="1044"/>
      <c r="JSG45" s="1044"/>
      <c r="JSH45" s="1044"/>
      <c r="JSI45" s="1044"/>
      <c r="JSJ45" s="1044"/>
      <c r="JSK45" s="1044"/>
      <c r="JSL45" s="1044"/>
      <c r="JSM45" s="1044"/>
      <c r="JSN45" s="1044"/>
      <c r="JSO45" s="1044"/>
      <c r="JSP45" s="1044"/>
      <c r="JSQ45" s="1044"/>
      <c r="JSR45" s="1044"/>
      <c r="JSS45" s="1044"/>
      <c r="JST45" s="1044"/>
      <c r="JSU45" s="1044"/>
      <c r="JSV45" s="1044"/>
      <c r="JSW45" s="1044"/>
      <c r="JSX45" s="1044"/>
      <c r="JSY45" s="1044"/>
      <c r="JSZ45" s="1044"/>
      <c r="JTA45" s="1044"/>
      <c r="JTB45" s="1044"/>
      <c r="JTC45" s="1044"/>
      <c r="JTD45" s="1044"/>
      <c r="JTE45" s="1044"/>
      <c r="JTF45" s="1044"/>
      <c r="JTG45" s="1044"/>
      <c r="JTH45" s="1044"/>
      <c r="JTI45" s="1044"/>
      <c r="JTJ45" s="1044"/>
      <c r="JTK45" s="1044"/>
      <c r="JTL45" s="1044"/>
      <c r="JTM45" s="1044"/>
      <c r="JTN45" s="1044"/>
      <c r="JTO45" s="1044"/>
      <c r="JTP45" s="1044"/>
      <c r="JTQ45" s="1044"/>
      <c r="JTR45" s="1044"/>
      <c r="JTS45" s="1044"/>
      <c r="JTT45" s="1044"/>
      <c r="JTU45" s="1044"/>
      <c r="JTV45" s="1044"/>
      <c r="JTW45" s="1044"/>
      <c r="JTX45" s="1044"/>
      <c r="JTY45" s="1044"/>
      <c r="JTZ45" s="1044"/>
      <c r="JUA45" s="1044"/>
      <c r="JUB45" s="1044"/>
      <c r="JUC45" s="1044"/>
      <c r="JUD45" s="1044"/>
      <c r="JUE45" s="1044"/>
      <c r="JUF45" s="1044"/>
      <c r="JUG45" s="1044"/>
      <c r="JUH45" s="1044"/>
      <c r="JUI45" s="1044"/>
      <c r="JUJ45" s="1044"/>
      <c r="JUK45" s="1044"/>
      <c r="JUL45" s="1044"/>
      <c r="JUM45" s="1044"/>
      <c r="JUN45" s="1044"/>
      <c r="JUO45" s="1044"/>
      <c r="JUP45" s="1044"/>
      <c r="JUQ45" s="1044"/>
      <c r="JUR45" s="1044"/>
      <c r="JUS45" s="1044"/>
      <c r="JUT45" s="1044"/>
      <c r="JUU45" s="1044"/>
      <c r="JUV45" s="1044"/>
      <c r="JUW45" s="1044"/>
      <c r="JUX45" s="1044"/>
      <c r="JUY45" s="1044"/>
      <c r="JUZ45" s="1044"/>
      <c r="JVA45" s="1044"/>
      <c r="JVB45" s="1044"/>
      <c r="JVC45" s="1044"/>
      <c r="JVD45" s="1044"/>
      <c r="JVE45" s="1044"/>
      <c r="JVF45" s="1044"/>
      <c r="JVG45" s="1044"/>
      <c r="JVH45" s="1044"/>
      <c r="JVI45" s="1044"/>
      <c r="JVJ45" s="1044"/>
      <c r="JVK45" s="1044"/>
      <c r="JVL45" s="1044"/>
      <c r="JVM45" s="1044"/>
      <c r="JVN45" s="1044"/>
      <c r="JVO45" s="1044"/>
      <c r="JVP45" s="1044"/>
      <c r="JVQ45" s="1044"/>
      <c r="JVR45" s="1044"/>
      <c r="JVS45" s="1044"/>
      <c r="JVT45" s="1044"/>
      <c r="JVU45" s="1044"/>
      <c r="JVV45" s="1044"/>
      <c r="JVW45" s="1044"/>
      <c r="JVX45" s="1044"/>
      <c r="JVY45" s="1044"/>
      <c r="JVZ45" s="1044"/>
      <c r="JWA45" s="1044"/>
      <c r="JWB45" s="1044"/>
      <c r="JWC45" s="1044"/>
      <c r="JWD45" s="1044"/>
      <c r="JWE45" s="1044"/>
      <c r="JWF45" s="1044"/>
      <c r="JWG45" s="1044"/>
      <c r="JWH45" s="1044"/>
      <c r="JWI45" s="1044"/>
      <c r="JWJ45" s="1044"/>
      <c r="JWK45" s="1044"/>
      <c r="JWL45" s="1044"/>
      <c r="JWM45" s="1044"/>
      <c r="JWN45" s="1044"/>
      <c r="JWO45" s="1044"/>
      <c r="JWP45" s="1044"/>
      <c r="JWQ45" s="1044"/>
      <c r="JWR45" s="1044"/>
      <c r="JWS45" s="1044"/>
      <c r="JWT45" s="1044"/>
      <c r="JWU45" s="1044"/>
      <c r="JWV45" s="1044"/>
      <c r="JWW45" s="1044"/>
      <c r="JWX45" s="1044"/>
      <c r="JWY45" s="1044"/>
      <c r="JWZ45" s="1044"/>
      <c r="JXA45" s="1044"/>
      <c r="JXB45" s="1044"/>
      <c r="JXC45" s="1044"/>
      <c r="JXD45" s="1044"/>
      <c r="JXE45" s="1044"/>
      <c r="JXF45" s="1044"/>
      <c r="JXG45" s="1044"/>
      <c r="JXH45" s="1044"/>
      <c r="JXI45" s="1044"/>
      <c r="JXJ45" s="1044"/>
      <c r="JXK45" s="1044"/>
      <c r="JXL45" s="1044"/>
      <c r="JXM45" s="1044"/>
      <c r="JXN45" s="1044"/>
      <c r="JXO45" s="1044"/>
      <c r="JXP45" s="1044"/>
      <c r="JXQ45" s="1044"/>
      <c r="JXR45" s="1044"/>
      <c r="JXS45" s="1044"/>
      <c r="JXT45" s="1044"/>
      <c r="JXU45" s="1044"/>
      <c r="JXV45" s="1044"/>
      <c r="JXW45" s="1044"/>
      <c r="JXX45" s="1044"/>
      <c r="JXY45" s="1044"/>
      <c r="JXZ45" s="1044"/>
      <c r="JYA45" s="1044"/>
      <c r="JYB45" s="1044"/>
      <c r="JYC45" s="1044"/>
      <c r="JYD45" s="1044"/>
      <c r="JYE45" s="1044"/>
      <c r="JYF45" s="1044"/>
      <c r="JYG45" s="1044"/>
      <c r="JYH45" s="1044"/>
      <c r="JYI45" s="1044"/>
      <c r="JYJ45" s="1044"/>
      <c r="JYK45" s="1044"/>
      <c r="JYL45" s="1044"/>
      <c r="JYM45" s="1044"/>
      <c r="JYN45" s="1044"/>
      <c r="JYO45" s="1044"/>
      <c r="JYP45" s="1044"/>
      <c r="JYQ45" s="1044"/>
      <c r="JYR45" s="1044"/>
      <c r="JYS45" s="1044"/>
      <c r="JYT45" s="1044"/>
      <c r="JYU45" s="1044"/>
      <c r="JYV45" s="1044"/>
      <c r="JYW45" s="1044"/>
      <c r="JYX45" s="1044"/>
      <c r="JYY45" s="1044"/>
      <c r="JYZ45" s="1044"/>
      <c r="JZA45" s="1044"/>
      <c r="JZB45" s="1044"/>
      <c r="JZC45" s="1044"/>
      <c r="JZD45" s="1044"/>
      <c r="JZE45" s="1044"/>
      <c r="JZF45" s="1044"/>
      <c r="JZG45" s="1044"/>
      <c r="JZH45" s="1044"/>
      <c r="JZI45" s="1044"/>
      <c r="JZJ45" s="1044"/>
      <c r="JZK45" s="1044"/>
      <c r="JZL45" s="1044"/>
      <c r="JZM45" s="1044"/>
      <c r="JZN45" s="1044"/>
      <c r="JZO45" s="1044"/>
      <c r="JZP45" s="1044"/>
      <c r="JZQ45" s="1044"/>
      <c r="JZR45" s="1044"/>
      <c r="JZS45" s="1044"/>
      <c r="JZT45" s="1044"/>
      <c r="JZU45" s="1044"/>
      <c r="JZV45" s="1044"/>
      <c r="JZW45" s="1044"/>
      <c r="JZX45" s="1044"/>
      <c r="JZY45" s="1044"/>
      <c r="JZZ45" s="1044"/>
      <c r="KAA45" s="1044"/>
      <c r="KAB45" s="1044"/>
      <c r="KAC45" s="1044"/>
      <c r="KAD45" s="1044"/>
      <c r="KAE45" s="1044"/>
      <c r="KAF45" s="1044"/>
      <c r="KAG45" s="1044"/>
      <c r="KAH45" s="1044"/>
      <c r="KAI45" s="1044"/>
      <c r="KAJ45" s="1044"/>
      <c r="KAK45" s="1044"/>
      <c r="KAL45" s="1044"/>
      <c r="KAM45" s="1044"/>
      <c r="KAN45" s="1044"/>
      <c r="KAO45" s="1044"/>
      <c r="KAP45" s="1044"/>
      <c r="KAQ45" s="1044"/>
      <c r="KAR45" s="1044"/>
      <c r="KAS45" s="1044"/>
      <c r="KAT45" s="1044"/>
      <c r="KAU45" s="1044"/>
      <c r="KAV45" s="1044"/>
      <c r="KAW45" s="1044"/>
      <c r="KAX45" s="1044"/>
      <c r="KAY45" s="1044"/>
      <c r="KAZ45" s="1044"/>
      <c r="KBA45" s="1044"/>
      <c r="KBB45" s="1044"/>
      <c r="KBC45" s="1044"/>
      <c r="KBD45" s="1044"/>
      <c r="KBE45" s="1044"/>
      <c r="KBF45" s="1044"/>
      <c r="KBG45" s="1044"/>
      <c r="KBH45" s="1044"/>
      <c r="KBI45" s="1044"/>
      <c r="KBJ45" s="1044"/>
      <c r="KBK45" s="1044"/>
      <c r="KBL45" s="1044"/>
      <c r="KBM45" s="1044"/>
      <c r="KBN45" s="1044"/>
      <c r="KBO45" s="1044"/>
      <c r="KBP45" s="1044"/>
      <c r="KBQ45" s="1044"/>
      <c r="KBR45" s="1044"/>
      <c r="KBS45" s="1044"/>
      <c r="KBT45" s="1044"/>
      <c r="KBU45" s="1044"/>
      <c r="KBV45" s="1044"/>
      <c r="KBW45" s="1044"/>
      <c r="KBX45" s="1044"/>
      <c r="KBY45" s="1044"/>
      <c r="KBZ45" s="1044"/>
      <c r="KCA45" s="1044"/>
      <c r="KCB45" s="1044"/>
      <c r="KCC45" s="1044"/>
      <c r="KCD45" s="1044"/>
      <c r="KCE45" s="1044"/>
      <c r="KCF45" s="1044"/>
      <c r="KCG45" s="1044"/>
      <c r="KCH45" s="1044"/>
      <c r="KCI45" s="1044"/>
      <c r="KCJ45" s="1044"/>
      <c r="KCK45" s="1044"/>
      <c r="KCL45" s="1044"/>
      <c r="KCM45" s="1044"/>
      <c r="KCN45" s="1044"/>
      <c r="KCO45" s="1044"/>
      <c r="KCP45" s="1044"/>
      <c r="KCQ45" s="1044"/>
      <c r="KCR45" s="1044"/>
      <c r="KCS45" s="1044"/>
      <c r="KCT45" s="1044"/>
      <c r="KCU45" s="1044"/>
      <c r="KCV45" s="1044"/>
      <c r="KCW45" s="1044"/>
      <c r="KCX45" s="1044"/>
      <c r="KCY45" s="1044"/>
      <c r="KCZ45" s="1044"/>
      <c r="KDA45" s="1044"/>
      <c r="KDB45" s="1044"/>
      <c r="KDC45" s="1044"/>
      <c r="KDD45" s="1044"/>
      <c r="KDE45" s="1044"/>
      <c r="KDF45" s="1044"/>
      <c r="KDG45" s="1044"/>
      <c r="KDH45" s="1044"/>
      <c r="KDI45" s="1044"/>
      <c r="KDJ45" s="1044"/>
      <c r="KDK45" s="1044"/>
      <c r="KDL45" s="1044"/>
      <c r="KDM45" s="1044"/>
      <c r="KDN45" s="1044"/>
      <c r="KDO45" s="1044"/>
      <c r="KDP45" s="1044"/>
      <c r="KDQ45" s="1044"/>
      <c r="KDR45" s="1044"/>
      <c r="KDS45" s="1044"/>
      <c r="KDT45" s="1044"/>
      <c r="KDU45" s="1044"/>
      <c r="KDV45" s="1044"/>
      <c r="KDW45" s="1044"/>
      <c r="KDX45" s="1044"/>
      <c r="KDY45" s="1044"/>
      <c r="KDZ45" s="1044"/>
      <c r="KEA45" s="1044"/>
      <c r="KEB45" s="1044"/>
      <c r="KEC45" s="1044"/>
      <c r="KED45" s="1044"/>
      <c r="KEE45" s="1044"/>
      <c r="KEF45" s="1044"/>
      <c r="KEG45" s="1044"/>
      <c r="KEH45" s="1044"/>
      <c r="KEI45" s="1044"/>
      <c r="KEJ45" s="1044"/>
      <c r="KEK45" s="1044"/>
      <c r="KEL45" s="1044"/>
      <c r="KEM45" s="1044"/>
      <c r="KEN45" s="1044"/>
      <c r="KEO45" s="1044"/>
      <c r="KEP45" s="1044"/>
      <c r="KEQ45" s="1044"/>
      <c r="KER45" s="1044"/>
      <c r="KES45" s="1044"/>
      <c r="KET45" s="1044"/>
      <c r="KEU45" s="1044"/>
      <c r="KEV45" s="1044"/>
      <c r="KEW45" s="1044"/>
      <c r="KEX45" s="1044"/>
      <c r="KEY45" s="1044"/>
      <c r="KEZ45" s="1044"/>
      <c r="KFA45" s="1044"/>
      <c r="KFB45" s="1044"/>
      <c r="KFC45" s="1044"/>
      <c r="KFD45" s="1044"/>
      <c r="KFE45" s="1044"/>
      <c r="KFF45" s="1044"/>
      <c r="KFG45" s="1044"/>
      <c r="KFH45" s="1044"/>
      <c r="KFI45" s="1044"/>
      <c r="KFJ45" s="1044"/>
      <c r="KFK45" s="1044"/>
      <c r="KFL45" s="1044"/>
      <c r="KFM45" s="1044"/>
      <c r="KFN45" s="1044"/>
      <c r="KFO45" s="1044"/>
      <c r="KFP45" s="1044"/>
      <c r="KFQ45" s="1044"/>
      <c r="KFR45" s="1044"/>
      <c r="KFS45" s="1044"/>
      <c r="KFT45" s="1044"/>
      <c r="KFU45" s="1044"/>
      <c r="KFV45" s="1044"/>
      <c r="KFW45" s="1044"/>
      <c r="KFX45" s="1044"/>
      <c r="KFY45" s="1044"/>
      <c r="KFZ45" s="1044"/>
      <c r="KGA45" s="1044"/>
      <c r="KGB45" s="1044"/>
      <c r="KGC45" s="1044"/>
      <c r="KGD45" s="1044"/>
      <c r="KGE45" s="1044"/>
      <c r="KGF45" s="1044"/>
      <c r="KGG45" s="1044"/>
      <c r="KGH45" s="1044"/>
      <c r="KGI45" s="1044"/>
      <c r="KGJ45" s="1044"/>
      <c r="KGK45" s="1044"/>
      <c r="KGL45" s="1044"/>
      <c r="KGM45" s="1044"/>
      <c r="KGN45" s="1044"/>
      <c r="KGO45" s="1044"/>
      <c r="KGP45" s="1044"/>
      <c r="KGQ45" s="1044"/>
      <c r="KGR45" s="1044"/>
      <c r="KGS45" s="1044"/>
      <c r="KGT45" s="1044"/>
      <c r="KGU45" s="1044"/>
      <c r="KGV45" s="1044"/>
      <c r="KGW45" s="1044"/>
      <c r="KGX45" s="1044"/>
      <c r="KGY45" s="1044"/>
      <c r="KGZ45" s="1044"/>
      <c r="KHA45" s="1044"/>
      <c r="KHB45" s="1044"/>
      <c r="KHC45" s="1044"/>
      <c r="KHD45" s="1044"/>
      <c r="KHE45" s="1044"/>
      <c r="KHF45" s="1044"/>
      <c r="KHG45" s="1044"/>
      <c r="KHH45" s="1044"/>
      <c r="KHI45" s="1044"/>
      <c r="KHJ45" s="1044"/>
      <c r="KHK45" s="1044"/>
      <c r="KHL45" s="1044"/>
      <c r="KHM45" s="1044"/>
      <c r="KHN45" s="1044"/>
      <c r="KHO45" s="1044"/>
      <c r="KHP45" s="1044"/>
      <c r="KHQ45" s="1044"/>
      <c r="KHR45" s="1044"/>
      <c r="KHS45" s="1044"/>
      <c r="KHT45" s="1044"/>
      <c r="KHU45" s="1044"/>
      <c r="KHV45" s="1044"/>
      <c r="KHW45" s="1044"/>
      <c r="KHX45" s="1044"/>
      <c r="KHY45" s="1044"/>
      <c r="KHZ45" s="1044"/>
      <c r="KIA45" s="1044"/>
      <c r="KIB45" s="1044"/>
      <c r="KIC45" s="1044"/>
      <c r="KID45" s="1044"/>
      <c r="KIE45" s="1044"/>
      <c r="KIF45" s="1044"/>
      <c r="KIG45" s="1044"/>
      <c r="KIH45" s="1044"/>
      <c r="KII45" s="1044"/>
      <c r="KIJ45" s="1044"/>
      <c r="KIK45" s="1044"/>
      <c r="KIL45" s="1044"/>
      <c r="KIM45" s="1044"/>
      <c r="KIN45" s="1044"/>
      <c r="KIO45" s="1044"/>
      <c r="KIP45" s="1044"/>
      <c r="KIQ45" s="1044"/>
      <c r="KIR45" s="1044"/>
      <c r="KIS45" s="1044"/>
      <c r="KIT45" s="1044"/>
      <c r="KIU45" s="1044"/>
      <c r="KIV45" s="1044"/>
      <c r="KIW45" s="1044"/>
      <c r="KIX45" s="1044"/>
      <c r="KIY45" s="1044"/>
      <c r="KIZ45" s="1044"/>
      <c r="KJA45" s="1044"/>
      <c r="KJB45" s="1044"/>
      <c r="KJC45" s="1044"/>
      <c r="KJD45" s="1044"/>
      <c r="KJE45" s="1044"/>
      <c r="KJF45" s="1044"/>
      <c r="KJG45" s="1044"/>
      <c r="KJH45" s="1044"/>
      <c r="KJI45" s="1044"/>
      <c r="KJJ45" s="1044"/>
      <c r="KJK45" s="1044"/>
      <c r="KJL45" s="1044"/>
      <c r="KJM45" s="1044"/>
      <c r="KJN45" s="1044"/>
      <c r="KJO45" s="1044"/>
      <c r="KJP45" s="1044"/>
      <c r="KJQ45" s="1044"/>
      <c r="KJR45" s="1044"/>
      <c r="KJS45" s="1044"/>
      <c r="KJT45" s="1044"/>
      <c r="KJU45" s="1044"/>
      <c r="KJV45" s="1044"/>
      <c r="KJW45" s="1044"/>
      <c r="KJX45" s="1044"/>
      <c r="KJY45" s="1044"/>
      <c r="KJZ45" s="1044"/>
      <c r="KKA45" s="1044"/>
      <c r="KKB45" s="1044"/>
      <c r="KKC45" s="1044"/>
      <c r="KKD45" s="1044"/>
      <c r="KKE45" s="1044"/>
      <c r="KKF45" s="1044"/>
      <c r="KKG45" s="1044"/>
      <c r="KKH45" s="1044"/>
      <c r="KKI45" s="1044"/>
      <c r="KKJ45" s="1044"/>
      <c r="KKK45" s="1044"/>
      <c r="KKL45" s="1044"/>
      <c r="KKM45" s="1044"/>
      <c r="KKN45" s="1044"/>
      <c r="KKO45" s="1044"/>
      <c r="KKP45" s="1044"/>
      <c r="KKQ45" s="1044"/>
      <c r="KKR45" s="1044"/>
      <c r="KKS45" s="1044"/>
      <c r="KKT45" s="1044"/>
      <c r="KKU45" s="1044"/>
      <c r="KKV45" s="1044"/>
      <c r="KKW45" s="1044"/>
      <c r="KKX45" s="1044"/>
      <c r="KKY45" s="1044"/>
      <c r="KKZ45" s="1044"/>
      <c r="KLA45" s="1044"/>
      <c r="KLB45" s="1044"/>
      <c r="KLC45" s="1044"/>
      <c r="KLD45" s="1044"/>
      <c r="KLE45" s="1044"/>
      <c r="KLF45" s="1044"/>
      <c r="KLG45" s="1044"/>
      <c r="KLH45" s="1044"/>
      <c r="KLI45" s="1044"/>
      <c r="KLJ45" s="1044"/>
      <c r="KLK45" s="1044"/>
      <c r="KLL45" s="1044"/>
      <c r="KLM45" s="1044"/>
      <c r="KLN45" s="1044"/>
      <c r="KLO45" s="1044"/>
      <c r="KLP45" s="1044"/>
      <c r="KLQ45" s="1044"/>
      <c r="KLR45" s="1044"/>
      <c r="KLS45" s="1044"/>
      <c r="KLT45" s="1044"/>
      <c r="KLU45" s="1044"/>
      <c r="KLV45" s="1044"/>
      <c r="KLW45" s="1044"/>
      <c r="KLX45" s="1044"/>
      <c r="KLY45" s="1044"/>
      <c r="KLZ45" s="1044"/>
      <c r="KMA45" s="1044"/>
      <c r="KMB45" s="1044"/>
      <c r="KMC45" s="1044"/>
      <c r="KMD45" s="1044"/>
      <c r="KME45" s="1044"/>
      <c r="KMF45" s="1044"/>
      <c r="KMG45" s="1044"/>
      <c r="KMH45" s="1044"/>
      <c r="KMI45" s="1044"/>
      <c r="KMJ45" s="1044"/>
      <c r="KMK45" s="1044"/>
      <c r="KML45" s="1044"/>
      <c r="KMM45" s="1044"/>
      <c r="KMN45" s="1044"/>
      <c r="KMO45" s="1044"/>
      <c r="KMP45" s="1044"/>
      <c r="KMQ45" s="1044"/>
      <c r="KMR45" s="1044"/>
      <c r="KMS45" s="1044"/>
      <c r="KMT45" s="1044"/>
      <c r="KMU45" s="1044"/>
      <c r="KMV45" s="1044"/>
      <c r="KMW45" s="1044"/>
      <c r="KMX45" s="1044"/>
      <c r="KMY45" s="1044"/>
      <c r="KMZ45" s="1044"/>
      <c r="KNA45" s="1044"/>
      <c r="KNB45" s="1044"/>
      <c r="KNC45" s="1044"/>
      <c r="KND45" s="1044"/>
      <c r="KNE45" s="1044"/>
      <c r="KNF45" s="1044"/>
      <c r="KNG45" s="1044"/>
      <c r="KNH45" s="1044"/>
      <c r="KNI45" s="1044"/>
      <c r="KNJ45" s="1044"/>
      <c r="KNK45" s="1044"/>
      <c r="KNL45" s="1044"/>
      <c r="KNM45" s="1044"/>
      <c r="KNN45" s="1044"/>
      <c r="KNO45" s="1044"/>
      <c r="KNP45" s="1044"/>
      <c r="KNQ45" s="1044"/>
      <c r="KNR45" s="1044"/>
      <c r="KNS45" s="1044"/>
      <c r="KNT45" s="1044"/>
      <c r="KNU45" s="1044"/>
      <c r="KNV45" s="1044"/>
      <c r="KNW45" s="1044"/>
      <c r="KNX45" s="1044"/>
      <c r="KNY45" s="1044"/>
      <c r="KNZ45" s="1044"/>
      <c r="KOA45" s="1044"/>
      <c r="KOB45" s="1044"/>
      <c r="KOC45" s="1044"/>
      <c r="KOD45" s="1044"/>
      <c r="KOE45" s="1044"/>
      <c r="KOF45" s="1044"/>
      <c r="KOG45" s="1044"/>
      <c r="KOH45" s="1044"/>
      <c r="KOI45" s="1044"/>
      <c r="KOJ45" s="1044"/>
      <c r="KOK45" s="1044"/>
      <c r="KOL45" s="1044"/>
      <c r="KOM45" s="1044"/>
      <c r="KON45" s="1044"/>
      <c r="KOO45" s="1044"/>
      <c r="KOP45" s="1044"/>
      <c r="KOQ45" s="1044"/>
      <c r="KOR45" s="1044"/>
      <c r="KOS45" s="1044"/>
      <c r="KOT45" s="1044"/>
      <c r="KOU45" s="1044"/>
      <c r="KOV45" s="1044"/>
      <c r="KOW45" s="1044"/>
      <c r="KOX45" s="1044"/>
      <c r="KOY45" s="1044"/>
      <c r="KOZ45" s="1044"/>
      <c r="KPA45" s="1044"/>
      <c r="KPB45" s="1044"/>
      <c r="KPC45" s="1044"/>
      <c r="KPD45" s="1044"/>
      <c r="KPE45" s="1044"/>
      <c r="KPF45" s="1044"/>
      <c r="KPG45" s="1044"/>
      <c r="KPH45" s="1044"/>
      <c r="KPI45" s="1044"/>
      <c r="KPJ45" s="1044"/>
      <c r="KPK45" s="1044"/>
      <c r="KPL45" s="1044"/>
      <c r="KPM45" s="1044"/>
      <c r="KPN45" s="1044"/>
      <c r="KPO45" s="1044"/>
      <c r="KPP45" s="1044"/>
      <c r="KPQ45" s="1044"/>
      <c r="KPR45" s="1044"/>
      <c r="KPS45" s="1044"/>
      <c r="KPT45" s="1044"/>
      <c r="KPU45" s="1044"/>
      <c r="KPV45" s="1044"/>
      <c r="KPW45" s="1044"/>
      <c r="KPX45" s="1044"/>
      <c r="KPY45" s="1044"/>
      <c r="KPZ45" s="1044"/>
      <c r="KQA45" s="1044"/>
      <c r="KQB45" s="1044"/>
      <c r="KQC45" s="1044"/>
      <c r="KQD45" s="1044"/>
      <c r="KQE45" s="1044"/>
      <c r="KQF45" s="1044"/>
      <c r="KQG45" s="1044"/>
      <c r="KQH45" s="1044"/>
      <c r="KQI45" s="1044"/>
      <c r="KQJ45" s="1044"/>
      <c r="KQK45" s="1044"/>
      <c r="KQL45" s="1044"/>
      <c r="KQM45" s="1044"/>
      <c r="KQN45" s="1044"/>
      <c r="KQO45" s="1044"/>
      <c r="KQP45" s="1044"/>
      <c r="KQQ45" s="1044"/>
      <c r="KQR45" s="1044"/>
      <c r="KQS45" s="1044"/>
      <c r="KQT45" s="1044"/>
      <c r="KQU45" s="1044"/>
      <c r="KQV45" s="1044"/>
      <c r="KQW45" s="1044"/>
      <c r="KQX45" s="1044"/>
      <c r="KQY45" s="1044"/>
      <c r="KQZ45" s="1044"/>
      <c r="KRA45" s="1044"/>
      <c r="KRB45" s="1044"/>
      <c r="KRC45" s="1044"/>
      <c r="KRD45" s="1044"/>
      <c r="KRE45" s="1044"/>
      <c r="KRF45" s="1044"/>
      <c r="KRG45" s="1044"/>
      <c r="KRH45" s="1044"/>
      <c r="KRI45" s="1044"/>
      <c r="KRJ45" s="1044"/>
      <c r="KRK45" s="1044"/>
      <c r="KRL45" s="1044"/>
      <c r="KRM45" s="1044"/>
      <c r="KRN45" s="1044"/>
      <c r="KRO45" s="1044"/>
      <c r="KRP45" s="1044"/>
      <c r="KRQ45" s="1044"/>
      <c r="KRR45" s="1044"/>
      <c r="KRS45" s="1044"/>
      <c r="KRT45" s="1044"/>
      <c r="KRU45" s="1044"/>
      <c r="KRV45" s="1044"/>
      <c r="KRW45" s="1044"/>
      <c r="KRX45" s="1044"/>
      <c r="KRY45" s="1044"/>
      <c r="KRZ45" s="1044"/>
      <c r="KSA45" s="1044"/>
      <c r="KSB45" s="1044"/>
      <c r="KSC45" s="1044"/>
      <c r="KSD45" s="1044"/>
      <c r="KSE45" s="1044"/>
      <c r="KSF45" s="1044"/>
      <c r="KSG45" s="1044"/>
      <c r="KSH45" s="1044"/>
      <c r="KSI45" s="1044"/>
      <c r="KSJ45" s="1044"/>
      <c r="KSK45" s="1044"/>
      <c r="KSL45" s="1044"/>
      <c r="KSM45" s="1044"/>
      <c r="KSN45" s="1044"/>
      <c r="KSO45" s="1044"/>
      <c r="KSP45" s="1044"/>
      <c r="KSQ45" s="1044"/>
      <c r="KSR45" s="1044"/>
      <c r="KSS45" s="1044"/>
      <c r="KST45" s="1044"/>
      <c r="KSU45" s="1044"/>
      <c r="KSV45" s="1044"/>
      <c r="KSW45" s="1044"/>
      <c r="KSX45" s="1044"/>
      <c r="KSY45" s="1044"/>
      <c r="KSZ45" s="1044"/>
      <c r="KTA45" s="1044"/>
      <c r="KTB45" s="1044"/>
      <c r="KTC45" s="1044"/>
      <c r="KTD45" s="1044"/>
      <c r="KTE45" s="1044"/>
      <c r="KTF45" s="1044"/>
      <c r="KTG45" s="1044"/>
      <c r="KTH45" s="1044"/>
      <c r="KTI45" s="1044"/>
      <c r="KTJ45" s="1044"/>
      <c r="KTK45" s="1044"/>
      <c r="KTL45" s="1044"/>
      <c r="KTM45" s="1044"/>
      <c r="KTN45" s="1044"/>
      <c r="KTO45" s="1044"/>
      <c r="KTP45" s="1044"/>
      <c r="KTQ45" s="1044"/>
      <c r="KTR45" s="1044"/>
      <c r="KTS45" s="1044"/>
      <c r="KTT45" s="1044"/>
      <c r="KTU45" s="1044"/>
      <c r="KTV45" s="1044"/>
      <c r="KTW45" s="1044"/>
      <c r="KTX45" s="1044"/>
      <c r="KTY45" s="1044"/>
      <c r="KTZ45" s="1044"/>
      <c r="KUA45" s="1044"/>
      <c r="KUB45" s="1044"/>
      <c r="KUC45" s="1044"/>
      <c r="KUD45" s="1044"/>
      <c r="KUE45" s="1044"/>
      <c r="KUF45" s="1044"/>
      <c r="KUG45" s="1044"/>
      <c r="KUH45" s="1044"/>
      <c r="KUI45" s="1044"/>
      <c r="KUJ45" s="1044"/>
      <c r="KUK45" s="1044"/>
      <c r="KUL45" s="1044"/>
      <c r="KUM45" s="1044"/>
      <c r="KUN45" s="1044"/>
      <c r="KUO45" s="1044"/>
      <c r="KUP45" s="1044"/>
      <c r="KUQ45" s="1044"/>
      <c r="KUR45" s="1044"/>
      <c r="KUS45" s="1044"/>
      <c r="KUT45" s="1044"/>
      <c r="KUU45" s="1044"/>
      <c r="KUV45" s="1044"/>
      <c r="KUW45" s="1044"/>
      <c r="KUX45" s="1044"/>
      <c r="KUY45" s="1044"/>
      <c r="KUZ45" s="1044"/>
      <c r="KVA45" s="1044"/>
      <c r="KVB45" s="1044"/>
      <c r="KVC45" s="1044"/>
      <c r="KVD45" s="1044"/>
      <c r="KVE45" s="1044"/>
      <c r="KVF45" s="1044"/>
      <c r="KVG45" s="1044"/>
      <c r="KVH45" s="1044"/>
      <c r="KVI45" s="1044"/>
      <c r="KVJ45" s="1044"/>
      <c r="KVK45" s="1044"/>
      <c r="KVL45" s="1044"/>
      <c r="KVM45" s="1044"/>
      <c r="KVN45" s="1044"/>
      <c r="KVO45" s="1044"/>
      <c r="KVP45" s="1044"/>
      <c r="KVQ45" s="1044"/>
      <c r="KVR45" s="1044"/>
      <c r="KVS45" s="1044"/>
      <c r="KVT45" s="1044"/>
      <c r="KVU45" s="1044"/>
      <c r="KVV45" s="1044"/>
      <c r="KVW45" s="1044"/>
      <c r="KVX45" s="1044"/>
      <c r="KVY45" s="1044"/>
      <c r="KVZ45" s="1044"/>
      <c r="KWA45" s="1044"/>
      <c r="KWB45" s="1044"/>
      <c r="KWC45" s="1044"/>
      <c r="KWD45" s="1044"/>
      <c r="KWE45" s="1044"/>
      <c r="KWF45" s="1044"/>
      <c r="KWG45" s="1044"/>
      <c r="KWH45" s="1044"/>
      <c r="KWI45" s="1044"/>
      <c r="KWJ45" s="1044"/>
      <c r="KWK45" s="1044"/>
      <c r="KWL45" s="1044"/>
      <c r="KWM45" s="1044"/>
      <c r="KWN45" s="1044"/>
      <c r="KWO45" s="1044"/>
      <c r="KWP45" s="1044"/>
      <c r="KWQ45" s="1044"/>
      <c r="KWR45" s="1044"/>
      <c r="KWS45" s="1044"/>
      <c r="KWT45" s="1044"/>
      <c r="KWU45" s="1044"/>
      <c r="KWV45" s="1044"/>
      <c r="KWW45" s="1044"/>
      <c r="KWX45" s="1044"/>
      <c r="KWY45" s="1044"/>
      <c r="KWZ45" s="1044"/>
      <c r="KXA45" s="1044"/>
      <c r="KXB45" s="1044"/>
      <c r="KXC45" s="1044"/>
      <c r="KXD45" s="1044"/>
      <c r="KXE45" s="1044"/>
      <c r="KXF45" s="1044"/>
      <c r="KXG45" s="1044"/>
      <c r="KXH45" s="1044"/>
      <c r="KXI45" s="1044"/>
      <c r="KXJ45" s="1044"/>
      <c r="KXK45" s="1044"/>
      <c r="KXL45" s="1044"/>
      <c r="KXM45" s="1044"/>
      <c r="KXN45" s="1044"/>
      <c r="KXO45" s="1044"/>
      <c r="KXP45" s="1044"/>
      <c r="KXQ45" s="1044"/>
      <c r="KXR45" s="1044"/>
      <c r="KXS45" s="1044"/>
      <c r="KXT45" s="1044"/>
      <c r="KXU45" s="1044"/>
      <c r="KXV45" s="1044"/>
      <c r="KXW45" s="1044"/>
      <c r="KXX45" s="1044"/>
      <c r="KXY45" s="1044"/>
      <c r="KXZ45" s="1044"/>
      <c r="KYA45" s="1044"/>
      <c r="KYB45" s="1044"/>
      <c r="KYC45" s="1044"/>
      <c r="KYD45" s="1044"/>
      <c r="KYE45" s="1044"/>
      <c r="KYF45" s="1044"/>
      <c r="KYG45" s="1044"/>
      <c r="KYH45" s="1044"/>
      <c r="KYI45" s="1044"/>
      <c r="KYJ45" s="1044"/>
      <c r="KYK45" s="1044"/>
      <c r="KYL45" s="1044"/>
      <c r="KYM45" s="1044"/>
      <c r="KYN45" s="1044"/>
      <c r="KYO45" s="1044"/>
      <c r="KYP45" s="1044"/>
      <c r="KYQ45" s="1044"/>
      <c r="KYR45" s="1044"/>
      <c r="KYS45" s="1044"/>
      <c r="KYT45" s="1044"/>
      <c r="KYU45" s="1044"/>
      <c r="KYV45" s="1044"/>
      <c r="KYW45" s="1044"/>
      <c r="KYX45" s="1044"/>
      <c r="KYY45" s="1044"/>
      <c r="KYZ45" s="1044"/>
      <c r="KZA45" s="1044"/>
      <c r="KZB45" s="1044"/>
      <c r="KZC45" s="1044"/>
      <c r="KZD45" s="1044"/>
      <c r="KZE45" s="1044"/>
      <c r="KZF45" s="1044"/>
      <c r="KZG45" s="1044"/>
      <c r="KZH45" s="1044"/>
      <c r="KZI45" s="1044"/>
      <c r="KZJ45" s="1044"/>
      <c r="KZK45" s="1044"/>
      <c r="KZL45" s="1044"/>
      <c r="KZM45" s="1044"/>
      <c r="KZN45" s="1044"/>
      <c r="KZO45" s="1044"/>
      <c r="KZP45" s="1044"/>
      <c r="KZQ45" s="1044"/>
      <c r="KZR45" s="1044"/>
      <c r="KZS45" s="1044"/>
      <c r="KZT45" s="1044"/>
      <c r="KZU45" s="1044"/>
      <c r="KZV45" s="1044"/>
      <c r="KZW45" s="1044"/>
      <c r="KZX45" s="1044"/>
      <c r="KZY45" s="1044"/>
      <c r="KZZ45" s="1044"/>
      <c r="LAA45" s="1044"/>
      <c r="LAB45" s="1044"/>
      <c r="LAC45" s="1044"/>
      <c r="LAD45" s="1044"/>
      <c r="LAE45" s="1044"/>
      <c r="LAF45" s="1044"/>
      <c r="LAG45" s="1044"/>
      <c r="LAH45" s="1044"/>
      <c r="LAI45" s="1044"/>
      <c r="LAJ45" s="1044"/>
      <c r="LAK45" s="1044"/>
      <c r="LAL45" s="1044"/>
      <c r="LAM45" s="1044"/>
      <c r="LAN45" s="1044"/>
      <c r="LAO45" s="1044"/>
      <c r="LAP45" s="1044"/>
      <c r="LAQ45" s="1044"/>
      <c r="LAR45" s="1044"/>
      <c r="LAS45" s="1044"/>
      <c r="LAT45" s="1044"/>
      <c r="LAU45" s="1044"/>
      <c r="LAV45" s="1044"/>
      <c r="LAW45" s="1044"/>
      <c r="LAX45" s="1044"/>
      <c r="LAY45" s="1044"/>
      <c r="LAZ45" s="1044"/>
      <c r="LBA45" s="1044"/>
      <c r="LBB45" s="1044"/>
      <c r="LBC45" s="1044"/>
      <c r="LBD45" s="1044"/>
      <c r="LBE45" s="1044"/>
      <c r="LBF45" s="1044"/>
      <c r="LBG45" s="1044"/>
      <c r="LBH45" s="1044"/>
      <c r="LBI45" s="1044"/>
      <c r="LBJ45" s="1044"/>
      <c r="LBK45" s="1044"/>
      <c r="LBL45" s="1044"/>
      <c r="LBM45" s="1044"/>
      <c r="LBN45" s="1044"/>
      <c r="LBO45" s="1044"/>
      <c r="LBP45" s="1044"/>
      <c r="LBQ45" s="1044"/>
      <c r="LBR45" s="1044"/>
      <c r="LBS45" s="1044"/>
      <c r="LBT45" s="1044"/>
      <c r="LBU45" s="1044"/>
      <c r="LBV45" s="1044"/>
      <c r="LBW45" s="1044"/>
      <c r="LBX45" s="1044"/>
      <c r="LBY45" s="1044"/>
      <c r="LBZ45" s="1044"/>
      <c r="LCA45" s="1044"/>
      <c r="LCB45" s="1044"/>
      <c r="LCC45" s="1044"/>
      <c r="LCD45" s="1044"/>
      <c r="LCE45" s="1044"/>
      <c r="LCF45" s="1044"/>
      <c r="LCG45" s="1044"/>
      <c r="LCH45" s="1044"/>
      <c r="LCI45" s="1044"/>
      <c r="LCJ45" s="1044"/>
      <c r="LCK45" s="1044"/>
      <c r="LCL45" s="1044"/>
      <c r="LCM45" s="1044"/>
      <c r="LCN45" s="1044"/>
      <c r="LCO45" s="1044"/>
      <c r="LCP45" s="1044"/>
      <c r="LCQ45" s="1044"/>
      <c r="LCR45" s="1044"/>
      <c r="LCS45" s="1044"/>
      <c r="LCT45" s="1044"/>
      <c r="LCU45" s="1044"/>
      <c r="LCV45" s="1044"/>
      <c r="LCW45" s="1044"/>
      <c r="LCX45" s="1044"/>
      <c r="LCY45" s="1044"/>
      <c r="LCZ45" s="1044"/>
      <c r="LDA45" s="1044"/>
      <c r="LDB45" s="1044"/>
      <c r="LDC45" s="1044"/>
      <c r="LDD45" s="1044"/>
      <c r="LDE45" s="1044"/>
      <c r="LDF45" s="1044"/>
      <c r="LDG45" s="1044"/>
      <c r="LDH45" s="1044"/>
      <c r="LDI45" s="1044"/>
      <c r="LDJ45" s="1044"/>
      <c r="LDK45" s="1044"/>
      <c r="LDL45" s="1044"/>
      <c r="LDM45" s="1044"/>
      <c r="LDN45" s="1044"/>
      <c r="LDO45" s="1044"/>
      <c r="LDP45" s="1044"/>
      <c r="LDQ45" s="1044"/>
      <c r="LDR45" s="1044"/>
      <c r="LDS45" s="1044"/>
      <c r="LDT45" s="1044"/>
      <c r="LDU45" s="1044"/>
      <c r="LDV45" s="1044"/>
      <c r="LDW45" s="1044"/>
      <c r="LDX45" s="1044"/>
      <c r="LDY45" s="1044"/>
      <c r="LDZ45" s="1044"/>
      <c r="LEA45" s="1044"/>
      <c r="LEB45" s="1044"/>
      <c r="LEC45" s="1044"/>
      <c r="LED45" s="1044"/>
      <c r="LEE45" s="1044"/>
      <c r="LEF45" s="1044"/>
      <c r="LEG45" s="1044"/>
      <c r="LEH45" s="1044"/>
      <c r="LEI45" s="1044"/>
      <c r="LEJ45" s="1044"/>
      <c r="LEK45" s="1044"/>
      <c r="LEL45" s="1044"/>
      <c r="LEM45" s="1044"/>
      <c r="LEN45" s="1044"/>
      <c r="LEO45" s="1044"/>
      <c r="LEP45" s="1044"/>
      <c r="LEQ45" s="1044"/>
      <c r="LER45" s="1044"/>
      <c r="LES45" s="1044"/>
      <c r="LET45" s="1044"/>
      <c r="LEU45" s="1044"/>
      <c r="LEV45" s="1044"/>
      <c r="LEW45" s="1044"/>
      <c r="LEX45" s="1044"/>
      <c r="LEY45" s="1044"/>
      <c r="LEZ45" s="1044"/>
      <c r="LFA45" s="1044"/>
      <c r="LFB45" s="1044"/>
      <c r="LFC45" s="1044"/>
      <c r="LFD45" s="1044"/>
      <c r="LFE45" s="1044"/>
      <c r="LFF45" s="1044"/>
      <c r="LFG45" s="1044"/>
      <c r="LFH45" s="1044"/>
      <c r="LFI45" s="1044"/>
      <c r="LFJ45" s="1044"/>
      <c r="LFK45" s="1044"/>
      <c r="LFL45" s="1044"/>
      <c r="LFM45" s="1044"/>
      <c r="LFN45" s="1044"/>
      <c r="LFO45" s="1044"/>
      <c r="LFP45" s="1044"/>
      <c r="LFQ45" s="1044"/>
      <c r="LFR45" s="1044"/>
      <c r="LFS45" s="1044"/>
      <c r="LFT45" s="1044"/>
      <c r="LFU45" s="1044"/>
      <c r="LFV45" s="1044"/>
      <c r="LFW45" s="1044"/>
      <c r="LFX45" s="1044"/>
      <c r="LFY45" s="1044"/>
      <c r="LFZ45" s="1044"/>
      <c r="LGA45" s="1044"/>
      <c r="LGB45" s="1044"/>
      <c r="LGC45" s="1044"/>
      <c r="LGD45" s="1044"/>
      <c r="LGE45" s="1044"/>
      <c r="LGF45" s="1044"/>
      <c r="LGG45" s="1044"/>
      <c r="LGH45" s="1044"/>
      <c r="LGI45" s="1044"/>
      <c r="LGJ45" s="1044"/>
      <c r="LGK45" s="1044"/>
      <c r="LGL45" s="1044"/>
      <c r="LGM45" s="1044"/>
      <c r="LGN45" s="1044"/>
      <c r="LGO45" s="1044"/>
      <c r="LGP45" s="1044"/>
      <c r="LGQ45" s="1044"/>
      <c r="LGR45" s="1044"/>
      <c r="LGS45" s="1044"/>
      <c r="LGT45" s="1044"/>
      <c r="LGU45" s="1044"/>
      <c r="LGV45" s="1044"/>
      <c r="LGW45" s="1044"/>
      <c r="LGX45" s="1044"/>
      <c r="LGY45" s="1044"/>
      <c r="LGZ45" s="1044"/>
      <c r="LHA45" s="1044"/>
      <c r="LHB45" s="1044"/>
      <c r="LHC45" s="1044"/>
      <c r="LHD45" s="1044"/>
      <c r="LHE45" s="1044"/>
      <c r="LHF45" s="1044"/>
      <c r="LHG45" s="1044"/>
      <c r="LHH45" s="1044"/>
      <c r="LHI45" s="1044"/>
      <c r="LHJ45" s="1044"/>
      <c r="LHK45" s="1044"/>
      <c r="LHL45" s="1044"/>
      <c r="LHM45" s="1044"/>
      <c r="LHN45" s="1044"/>
      <c r="LHO45" s="1044"/>
      <c r="LHP45" s="1044"/>
      <c r="LHQ45" s="1044"/>
      <c r="LHR45" s="1044"/>
      <c r="LHS45" s="1044"/>
      <c r="LHT45" s="1044"/>
      <c r="LHU45" s="1044"/>
      <c r="LHV45" s="1044"/>
      <c r="LHW45" s="1044"/>
      <c r="LHX45" s="1044"/>
      <c r="LHY45" s="1044"/>
      <c r="LHZ45" s="1044"/>
      <c r="LIA45" s="1044"/>
      <c r="LIB45" s="1044"/>
      <c r="LIC45" s="1044"/>
      <c r="LID45" s="1044"/>
      <c r="LIE45" s="1044"/>
      <c r="LIF45" s="1044"/>
      <c r="LIG45" s="1044"/>
      <c r="LIH45" s="1044"/>
      <c r="LII45" s="1044"/>
      <c r="LIJ45" s="1044"/>
      <c r="LIK45" s="1044"/>
      <c r="LIL45" s="1044"/>
      <c r="LIM45" s="1044"/>
      <c r="LIN45" s="1044"/>
      <c r="LIO45" s="1044"/>
      <c r="LIP45" s="1044"/>
      <c r="LIQ45" s="1044"/>
      <c r="LIR45" s="1044"/>
      <c r="LIS45" s="1044"/>
      <c r="LIT45" s="1044"/>
      <c r="LIU45" s="1044"/>
      <c r="LIV45" s="1044"/>
      <c r="LIW45" s="1044"/>
      <c r="LIX45" s="1044"/>
      <c r="LIY45" s="1044"/>
      <c r="LIZ45" s="1044"/>
      <c r="LJA45" s="1044"/>
      <c r="LJB45" s="1044"/>
      <c r="LJC45" s="1044"/>
      <c r="LJD45" s="1044"/>
      <c r="LJE45" s="1044"/>
      <c r="LJF45" s="1044"/>
      <c r="LJG45" s="1044"/>
      <c r="LJH45" s="1044"/>
      <c r="LJI45" s="1044"/>
      <c r="LJJ45" s="1044"/>
      <c r="LJK45" s="1044"/>
      <c r="LJL45" s="1044"/>
      <c r="LJM45" s="1044"/>
      <c r="LJN45" s="1044"/>
      <c r="LJO45" s="1044"/>
      <c r="LJP45" s="1044"/>
      <c r="LJQ45" s="1044"/>
      <c r="LJR45" s="1044"/>
      <c r="LJS45" s="1044"/>
      <c r="LJT45" s="1044"/>
      <c r="LJU45" s="1044"/>
      <c r="LJV45" s="1044"/>
      <c r="LJW45" s="1044"/>
      <c r="LJX45" s="1044"/>
      <c r="LJY45" s="1044"/>
      <c r="LJZ45" s="1044"/>
      <c r="LKA45" s="1044"/>
      <c r="LKB45" s="1044"/>
      <c r="LKC45" s="1044"/>
      <c r="LKD45" s="1044"/>
      <c r="LKE45" s="1044"/>
      <c r="LKF45" s="1044"/>
      <c r="LKG45" s="1044"/>
      <c r="LKH45" s="1044"/>
      <c r="LKI45" s="1044"/>
      <c r="LKJ45" s="1044"/>
      <c r="LKK45" s="1044"/>
      <c r="LKL45" s="1044"/>
      <c r="LKM45" s="1044"/>
      <c r="LKN45" s="1044"/>
      <c r="LKO45" s="1044"/>
      <c r="LKP45" s="1044"/>
      <c r="LKQ45" s="1044"/>
      <c r="LKR45" s="1044"/>
      <c r="LKS45" s="1044"/>
      <c r="LKT45" s="1044"/>
      <c r="LKU45" s="1044"/>
      <c r="LKV45" s="1044"/>
      <c r="LKW45" s="1044"/>
      <c r="LKX45" s="1044"/>
      <c r="LKY45" s="1044"/>
      <c r="LKZ45" s="1044"/>
      <c r="LLA45" s="1044"/>
      <c r="LLB45" s="1044"/>
      <c r="LLC45" s="1044"/>
      <c r="LLD45" s="1044"/>
      <c r="LLE45" s="1044"/>
      <c r="LLF45" s="1044"/>
      <c r="LLG45" s="1044"/>
      <c r="LLH45" s="1044"/>
      <c r="LLI45" s="1044"/>
      <c r="LLJ45" s="1044"/>
      <c r="LLK45" s="1044"/>
      <c r="LLL45" s="1044"/>
      <c r="LLM45" s="1044"/>
      <c r="LLN45" s="1044"/>
      <c r="LLO45" s="1044"/>
      <c r="LLP45" s="1044"/>
      <c r="LLQ45" s="1044"/>
      <c r="LLR45" s="1044"/>
      <c r="LLS45" s="1044"/>
      <c r="LLT45" s="1044"/>
      <c r="LLU45" s="1044"/>
      <c r="LLV45" s="1044"/>
      <c r="LLW45" s="1044"/>
      <c r="LLX45" s="1044"/>
      <c r="LLY45" s="1044"/>
      <c r="LLZ45" s="1044"/>
      <c r="LMA45" s="1044"/>
      <c r="LMB45" s="1044"/>
      <c r="LMC45" s="1044"/>
      <c r="LMD45" s="1044"/>
      <c r="LME45" s="1044"/>
      <c r="LMF45" s="1044"/>
      <c r="LMG45" s="1044"/>
      <c r="LMH45" s="1044"/>
      <c r="LMI45" s="1044"/>
      <c r="LMJ45" s="1044"/>
      <c r="LMK45" s="1044"/>
      <c r="LML45" s="1044"/>
      <c r="LMM45" s="1044"/>
      <c r="LMN45" s="1044"/>
      <c r="LMO45" s="1044"/>
      <c r="LMP45" s="1044"/>
      <c r="LMQ45" s="1044"/>
      <c r="LMR45" s="1044"/>
      <c r="LMS45" s="1044"/>
      <c r="LMT45" s="1044"/>
      <c r="LMU45" s="1044"/>
      <c r="LMV45" s="1044"/>
      <c r="LMW45" s="1044"/>
      <c r="LMX45" s="1044"/>
      <c r="LMY45" s="1044"/>
      <c r="LMZ45" s="1044"/>
      <c r="LNA45" s="1044"/>
      <c r="LNB45" s="1044"/>
      <c r="LNC45" s="1044"/>
      <c r="LND45" s="1044"/>
      <c r="LNE45" s="1044"/>
      <c r="LNF45" s="1044"/>
      <c r="LNG45" s="1044"/>
      <c r="LNH45" s="1044"/>
      <c r="LNI45" s="1044"/>
      <c r="LNJ45" s="1044"/>
      <c r="LNK45" s="1044"/>
      <c r="LNL45" s="1044"/>
      <c r="LNM45" s="1044"/>
      <c r="LNN45" s="1044"/>
      <c r="LNO45" s="1044"/>
      <c r="LNP45" s="1044"/>
      <c r="LNQ45" s="1044"/>
      <c r="LNR45" s="1044"/>
      <c r="LNS45" s="1044"/>
      <c r="LNT45" s="1044"/>
      <c r="LNU45" s="1044"/>
      <c r="LNV45" s="1044"/>
      <c r="LNW45" s="1044"/>
      <c r="LNX45" s="1044"/>
      <c r="LNY45" s="1044"/>
      <c r="LNZ45" s="1044"/>
      <c r="LOA45" s="1044"/>
      <c r="LOB45" s="1044"/>
      <c r="LOC45" s="1044"/>
      <c r="LOD45" s="1044"/>
      <c r="LOE45" s="1044"/>
      <c r="LOF45" s="1044"/>
      <c r="LOG45" s="1044"/>
      <c r="LOH45" s="1044"/>
      <c r="LOI45" s="1044"/>
      <c r="LOJ45" s="1044"/>
      <c r="LOK45" s="1044"/>
      <c r="LOL45" s="1044"/>
      <c r="LOM45" s="1044"/>
      <c r="LON45" s="1044"/>
      <c r="LOO45" s="1044"/>
      <c r="LOP45" s="1044"/>
      <c r="LOQ45" s="1044"/>
      <c r="LOR45" s="1044"/>
      <c r="LOS45" s="1044"/>
      <c r="LOT45" s="1044"/>
      <c r="LOU45" s="1044"/>
      <c r="LOV45" s="1044"/>
      <c r="LOW45" s="1044"/>
      <c r="LOX45" s="1044"/>
      <c r="LOY45" s="1044"/>
      <c r="LOZ45" s="1044"/>
      <c r="LPA45" s="1044"/>
      <c r="LPB45" s="1044"/>
      <c r="LPC45" s="1044"/>
      <c r="LPD45" s="1044"/>
      <c r="LPE45" s="1044"/>
      <c r="LPF45" s="1044"/>
      <c r="LPG45" s="1044"/>
      <c r="LPH45" s="1044"/>
      <c r="LPI45" s="1044"/>
      <c r="LPJ45" s="1044"/>
      <c r="LPK45" s="1044"/>
      <c r="LPL45" s="1044"/>
      <c r="LPM45" s="1044"/>
      <c r="LPN45" s="1044"/>
      <c r="LPO45" s="1044"/>
      <c r="LPP45" s="1044"/>
      <c r="LPQ45" s="1044"/>
      <c r="LPR45" s="1044"/>
      <c r="LPS45" s="1044"/>
      <c r="LPT45" s="1044"/>
      <c r="LPU45" s="1044"/>
      <c r="LPV45" s="1044"/>
      <c r="LPW45" s="1044"/>
      <c r="LPX45" s="1044"/>
      <c r="LPY45" s="1044"/>
      <c r="LPZ45" s="1044"/>
      <c r="LQA45" s="1044"/>
      <c r="LQB45" s="1044"/>
      <c r="LQC45" s="1044"/>
      <c r="LQD45" s="1044"/>
      <c r="LQE45" s="1044"/>
      <c r="LQF45" s="1044"/>
      <c r="LQG45" s="1044"/>
      <c r="LQH45" s="1044"/>
      <c r="LQI45" s="1044"/>
      <c r="LQJ45" s="1044"/>
      <c r="LQK45" s="1044"/>
      <c r="LQL45" s="1044"/>
      <c r="LQM45" s="1044"/>
      <c r="LQN45" s="1044"/>
      <c r="LQO45" s="1044"/>
      <c r="LQP45" s="1044"/>
      <c r="LQQ45" s="1044"/>
      <c r="LQR45" s="1044"/>
      <c r="LQS45" s="1044"/>
      <c r="LQT45" s="1044"/>
      <c r="LQU45" s="1044"/>
      <c r="LQV45" s="1044"/>
      <c r="LQW45" s="1044"/>
      <c r="LQX45" s="1044"/>
      <c r="LQY45" s="1044"/>
      <c r="LQZ45" s="1044"/>
      <c r="LRA45" s="1044"/>
      <c r="LRB45" s="1044"/>
      <c r="LRC45" s="1044"/>
      <c r="LRD45" s="1044"/>
      <c r="LRE45" s="1044"/>
      <c r="LRF45" s="1044"/>
      <c r="LRG45" s="1044"/>
      <c r="LRH45" s="1044"/>
      <c r="LRI45" s="1044"/>
      <c r="LRJ45" s="1044"/>
      <c r="LRK45" s="1044"/>
      <c r="LRL45" s="1044"/>
      <c r="LRM45" s="1044"/>
      <c r="LRN45" s="1044"/>
      <c r="LRO45" s="1044"/>
      <c r="LRP45" s="1044"/>
      <c r="LRQ45" s="1044"/>
      <c r="LRR45" s="1044"/>
      <c r="LRS45" s="1044"/>
      <c r="LRT45" s="1044"/>
      <c r="LRU45" s="1044"/>
      <c r="LRV45" s="1044"/>
      <c r="LRW45" s="1044"/>
      <c r="LRX45" s="1044"/>
      <c r="LRY45" s="1044"/>
      <c r="LRZ45" s="1044"/>
      <c r="LSA45" s="1044"/>
      <c r="LSB45" s="1044"/>
      <c r="LSC45" s="1044"/>
      <c r="LSD45" s="1044"/>
      <c r="LSE45" s="1044"/>
      <c r="LSF45" s="1044"/>
      <c r="LSG45" s="1044"/>
      <c r="LSH45" s="1044"/>
      <c r="LSI45" s="1044"/>
      <c r="LSJ45" s="1044"/>
      <c r="LSK45" s="1044"/>
      <c r="LSL45" s="1044"/>
      <c r="LSM45" s="1044"/>
      <c r="LSN45" s="1044"/>
      <c r="LSO45" s="1044"/>
      <c r="LSP45" s="1044"/>
      <c r="LSQ45" s="1044"/>
      <c r="LSR45" s="1044"/>
      <c r="LSS45" s="1044"/>
      <c r="LST45" s="1044"/>
      <c r="LSU45" s="1044"/>
      <c r="LSV45" s="1044"/>
      <c r="LSW45" s="1044"/>
      <c r="LSX45" s="1044"/>
      <c r="LSY45" s="1044"/>
      <c r="LSZ45" s="1044"/>
      <c r="LTA45" s="1044"/>
      <c r="LTB45" s="1044"/>
      <c r="LTC45" s="1044"/>
      <c r="LTD45" s="1044"/>
      <c r="LTE45" s="1044"/>
      <c r="LTF45" s="1044"/>
      <c r="LTG45" s="1044"/>
      <c r="LTH45" s="1044"/>
      <c r="LTI45" s="1044"/>
      <c r="LTJ45" s="1044"/>
      <c r="LTK45" s="1044"/>
      <c r="LTL45" s="1044"/>
      <c r="LTM45" s="1044"/>
      <c r="LTN45" s="1044"/>
      <c r="LTO45" s="1044"/>
      <c r="LTP45" s="1044"/>
      <c r="LTQ45" s="1044"/>
      <c r="LTR45" s="1044"/>
      <c r="LTS45" s="1044"/>
      <c r="LTT45" s="1044"/>
      <c r="LTU45" s="1044"/>
      <c r="LTV45" s="1044"/>
      <c r="LTW45" s="1044"/>
      <c r="LTX45" s="1044"/>
      <c r="LTY45" s="1044"/>
      <c r="LTZ45" s="1044"/>
      <c r="LUA45" s="1044"/>
      <c r="LUB45" s="1044"/>
      <c r="LUC45" s="1044"/>
      <c r="LUD45" s="1044"/>
      <c r="LUE45" s="1044"/>
      <c r="LUF45" s="1044"/>
      <c r="LUG45" s="1044"/>
      <c r="LUH45" s="1044"/>
      <c r="LUI45" s="1044"/>
      <c r="LUJ45" s="1044"/>
      <c r="LUK45" s="1044"/>
      <c r="LUL45" s="1044"/>
      <c r="LUM45" s="1044"/>
      <c r="LUN45" s="1044"/>
      <c r="LUO45" s="1044"/>
      <c r="LUP45" s="1044"/>
      <c r="LUQ45" s="1044"/>
      <c r="LUR45" s="1044"/>
      <c r="LUS45" s="1044"/>
      <c r="LUT45" s="1044"/>
      <c r="LUU45" s="1044"/>
      <c r="LUV45" s="1044"/>
      <c r="LUW45" s="1044"/>
      <c r="LUX45" s="1044"/>
      <c r="LUY45" s="1044"/>
      <c r="LUZ45" s="1044"/>
      <c r="LVA45" s="1044"/>
      <c r="LVB45" s="1044"/>
      <c r="LVC45" s="1044"/>
      <c r="LVD45" s="1044"/>
      <c r="LVE45" s="1044"/>
      <c r="LVF45" s="1044"/>
      <c r="LVG45" s="1044"/>
      <c r="LVH45" s="1044"/>
      <c r="LVI45" s="1044"/>
      <c r="LVJ45" s="1044"/>
      <c r="LVK45" s="1044"/>
      <c r="LVL45" s="1044"/>
      <c r="LVM45" s="1044"/>
      <c r="LVN45" s="1044"/>
      <c r="LVO45" s="1044"/>
      <c r="LVP45" s="1044"/>
      <c r="LVQ45" s="1044"/>
      <c r="LVR45" s="1044"/>
      <c r="LVS45" s="1044"/>
      <c r="LVT45" s="1044"/>
      <c r="LVU45" s="1044"/>
      <c r="LVV45" s="1044"/>
      <c r="LVW45" s="1044"/>
      <c r="LVX45" s="1044"/>
      <c r="LVY45" s="1044"/>
      <c r="LVZ45" s="1044"/>
      <c r="LWA45" s="1044"/>
      <c r="LWB45" s="1044"/>
      <c r="LWC45" s="1044"/>
      <c r="LWD45" s="1044"/>
      <c r="LWE45" s="1044"/>
      <c r="LWF45" s="1044"/>
      <c r="LWG45" s="1044"/>
      <c r="LWH45" s="1044"/>
      <c r="LWI45" s="1044"/>
      <c r="LWJ45" s="1044"/>
      <c r="LWK45" s="1044"/>
      <c r="LWL45" s="1044"/>
      <c r="LWM45" s="1044"/>
      <c r="LWN45" s="1044"/>
      <c r="LWO45" s="1044"/>
      <c r="LWP45" s="1044"/>
      <c r="LWQ45" s="1044"/>
      <c r="LWR45" s="1044"/>
      <c r="LWS45" s="1044"/>
      <c r="LWT45" s="1044"/>
      <c r="LWU45" s="1044"/>
      <c r="LWV45" s="1044"/>
      <c r="LWW45" s="1044"/>
      <c r="LWX45" s="1044"/>
      <c r="LWY45" s="1044"/>
      <c r="LWZ45" s="1044"/>
      <c r="LXA45" s="1044"/>
      <c r="LXB45" s="1044"/>
      <c r="LXC45" s="1044"/>
      <c r="LXD45" s="1044"/>
      <c r="LXE45" s="1044"/>
      <c r="LXF45" s="1044"/>
      <c r="LXG45" s="1044"/>
      <c r="LXH45" s="1044"/>
      <c r="LXI45" s="1044"/>
      <c r="LXJ45" s="1044"/>
      <c r="LXK45" s="1044"/>
      <c r="LXL45" s="1044"/>
      <c r="LXM45" s="1044"/>
      <c r="LXN45" s="1044"/>
      <c r="LXO45" s="1044"/>
      <c r="LXP45" s="1044"/>
      <c r="LXQ45" s="1044"/>
      <c r="LXR45" s="1044"/>
      <c r="LXS45" s="1044"/>
      <c r="LXT45" s="1044"/>
      <c r="LXU45" s="1044"/>
      <c r="LXV45" s="1044"/>
      <c r="LXW45" s="1044"/>
      <c r="LXX45" s="1044"/>
      <c r="LXY45" s="1044"/>
      <c r="LXZ45" s="1044"/>
      <c r="LYA45" s="1044"/>
      <c r="LYB45" s="1044"/>
      <c r="LYC45" s="1044"/>
      <c r="LYD45" s="1044"/>
      <c r="LYE45" s="1044"/>
      <c r="LYF45" s="1044"/>
      <c r="LYG45" s="1044"/>
      <c r="LYH45" s="1044"/>
      <c r="LYI45" s="1044"/>
      <c r="LYJ45" s="1044"/>
      <c r="LYK45" s="1044"/>
      <c r="LYL45" s="1044"/>
      <c r="LYM45" s="1044"/>
      <c r="LYN45" s="1044"/>
      <c r="LYO45" s="1044"/>
      <c r="LYP45" s="1044"/>
      <c r="LYQ45" s="1044"/>
      <c r="LYR45" s="1044"/>
      <c r="LYS45" s="1044"/>
      <c r="LYT45" s="1044"/>
      <c r="LYU45" s="1044"/>
      <c r="LYV45" s="1044"/>
      <c r="LYW45" s="1044"/>
      <c r="LYX45" s="1044"/>
      <c r="LYY45" s="1044"/>
      <c r="LYZ45" s="1044"/>
      <c r="LZA45" s="1044"/>
      <c r="LZB45" s="1044"/>
      <c r="LZC45" s="1044"/>
      <c r="LZD45" s="1044"/>
      <c r="LZE45" s="1044"/>
      <c r="LZF45" s="1044"/>
      <c r="LZG45" s="1044"/>
      <c r="LZH45" s="1044"/>
      <c r="LZI45" s="1044"/>
      <c r="LZJ45" s="1044"/>
      <c r="LZK45" s="1044"/>
      <c r="LZL45" s="1044"/>
      <c r="LZM45" s="1044"/>
      <c r="LZN45" s="1044"/>
      <c r="LZO45" s="1044"/>
      <c r="LZP45" s="1044"/>
      <c r="LZQ45" s="1044"/>
      <c r="LZR45" s="1044"/>
      <c r="LZS45" s="1044"/>
      <c r="LZT45" s="1044"/>
      <c r="LZU45" s="1044"/>
      <c r="LZV45" s="1044"/>
      <c r="LZW45" s="1044"/>
      <c r="LZX45" s="1044"/>
      <c r="LZY45" s="1044"/>
      <c r="LZZ45" s="1044"/>
      <c r="MAA45" s="1044"/>
      <c r="MAB45" s="1044"/>
      <c r="MAC45" s="1044"/>
      <c r="MAD45" s="1044"/>
      <c r="MAE45" s="1044"/>
      <c r="MAF45" s="1044"/>
      <c r="MAG45" s="1044"/>
      <c r="MAH45" s="1044"/>
      <c r="MAI45" s="1044"/>
      <c r="MAJ45" s="1044"/>
      <c r="MAK45" s="1044"/>
      <c r="MAL45" s="1044"/>
      <c r="MAM45" s="1044"/>
      <c r="MAN45" s="1044"/>
      <c r="MAO45" s="1044"/>
      <c r="MAP45" s="1044"/>
      <c r="MAQ45" s="1044"/>
      <c r="MAR45" s="1044"/>
      <c r="MAS45" s="1044"/>
      <c r="MAT45" s="1044"/>
      <c r="MAU45" s="1044"/>
      <c r="MAV45" s="1044"/>
      <c r="MAW45" s="1044"/>
      <c r="MAX45" s="1044"/>
      <c r="MAY45" s="1044"/>
      <c r="MAZ45" s="1044"/>
      <c r="MBA45" s="1044"/>
      <c r="MBB45" s="1044"/>
      <c r="MBC45" s="1044"/>
      <c r="MBD45" s="1044"/>
      <c r="MBE45" s="1044"/>
      <c r="MBF45" s="1044"/>
      <c r="MBG45" s="1044"/>
      <c r="MBH45" s="1044"/>
      <c r="MBI45" s="1044"/>
      <c r="MBJ45" s="1044"/>
      <c r="MBK45" s="1044"/>
      <c r="MBL45" s="1044"/>
      <c r="MBM45" s="1044"/>
      <c r="MBN45" s="1044"/>
      <c r="MBO45" s="1044"/>
      <c r="MBP45" s="1044"/>
      <c r="MBQ45" s="1044"/>
      <c r="MBR45" s="1044"/>
      <c r="MBS45" s="1044"/>
      <c r="MBT45" s="1044"/>
      <c r="MBU45" s="1044"/>
      <c r="MBV45" s="1044"/>
      <c r="MBW45" s="1044"/>
      <c r="MBX45" s="1044"/>
      <c r="MBY45" s="1044"/>
      <c r="MBZ45" s="1044"/>
      <c r="MCA45" s="1044"/>
      <c r="MCB45" s="1044"/>
      <c r="MCC45" s="1044"/>
      <c r="MCD45" s="1044"/>
      <c r="MCE45" s="1044"/>
      <c r="MCF45" s="1044"/>
      <c r="MCG45" s="1044"/>
      <c r="MCH45" s="1044"/>
      <c r="MCI45" s="1044"/>
      <c r="MCJ45" s="1044"/>
      <c r="MCK45" s="1044"/>
      <c r="MCL45" s="1044"/>
      <c r="MCM45" s="1044"/>
      <c r="MCN45" s="1044"/>
      <c r="MCO45" s="1044"/>
      <c r="MCP45" s="1044"/>
      <c r="MCQ45" s="1044"/>
      <c r="MCR45" s="1044"/>
      <c r="MCS45" s="1044"/>
      <c r="MCT45" s="1044"/>
      <c r="MCU45" s="1044"/>
      <c r="MCV45" s="1044"/>
      <c r="MCW45" s="1044"/>
      <c r="MCX45" s="1044"/>
      <c r="MCY45" s="1044"/>
      <c r="MCZ45" s="1044"/>
      <c r="MDA45" s="1044"/>
      <c r="MDB45" s="1044"/>
      <c r="MDC45" s="1044"/>
      <c r="MDD45" s="1044"/>
      <c r="MDE45" s="1044"/>
      <c r="MDF45" s="1044"/>
      <c r="MDG45" s="1044"/>
      <c r="MDH45" s="1044"/>
      <c r="MDI45" s="1044"/>
      <c r="MDJ45" s="1044"/>
      <c r="MDK45" s="1044"/>
      <c r="MDL45" s="1044"/>
      <c r="MDM45" s="1044"/>
      <c r="MDN45" s="1044"/>
      <c r="MDO45" s="1044"/>
      <c r="MDP45" s="1044"/>
      <c r="MDQ45" s="1044"/>
      <c r="MDR45" s="1044"/>
      <c r="MDS45" s="1044"/>
      <c r="MDT45" s="1044"/>
      <c r="MDU45" s="1044"/>
      <c r="MDV45" s="1044"/>
      <c r="MDW45" s="1044"/>
      <c r="MDX45" s="1044"/>
      <c r="MDY45" s="1044"/>
      <c r="MDZ45" s="1044"/>
      <c r="MEA45" s="1044"/>
      <c r="MEB45" s="1044"/>
      <c r="MEC45" s="1044"/>
      <c r="MED45" s="1044"/>
      <c r="MEE45" s="1044"/>
      <c r="MEF45" s="1044"/>
      <c r="MEG45" s="1044"/>
      <c r="MEH45" s="1044"/>
      <c r="MEI45" s="1044"/>
      <c r="MEJ45" s="1044"/>
      <c r="MEK45" s="1044"/>
      <c r="MEL45" s="1044"/>
      <c r="MEM45" s="1044"/>
      <c r="MEN45" s="1044"/>
      <c r="MEO45" s="1044"/>
      <c r="MEP45" s="1044"/>
      <c r="MEQ45" s="1044"/>
      <c r="MER45" s="1044"/>
      <c r="MES45" s="1044"/>
      <c r="MET45" s="1044"/>
      <c r="MEU45" s="1044"/>
      <c r="MEV45" s="1044"/>
      <c r="MEW45" s="1044"/>
      <c r="MEX45" s="1044"/>
      <c r="MEY45" s="1044"/>
      <c r="MEZ45" s="1044"/>
      <c r="MFA45" s="1044"/>
      <c r="MFB45" s="1044"/>
      <c r="MFC45" s="1044"/>
      <c r="MFD45" s="1044"/>
      <c r="MFE45" s="1044"/>
      <c r="MFF45" s="1044"/>
      <c r="MFG45" s="1044"/>
      <c r="MFH45" s="1044"/>
      <c r="MFI45" s="1044"/>
      <c r="MFJ45" s="1044"/>
      <c r="MFK45" s="1044"/>
      <c r="MFL45" s="1044"/>
      <c r="MFM45" s="1044"/>
      <c r="MFN45" s="1044"/>
      <c r="MFO45" s="1044"/>
      <c r="MFP45" s="1044"/>
      <c r="MFQ45" s="1044"/>
      <c r="MFR45" s="1044"/>
      <c r="MFS45" s="1044"/>
      <c r="MFT45" s="1044"/>
      <c r="MFU45" s="1044"/>
      <c r="MFV45" s="1044"/>
      <c r="MFW45" s="1044"/>
      <c r="MFX45" s="1044"/>
      <c r="MFY45" s="1044"/>
      <c r="MFZ45" s="1044"/>
      <c r="MGA45" s="1044"/>
      <c r="MGB45" s="1044"/>
      <c r="MGC45" s="1044"/>
      <c r="MGD45" s="1044"/>
      <c r="MGE45" s="1044"/>
      <c r="MGF45" s="1044"/>
      <c r="MGG45" s="1044"/>
      <c r="MGH45" s="1044"/>
      <c r="MGI45" s="1044"/>
      <c r="MGJ45" s="1044"/>
      <c r="MGK45" s="1044"/>
      <c r="MGL45" s="1044"/>
      <c r="MGM45" s="1044"/>
      <c r="MGN45" s="1044"/>
      <c r="MGO45" s="1044"/>
      <c r="MGP45" s="1044"/>
      <c r="MGQ45" s="1044"/>
      <c r="MGR45" s="1044"/>
      <c r="MGS45" s="1044"/>
      <c r="MGT45" s="1044"/>
      <c r="MGU45" s="1044"/>
      <c r="MGV45" s="1044"/>
      <c r="MGW45" s="1044"/>
      <c r="MGX45" s="1044"/>
      <c r="MGY45" s="1044"/>
      <c r="MGZ45" s="1044"/>
      <c r="MHA45" s="1044"/>
      <c r="MHB45" s="1044"/>
      <c r="MHC45" s="1044"/>
      <c r="MHD45" s="1044"/>
      <c r="MHE45" s="1044"/>
      <c r="MHF45" s="1044"/>
      <c r="MHG45" s="1044"/>
      <c r="MHH45" s="1044"/>
      <c r="MHI45" s="1044"/>
      <c r="MHJ45" s="1044"/>
      <c r="MHK45" s="1044"/>
      <c r="MHL45" s="1044"/>
      <c r="MHM45" s="1044"/>
      <c r="MHN45" s="1044"/>
      <c r="MHO45" s="1044"/>
      <c r="MHP45" s="1044"/>
      <c r="MHQ45" s="1044"/>
      <c r="MHR45" s="1044"/>
      <c r="MHS45" s="1044"/>
      <c r="MHT45" s="1044"/>
      <c r="MHU45" s="1044"/>
      <c r="MHV45" s="1044"/>
      <c r="MHW45" s="1044"/>
      <c r="MHX45" s="1044"/>
      <c r="MHY45" s="1044"/>
      <c r="MHZ45" s="1044"/>
      <c r="MIA45" s="1044"/>
      <c r="MIB45" s="1044"/>
      <c r="MIC45" s="1044"/>
      <c r="MID45" s="1044"/>
      <c r="MIE45" s="1044"/>
      <c r="MIF45" s="1044"/>
      <c r="MIG45" s="1044"/>
      <c r="MIH45" s="1044"/>
      <c r="MII45" s="1044"/>
      <c r="MIJ45" s="1044"/>
      <c r="MIK45" s="1044"/>
      <c r="MIL45" s="1044"/>
      <c r="MIM45" s="1044"/>
      <c r="MIN45" s="1044"/>
      <c r="MIO45" s="1044"/>
      <c r="MIP45" s="1044"/>
      <c r="MIQ45" s="1044"/>
      <c r="MIR45" s="1044"/>
      <c r="MIS45" s="1044"/>
      <c r="MIT45" s="1044"/>
      <c r="MIU45" s="1044"/>
      <c r="MIV45" s="1044"/>
      <c r="MIW45" s="1044"/>
      <c r="MIX45" s="1044"/>
      <c r="MIY45" s="1044"/>
      <c r="MIZ45" s="1044"/>
      <c r="MJA45" s="1044"/>
      <c r="MJB45" s="1044"/>
      <c r="MJC45" s="1044"/>
      <c r="MJD45" s="1044"/>
      <c r="MJE45" s="1044"/>
      <c r="MJF45" s="1044"/>
      <c r="MJG45" s="1044"/>
      <c r="MJH45" s="1044"/>
      <c r="MJI45" s="1044"/>
      <c r="MJJ45" s="1044"/>
      <c r="MJK45" s="1044"/>
      <c r="MJL45" s="1044"/>
      <c r="MJM45" s="1044"/>
      <c r="MJN45" s="1044"/>
      <c r="MJO45" s="1044"/>
      <c r="MJP45" s="1044"/>
      <c r="MJQ45" s="1044"/>
      <c r="MJR45" s="1044"/>
      <c r="MJS45" s="1044"/>
      <c r="MJT45" s="1044"/>
      <c r="MJU45" s="1044"/>
      <c r="MJV45" s="1044"/>
      <c r="MJW45" s="1044"/>
      <c r="MJX45" s="1044"/>
      <c r="MJY45" s="1044"/>
      <c r="MJZ45" s="1044"/>
      <c r="MKA45" s="1044"/>
      <c r="MKB45" s="1044"/>
      <c r="MKC45" s="1044"/>
      <c r="MKD45" s="1044"/>
      <c r="MKE45" s="1044"/>
      <c r="MKF45" s="1044"/>
      <c r="MKG45" s="1044"/>
      <c r="MKH45" s="1044"/>
      <c r="MKI45" s="1044"/>
      <c r="MKJ45" s="1044"/>
      <c r="MKK45" s="1044"/>
      <c r="MKL45" s="1044"/>
      <c r="MKM45" s="1044"/>
      <c r="MKN45" s="1044"/>
      <c r="MKO45" s="1044"/>
      <c r="MKP45" s="1044"/>
      <c r="MKQ45" s="1044"/>
      <c r="MKR45" s="1044"/>
      <c r="MKS45" s="1044"/>
      <c r="MKT45" s="1044"/>
      <c r="MKU45" s="1044"/>
      <c r="MKV45" s="1044"/>
      <c r="MKW45" s="1044"/>
      <c r="MKX45" s="1044"/>
      <c r="MKY45" s="1044"/>
      <c r="MKZ45" s="1044"/>
      <c r="MLA45" s="1044"/>
      <c r="MLB45" s="1044"/>
      <c r="MLC45" s="1044"/>
      <c r="MLD45" s="1044"/>
      <c r="MLE45" s="1044"/>
      <c r="MLF45" s="1044"/>
      <c r="MLG45" s="1044"/>
      <c r="MLH45" s="1044"/>
      <c r="MLI45" s="1044"/>
      <c r="MLJ45" s="1044"/>
      <c r="MLK45" s="1044"/>
      <c r="MLL45" s="1044"/>
      <c r="MLM45" s="1044"/>
      <c r="MLN45" s="1044"/>
      <c r="MLO45" s="1044"/>
      <c r="MLP45" s="1044"/>
      <c r="MLQ45" s="1044"/>
      <c r="MLR45" s="1044"/>
      <c r="MLS45" s="1044"/>
      <c r="MLT45" s="1044"/>
      <c r="MLU45" s="1044"/>
      <c r="MLV45" s="1044"/>
      <c r="MLW45" s="1044"/>
      <c r="MLX45" s="1044"/>
      <c r="MLY45" s="1044"/>
      <c r="MLZ45" s="1044"/>
      <c r="MMA45" s="1044"/>
      <c r="MMB45" s="1044"/>
      <c r="MMC45" s="1044"/>
      <c r="MMD45" s="1044"/>
      <c r="MME45" s="1044"/>
      <c r="MMF45" s="1044"/>
      <c r="MMG45" s="1044"/>
      <c r="MMH45" s="1044"/>
      <c r="MMI45" s="1044"/>
      <c r="MMJ45" s="1044"/>
      <c r="MMK45" s="1044"/>
      <c r="MML45" s="1044"/>
      <c r="MMM45" s="1044"/>
      <c r="MMN45" s="1044"/>
      <c r="MMO45" s="1044"/>
      <c r="MMP45" s="1044"/>
      <c r="MMQ45" s="1044"/>
      <c r="MMR45" s="1044"/>
      <c r="MMS45" s="1044"/>
      <c r="MMT45" s="1044"/>
      <c r="MMU45" s="1044"/>
      <c r="MMV45" s="1044"/>
      <c r="MMW45" s="1044"/>
      <c r="MMX45" s="1044"/>
      <c r="MMY45" s="1044"/>
      <c r="MMZ45" s="1044"/>
      <c r="MNA45" s="1044"/>
      <c r="MNB45" s="1044"/>
      <c r="MNC45" s="1044"/>
      <c r="MND45" s="1044"/>
      <c r="MNE45" s="1044"/>
      <c r="MNF45" s="1044"/>
      <c r="MNG45" s="1044"/>
      <c r="MNH45" s="1044"/>
      <c r="MNI45" s="1044"/>
      <c r="MNJ45" s="1044"/>
      <c r="MNK45" s="1044"/>
      <c r="MNL45" s="1044"/>
      <c r="MNM45" s="1044"/>
      <c r="MNN45" s="1044"/>
      <c r="MNO45" s="1044"/>
      <c r="MNP45" s="1044"/>
      <c r="MNQ45" s="1044"/>
      <c r="MNR45" s="1044"/>
      <c r="MNS45" s="1044"/>
      <c r="MNT45" s="1044"/>
      <c r="MNU45" s="1044"/>
      <c r="MNV45" s="1044"/>
      <c r="MNW45" s="1044"/>
      <c r="MNX45" s="1044"/>
      <c r="MNY45" s="1044"/>
      <c r="MNZ45" s="1044"/>
      <c r="MOA45" s="1044"/>
      <c r="MOB45" s="1044"/>
      <c r="MOC45" s="1044"/>
      <c r="MOD45" s="1044"/>
      <c r="MOE45" s="1044"/>
      <c r="MOF45" s="1044"/>
      <c r="MOG45" s="1044"/>
      <c r="MOH45" s="1044"/>
      <c r="MOI45" s="1044"/>
      <c r="MOJ45" s="1044"/>
      <c r="MOK45" s="1044"/>
      <c r="MOL45" s="1044"/>
      <c r="MOM45" s="1044"/>
      <c r="MON45" s="1044"/>
      <c r="MOO45" s="1044"/>
      <c r="MOP45" s="1044"/>
      <c r="MOQ45" s="1044"/>
      <c r="MOR45" s="1044"/>
      <c r="MOS45" s="1044"/>
      <c r="MOT45" s="1044"/>
      <c r="MOU45" s="1044"/>
      <c r="MOV45" s="1044"/>
      <c r="MOW45" s="1044"/>
      <c r="MOX45" s="1044"/>
      <c r="MOY45" s="1044"/>
      <c r="MOZ45" s="1044"/>
      <c r="MPA45" s="1044"/>
      <c r="MPB45" s="1044"/>
      <c r="MPC45" s="1044"/>
      <c r="MPD45" s="1044"/>
      <c r="MPE45" s="1044"/>
      <c r="MPF45" s="1044"/>
      <c r="MPG45" s="1044"/>
      <c r="MPH45" s="1044"/>
      <c r="MPI45" s="1044"/>
      <c r="MPJ45" s="1044"/>
      <c r="MPK45" s="1044"/>
      <c r="MPL45" s="1044"/>
      <c r="MPM45" s="1044"/>
      <c r="MPN45" s="1044"/>
      <c r="MPO45" s="1044"/>
      <c r="MPP45" s="1044"/>
      <c r="MPQ45" s="1044"/>
      <c r="MPR45" s="1044"/>
      <c r="MPS45" s="1044"/>
      <c r="MPT45" s="1044"/>
      <c r="MPU45" s="1044"/>
      <c r="MPV45" s="1044"/>
      <c r="MPW45" s="1044"/>
      <c r="MPX45" s="1044"/>
      <c r="MPY45" s="1044"/>
      <c r="MPZ45" s="1044"/>
      <c r="MQA45" s="1044"/>
      <c r="MQB45" s="1044"/>
      <c r="MQC45" s="1044"/>
      <c r="MQD45" s="1044"/>
      <c r="MQE45" s="1044"/>
      <c r="MQF45" s="1044"/>
      <c r="MQG45" s="1044"/>
      <c r="MQH45" s="1044"/>
      <c r="MQI45" s="1044"/>
      <c r="MQJ45" s="1044"/>
      <c r="MQK45" s="1044"/>
      <c r="MQL45" s="1044"/>
      <c r="MQM45" s="1044"/>
      <c r="MQN45" s="1044"/>
      <c r="MQO45" s="1044"/>
      <c r="MQP45" s="1044"/>
      <c r="MQQ45" s="1044"/>
      <c r="MQR45" s="1044"/>
      <c r="MQS45" s="1044"/>
      <c r="MQT45" s="1044"/>
      <c r="MQU45" s="1044"/>
      <c r="MQV45" s="1044"/>
      <c r="MQW45" s="1044"/>
      <c r="MQX45" s="1044"/>
      <c r="MQY45" s="1044"/>
      <c r="MQZ45" s="1044"/>
      <c r="MRA45" s="1044"/>
      <c r="MRB45" s="1044"/>
      <c r="MRC45" s="1044"/>
      <c r="MRD45" s="1044"/>
      <c r="MRE45" s="1044"/>
      <c r="MRF45" s="1044"/>
      <c r="MRG45" s="1044"/>
      <c r="MRH45" s="1044"/>
      <c r="MRI45" s="1044"/>
      <c r="MRJ45" s="1044"/>
      <c r="MRK45" s="1044"/>
      <c r="MRL45" s="1044"/>
      <c r="MRM45" s="1044"/>
      <c r="MRN45" s="1044"/>
      <c r="MRO45" s="1044"/>
      <c r="MRP45" s="1044"/>
      <c r="MRQ45" s="1044"/>
      <c r="MRR45" s="1044"/>
      <c r="MRS45" s="1044"/>
      <c r="MRT45" s="1044"/>
      <c r="MRU45" s="1044"/>
      <c r="MRV45" s="1044"/>
      <c r="MRW45" s="1044"/>
      <c r="MRX45" s="1044"/>
      <c r="MRY45" s="1044"/>
      <c r="MRZ45" s="1044"/>
      <c r="MSA45" s="1044"/>
      <c r="MSB45" s="1044"/>
      <c r="MSC45" s="1044"/>
      <c r="MSD45" s="1044"/>
      <c r="MSE45" s="1044"/>
      <c r="MSF45" s="1044"/>
      <c r="MSG45" s="1044"/>
      <c r="MSH45" s="1044"/>
      <c r="MSI45" s="1044"/>
      <c r="MSJ45" s="1044"/>
      <c r="MSK45" s="1044"/>
      <c r="MSL45" s="1044"/>
      <c r="MSM45" s="1044"/>
      <c r="MSN45" s="1044"/>
      <c r="MSO45" s="1044"/>
      <c r="MSP45" s="1044"/>
      <c r="MSQ45" s="1044"/>
      <c r="MSR45" s="1044"/>
      <c r="MSS45" s="1044"/>
      <c r="MST45" s="1044"/>
      <c r="MSU45" s="1044"/>
      <c r="MSV45" s="1044"/>
      <c r="MSW45" s="1044"/>
      <c r="MSX45" s="1044"/>
      <c r="MSY45" s="1044"/>
      <c r="MSZ45" s="1044"/>
      <c r="MTA45" s="1044"/>
      <c r="MTB45" s="1044"/>
      <c r="MTC45" s="1044"/>
      <c r="MTD45" s="1044"/>
      <c r="MTE45" s="1044"/>
      <c r="MTF45" s="1044"/>
      <c r="MTG45" s="1044"/>
      <c r="MTH45" s="1044"/>
      <c r="MTI45" s="1044"/>
      <c r="MTJ45" s="1044"/>
      <c r="MTK45" s="1044"/>
      <c r="MTL45" s="1044"/>
      <c r="MTM45" s="1044"/>
      <c r="MTN45" s="1044"/>
      <c r="MTO45" s="1044"/>
      <c r="MTP45" s="1044"/>
      <c r="MTQ45" s="1044"/>
      <c r="MTR45" s="1044"/>
      <c r="MTS45" s="1044"/>
      <c r="MTT45" s="1044"/>
      <c r="MTU45" s="1044"/>
      <c r="MTV45" s="1044"/>
      <c r="MTW45" s="1044"/>
      <c r="MTX45" s="1044"/>
      <c r="MTY45" s="1044"/>
      <c r="MTZ45" s="1044"/>
      <c r="MUA45" s="1044"/>
      <c r="MUB45" s="1044"/>
      <c r="MUC45" s="1044"/>
      <c r="MUD45" s="1044"/>
      <c r="MUE45" s="1044"/>
      <c r="MUF45" s="1044"/>
      <c r="MUG45" s="1044"/>
      <c r="MUH45" s="1044"/>
      <c r="MUI45" s="1044"/>
      <c r="MUJ45" s="1044"/>
      <c r="MUK45" s="1044"/>
      <c r="MUL45" s="1044"/>
      <c r="MUM45" s="1044"/>
      <c r="MUN45" s="1044"/>
      <c r="MUO45" s="1044"/>
      <c r="MUP45" s="1044"/>
      <c r="MUQ45" s="1044"/>
      <c r="MUR45" s="1044"/>
      <c r="MUS45" s="1044"/>
      <c r="MUT45" s="1044"/>
      <c r="MUU45" s="1044"/>
      <c r="MUV45" s="1044"/>
      <c r="MUW45" s="1044"/>
      <c r="MUX45" s="1044"/>
      <c r="MUY45" s="1044"/>
      <c r="MUZ45" s="1044"/>
      <c r="MVA45" s="1044"/>
      <c r="MVB45" s="1044"/>
      <c r="MVC45" s="1044"/>
      <c r="MVD45" s="1044"/>
      <c r="MVE45" s="1044"/>
      <c r="MVF45" s="1044"/>
      <c r="MVG45" s="1044"/>
      <c r="MVH45" s="1044"/>
      <c r="MVI45" s="1044"/>
      <c r="MVJ45" s="1044"/>
      <c r="MVK45" s="1044"/>
      <c r="MVL45" s="1044"/>
      <c r="MVM45" s="1044"/>
      <c r="MVN45" s="1044"/>
      <c r="MVO45" s="1044"/>
      <c r="MVP45" s="1044"/>
      <c r="MVQ45" s="1044"/>
      <c r="MVR45" s="1044"/>
      <c r="MVS45" s="1044"/>
      <c r="MVT45" s="1044"/>
      <c r="MVU45" s="1044"/>
      <c r="MVV45" s="1044"/>
      <c r="MVW45" s="1044"/>
      <c r="MVX45" s="1044"/>
      <c r="MVY45" s="1044"/>
      <c r="MVZ45" s="1044"/>
      <c r="MWA45" s="1044"/>
      <c r="MWB45" s="1044"/>
      <c r="MWC45" s="1044"/>
      <c r="MWD45" s="1044"/>
      <c r="MWE45" s="1044"/>
      <c r="MWF45" s="1044"/>
      <c r="MWG45" s="1044"/>
      <c r="MWH45" s="1044"/>
      <c r="MWI45" s="1044"/>
      <c r="MWJ45" s="1044"/>
      <c r="MWK45" s="1044"/>
      <c r="MWL45" s="1044"/>
      <c r="MWM45" s="1044"/>
      <c r="MWN45" s="1044"/>
      <c r="MWO45" s="1044"/>
      <c r="MWP45" s="1044"/>
      <c r="MWQ45" s="1044"/>
      <c r="MWR45" s="1044"/>
      <c r="MWS45" s="1044"/>
      <c r="MWT45" s="1044"/>
      <c r="MWU45" s="1044"/>
      <c r="MWV45" s="1044"/>
      <c r="MWW45" s="1044"/>
      <c r="MWX45" s="1044"/>
      <c r="MWY45" s="1044"/>
      <c r="MWZ45" s="1044"/>
      <c r="MXA45" s="1044"/>
      <c r="MXB45" s="1044"/>
      <c r="MXC45" s="1044"/>
      <c r="MXD45" s="1044"/>
      <c r="MXE45" s="1044"/>
      <c r="MXF45" s="1044"/>
      <c r="MXG45" s="1044"/>
      <c r="MXH45" s="1044"/>
      <c r="MXI45" s="1044"/>
      <c r="MXJ45" s="1044"/>
      <c r="MXK45" s="1044"/>
      <c r="MXL45" s="1044"/>
      <c r="MXM45" s="1044"/>
      <c r="MXN45" s="1044"/>
      <c r="MXO45" s="1044"/>
      <c r="MXP45" s="1044"/>
      <c r="MXQ45" s="1044"/>
      <c r="MXR45" s="1044"/>
      <c r="MXS45" s="1044"/>
      <c r="MXT45" s="1044"/>
      <c r="MXU45" s="1044"/>
      <c r="MXV45" s="1044"/>
      <c r="MXW45" s="1044"/>
      <c r="MXX45" s="1044"/>
      <c r="MXY45" s="1044"/>
      <c r="MXZ45" s="1044"/>
      <c r="MYA45" s="1044"/>
      <c r="MYB45" s="1044"/>
      <c r="MYC45" s="1044"/>
      <c r="MYD45" s="1044"/>
      <c r="MYE45" s="1044"/>
      <c r="MYF45" s="1044"/>
      <c r="MYG45" s="1044"/>
      <c r="MYH45" s="1044"/>
      <c r="MYI45" s="1044"/>
      <c r="MYJ45" s="1044"/>
      <c r="MYK45" s="1044"/>
      <c r="MYL45" s="1044"/>
      <c r="MYM45" s="1044"/>
      <c r="MYN45" s="1044"/>
      <c r="MYO45" s="1044"/>
      <c r="MYP45" s="1044"/>
      <c r="MYQ45" s="1044"/>
      <c r="MYR45" s="1044"/>
      <c r="MYS45" s="1044"/>
      <c r="MYT45" s="1044"/>
      <c r="MYU45" s="1044"/>
      <c r="MYV45" s="1044"/>
      <c r="MYW45" s="1044"/>
      <c r="MYX45" s="1044"/>
      <c r="MYY45" s="1044"/>
      <c r="MYZ45" s="1044"/>
      <c r="MZA45" s="1044"/>
      <c r="MZB45" s="1044"/>
      <c r="MZC45" s="1044"/>
      <c r="MZD45" s="1044"/>
      <c r="MZE45" s="1044"/>
      <c r="MZF45" s="1044"/>
      <c r="MZG45" s="1044"/>
      <c r="MZH45" s="1044"/>
      <c r="MZI45" s="1044"/>
      <c r="MZJ45" s="1044"/>
      <c r="MZK45" s="1044"/>
      <c r="MZL45" s="1044"/>
      <c r="MZM45" s="1044"/>
      <c r="MZN45" s="1044"/>
      <c r="MZO45" s="1044"/>
      <c r="MZP45" s="1044"/>
      <c r="MZQ45" s="1044"/>
      <c r="MZR45" s="1044"/>
      <c r="MZS45" s="1044"/>
      <c r="MZT45" s="1044"/>
      <c r="MZU45" s="1044"/>
      <c r="MZV45" s="1044"/>
      <c r="MZW45" s="1044"/>
      <c r="MZX45" s="1044"/>
      <c r="MZY45" s="1044"/>
      <c r="MZZ45" s="1044"/>
      <c r="NAA45" s="1044"/>
      <c r="NAB45" s="1044"/>
      <c r="NAC45" s="1044"/>
      <c r="NAD45" s="1044"/>
      <c r="NAE45" s="1044"/>
      <c r="NAF45" s="1044"/>
      <c r="NAG45" s="1044"/>
      <c r="NAH45" s="1044"/>
      <c r="NAI45" s="1044"/>
      <c r="NAJ45" s="1044"/>
      <c r="NAK45" s="1044"/>
      <c r="NAL45" s="1044"/>
      <c r="NAM45" s="1044"/>
      <c r="NAN45" s="1044"/>
      <c r="NAO45" s="1044"/>
      <c r="NAP45" s="1044"/>
      <c r="NAQ45" s="1044"/>
      <c r="NAR45" s="1044"/>
      <c r="NAS45" s="1044"/>
      <c r="NAT45" s="1044"/>
      <c r="NAU45" s="1044"/>
      <c r="NAV45" s="1044"/>
      <c r="NAW45" s="1044"/>
      <c r="NAX45" s="1044"/>
      <c r="NAY45" s="1044"/>
      <c r="NAZ45" s="1044"/>
      <c r="NBA45" s="1044"/>
      <c r="NBB45" s="1044"/>
      <c r="NBC45" s="1044"/>
      <c r="NBD45" s="1044"/>
      <c r="NBE45" s="1044"/>
      <c r="NBF45" s="1044"/>
      <c r="NBG45" s="1044"/>
      <c r="NBH45" s="1044"/>
      <c r="NBI45" s="1044"/>
      <c r="NBJ45" s="1044"/>
      <c r="NBK45" s="1044"/>
      <c r="NBL45" s="1044"/>
      <c r="NBM45" s="1044"/>
      <c r="NBN45" s="1044"/>
      <c r="NBO45" s="1044"/>
      <c r="NBP45" s="1044"/>
      <c r="NBQ45" s="1044"/>
      <c r="NBR45" s="1044"/>
      <c r="NBS45" s="1044"/>
      <c r="NBT45" s="1044"/>
      <c r="NBU45" s="1044"/>
      <c r="NBV45" s="1044"/>
      <c r="NBW45" s="1044"/>
      <c r="NBX45" s="1044"/>
      <c r="NBY45" s="1044"/>
      <c r="NBZ45" s="1044"/>
      <c r="NCA45" s="1044"/>
      <c r="NCB45" s="1044"/>
      <c r="NCC45" s="1044"/>
      <c r="NCD45" s="1044"/>
      <c r="NCE45" s="1044"/>
      <c r="NCF45" s="1044"/>
      <c r="NCG45" s="1044"/>
      <c r="NCH45" s="1044"/>
      <c r="NCI45" s="1044"/>
      <c r="NCJ45" s="1044"/>
      <c r="NCK45" s="1044"/>
      <c r="NCL45" s="1044"/>
      <c r="NCM45" s="1044"/>
      <c r="NCN45" s="1044"/>
      <c r="NCO45" s="1044"/>
      <c r="NCP45" s="1044"/>
      <c r="NCQ45" s="1044"/>
      <c r="NCR45" s="1044"/>
      <c r="NCS45" s="1044"/>
      <c r="NCT45" s="1044"/>
      <c r="NCU45" s="1044"/>
      <c r="NCV45" s="1044"/>
      <c r="NCW45" s="1044"/>
      <c r="NCX45" s="1044"/>
      <c r="NCY45" s="1044"/>
      <c r="NCZ45" s="1044"/>
      <c r="NDA45" s="1044"/>
      <c r="NDB45" s="1044"/>
      <c r="NDC45" s="1044"/>
      <c r="NDD45" s="1044"/>
      <c r="NDE45" s="1044"/>
      <c r="NDF45" s="1044"/>
      <c r="NDG45" s="1044"/>
      <c r="NDH45" s="1044"/>
      <c r="NDI45" s="1044"/>
      <c r="NDJ45" s="1044"/>
      <c r="NDK45" s="1044"/>
      <c r="NDL45" s="1044"/>
      <c r="NDM45" s="1044"/>
      <c r="NDN45" s="1044"/>
      <c r="NDO45" s="1044"/>
      <c r="NDP45" s="1044"/>
      <c r="NDQ45" s="1044"/>
      <c r="NDR45" s="1044"/>
      <c r="NDS45" s="1044"/>
      <c r="NDT45" s="1044"/>
      <c r="NDU45" s="1044"/>
      <c r="NDV45" s="1044"/>
      <c r="NDW45" s="1044"/>
      <c r="NDX45" s="1044"/>
      <c r="NDY45" s="1044"/>
      <c r="NDZ45" s="1044"/>
      <c r="NEA45" s="1044"/>
      <c r="NEB45" s="1044"/>
      <c r="NEC45" s="1044"/>
      <c r="NED45" s="1044"/>
      <c r="NEE45" s="1044"/>
      <c r="NEF45" s="1044"/>
      <c r="NEG45" s="1044"/>
      <c r="NEH45" s="1044"/>
      <c r="NEI45" s="1044"/>
      <c r="NEJ45" s="1044"/>
      <c r="NEK45" s="1044"/>
      <c r="NEL45" s="1044"/>
      <c r="NEM45" s="1044"/>
      <c r="NEN45" s="1044"/>
      <c r="NEO45" s="1044"/>
      <c r="NEP45" s="1044"/>
      <c r="NEQ45" s="1044"/>
      <c r="NER45" s="1044"/>
      <c r="NES45" s="1044"/>
      <c r="NET45" s="1044"/>
      <c r="NEU45" s="1044"/>
      <c r="NEV45" s="1044"/>
      <c r="NEW45" s="1044"/>
      <c r="NEX45" s="1044"/>
      <c r="NEY45" s="1044"/>
      <c r="NEZ45" s="1044"/>
      <c r="NFA45" s="1044"/>
      <c r="NFB45" s="1044"/>
      <c r="NFC45" s="1044"/>
      <c r="NFD45" s="1044"/>
      <c r="NFE45" s="1044"/>
      <c r="NFF45" s="1044"/>
      <c r="NFG45" s="1044"/>
      <c r="NFH45" s="1044"/>
      <c r="NFI45" s="1044"/>
      <c r="NFJ45" s="1044"/>
      <c r="NFK45" s="1044"/>
      <c r="NFL45" s="1044"/>
      <c r="NFM45" s="1044"/>
      <c r="NFN45" s="1044"/>
      <c r="NFO45" s="1044"/>
      <c r="NFP45" s="1044"/>
      <c r="NFQ45" s="1044"/>
      <c r="NFR45" s="1044"/>
      <c r="NFS45" s="1044"/>
      <c r="NFT45" s="1044"/>
      <c r="NFU45" s="1044"/>
      <c r="NFV45" s="1044"/>
      <c r="NFW45" s="1044"/>
      <c r="NFX45" s="1044"/>
      <c r="NFY45" s="1044"/>
      <c r="NFZ45" s="1044"/>
      <c r="NGA45" s="1044"/>
      <c r="NGB45" s="1044"/>
      <c r="NGC45" s="1044"/>
      <c r="NGD45" s="1044"/>
      <c r="NGE45" s="1044"/>
      <c r="NGF45" s="1044"/>
      <c r="NGG45" s="1044"/>
      <c r="NGH45" s="1044"/>
      <c r="NGI45" s="1044"/>
      <c r="NGJ45" s="1044"/>
      <c r="NGK45" s="1044"/>
      <c r="NGL45" s="1044"/>
      <c r="NGM45" s="1044"/>
      <c r="NGN45" s="1044"/>
      <c r="NGO45" s="1044"/>
      <c r="NGP45" s="1044"/>
      <c r="NGQ45" s="1044"/>
      <c r="NGR45" s="1044"/>
      <c r="NGS45" s="1044"/>
      <c r="NGT45" s="1044"/>
      <c r="NGU45" s="1044"/>
      <c r="NGV45" s="1044"/>
      <c r="NGW45" s="1044"/>
      <c r="NGX45" s="1044"/>
      <c r="NGY45" s="1044"/>
      <c r="NGZ45" s="1044"/>
      <c r="NHA45" s="1044"/>
      <c r="NHB45" s="1044"/>
      <c r="NHC45" s="1044"/>
      <c r="NHD45" s="1044"/>
      <c r="NHE45" s="1044"/>
      <c r="NHF45" s="1044"/>
      <c r="NHG45" s="1044"/>
      <c r="NHH45" s="1044"/>
      <c r="NHI45" s="1044"/>
      <c r="NHJ45" s="1044"/>
      <c r="NHK45" s="1044"/>
      <c r="NHL45" s="1044"/>
      <c r="NHM45" s="1044"/>
      <c r="NHN45" s="1044"/>
      <c r="NHO45" s="1044"/>
      <c r="NHP45" s="1044"/>
      <c r="NHQ45" s="1044"/>
      <c r="NHR45" s="1044"/>
      <c r="NHS45" s="1044"/>
      <c r="NHT45" s="1044"/>
      <c r="NHU45" s="1044"/>
      <c r="NHV45" s="1044"/>
      <c r="NHW45" s="1044"/>
      <c r="NHX45" s="1044"/>
      <c r="NHY45" s="1044"/>
      <c r="NHZ45" s="1044"/>
      <c r="NIA45" s="1044"/>
      <c r="NIB45" s="1044"/>
      <c r="NIC45" s="1044"/>
      <c r="NID45" s="1044"/>
      <c r="NIE45" s="1044"/>
      <c r="NIF45" s="1044"/>
      <c r="NIG45" s="1044"/>
      <c r="NIH45" s="1044"/>
      <c r="NII45" s="1044"/>
      <c r="NIJ45" s="1044"/>
      <c r="NIK45" s="1044"/>
      <c r="NIL45" s="1044"/>
      <c r="NIM45" s="1044"/>
      <c r="NIN45" s="1044"/>
      <c r="NIO45" s="1044"/>
      <c r="NIP45" s="1044"/>
      <c r="NIQ45" s="1044"/>
      <c r="NIR45" s="1044"/>
      <c r="NIS45" s="1044"/>
      <c r="NIT45" s="1044"/>
      <c r="NIU45" s="1044"/>
      <c r="NIV45" s="1044"/>
      <c r="NIW45" s="1044"/>
      <c r="NIX45" s="1044"/>
      <c r="NIY45" s="1044"/>
      <c r="NIZ45" s="1044"/>
      <c r="NJA45" s="1044"/>
      <c r="NJB45" s="1044"/>
      <c r="NJC45" s="1044"/>
      <c r="NJD45" s="1044"/>
      <c r="NJE45" s="1044"/>
      <c r="NJF45" s="1044"/>
      <c r="NJG45" s="1044"/>
      <c r="NJH45" s="1044"/>
      <c r="NJI45" s="1044"/>
      <c r="NJJ45" s="1044"/>
      <c r="NJK45" s="1044"/>
      <c r="NJL45" s="1044"/>
      <c r="NJM45" s="1044"/>
      <c r="NJN45" s="1044"/>
      <c r="NJO45" s="1044"/>
      <c r="NJP45" s="1044"/>
      <c r="NJQ45" s="1044"/>
      <c r="NJR45" s="1044"/>
      <c r="NJS45" s="1044"/>
      <c r="NJT45" s="1044"/>
      <c r="NJU45" s="1044"/>
      <c r="NJV45" s="1044"/>
      <c r="NJW45" s="1044"/>
      <c r="NJX45" s="1044"/>
      <c r="NJY45" s="1044"/>
      <c r="NJZ45" s="1044"/>
      <c r="NKA45" s="1044"/>
      <c r="NKB45" s="1044"/>
      <c r="NKC45" s="1044"/>
      <c r="NKD45" s="1044"/>
      <c r="NKE45" s="1044"/>
      <c r="NKF45" s="1044"/>
      <c r="NKG45" s="1044"/>
      <c r="NKH45" s="1044"/>
      <c r="NKI45" s="1044"/>
      <c r="NKJ45" s="1044"/>
      <c r="NKK45" s="1044"/>
      <c r="NKL45" s="1044"/>
      <c r="NKM45" s="1044"/>
      <c r="NKN45" s="1044"/>
      <c r="NKO45" s="1044"/>
      <c r="NKP45" s="1044"/>
      <c r="NKQ45" s="1044"/>
      <c r="NKR45" s="1044"/>
      <c r="NKS45" s="1044"/>
      <c r="NKT45" s="1044"/>
      <c r="NKU45" s="1044"/>
      <c r="NKV45" s="1044"/>
      <c r="NKW45" s="1044"/>
      <c r="NKX45" s="1044"/>
      <c r="NKY45" s="1044"/>
      <c r="NKZ45" s="1044"/>
      <c r="NLA45" s="1044"/>
      <c r="NLB45" s="1044"/>
      <c r="NLC45" s="1044"/>
      <c r="NLD45" s="1044"/>
      <c r="NLE45" s="1044"/>
      <c r="NLF45" s="1044"/>
      <c r="NLG45" s="1044"/>
      <c r="NLH45" s="1044"/>
      <c r="NLI45" s="1044"/>
      <c r="NLJ45" s="1044"/>
      <c r="NLK45" s="1044"/>
      <c r="NLL45" s="1044"/>
      <c r="NLM45" s="1044"/>
      <c r="NLN45" s="1044"/>
      <c r="NLO45" s="1044"/>
      <c r="NLP45" s="1044"/>
      <c r="NLQ45" s="1044"/>
      <c r="NLR45" s="1044"/>
      <c r="NLS45" s="1044"/>
      <c r="NLT45" s="1044"/>
      <c r="NLU45" s="1044"/>
      <c r="NLV45" s="1044"/>
      <c r="NLW45" s="1044"/>
      <c r="NLX45" s="1044"/>
      <c r="NLY45" s="1044"/>
      <c r="NLZ45" s="1044"/>
      <c r="NMA45" s="1044"/>
      <c r="NMB45" s="1044"/>
      <c r="NMC45" s="1044"/>
      <c r="NMD45" s="1044"/>
      <c r="NME45" s="1044"/>
      <c r="NMF45" s="1044"/>
      <c r="NMG45" s="1044"/>
      <c r="NMH45" s="1044"/>
      <c r="NMI45" s="1044"/>
      <c r="NMJ45" s="1044"/>
      <c r="NMK45" s="1044"/>
      <c r="NML45" s="1044"/>
      <c r="NMM45" s="1044"/>
      <c r="NMN45" s="1044"/>
      <c r="NMO45" s="1044"/>
      <c r="NMP45" s="1044"/>
      <c r="NMQ45" s="1044"/>
      <c r="NMR45" s="1044"/>
      <c r="NMS45" s="1044"/>
      <c r="NMT45" s="1044"/>
      <c r="NMU45" s="1044"/>
      <c r="NMV45" s="1044"/>
      <c r="NMW45" s="1044"/>
      <c r="NMX45" s="1044"/>
      <c r="NMY45" s="1044"/>
      <c r="NMZ45" s="1044"/>
      <c r="NNA45" s="1044"/>
      <c r="NNB45" s="1044"/>
      <c r="NNC45" s="1044"/>
      <c r="NND45" s="1044"/>
      <c r="NNE45" s="1044"/>
      <c r="NNF45" s="1044"/>
      <c r="NNG45" s="1044"/>
      <c r="NNH45" s="1044"/>
      <c r="NNI45" s="1044"/>
      <c r="NNJ45" s="1044"/>
      <c r="NNK45" s="1044"/>
      <c r="NNL45" s="1044"/>
      <c r="NNM45" s="1044"/>
      <c r="NNN45" s="1044"/>
      <c r="NNO45" s="1044"/>
      <c r="NNP45" s="1044"/>
      <c r="NNQ45" s="1044"/>
      <c r="NNR45" s="1044"/>
      <c r="NNS45" s="1044"/>
      <c r="NNT45" s="1044"/>
      <c r="NNU45" s="1044"/>
      <c r="NNV45" s="1044"/>
      <c r="NNW45" s="1044"/>
      <c r="NNX45" s="1044"/>
      <c r="NNY45" s="1044"/>
      <c r="NNZ45" s="1044"/>
      <c r="NOA45" s="1044"/>
      <c r="NOB45" s="1044"/>
      <c r="NOC45" s="1044"/>
      <c r="NOD45" s="1044"/>
      <c r="NOE45" s="1044"/>
      <c r="NOF45" s="1044"/>
      <c r="NOG45" s="1044"/>
      <c r="NOH45" s="1044"/>
      <c r="NOI45" s="1044"/>
      <c r="NOJ45" s="1044"/>
      <c r="NOK45" s="1044"/>
      <c r="NOL45" s="1044"/>
      <c r="NOM45" s="1044"/>
      <c r="NON45" s="1044"/>
      <c r="NOO45" s="1044"/>
      <c r="NOP45" s="1044"/>
      <c r="NOQ45" s="1044"/>
      <c r="NOR45" s="1044"/>
      <c r="NOS45" s="1044"/>
      <c r="NOT45" s="1044"/>
      <c r="NOU45" s="1044"/>
      <c r="NOV45" s="1044"/>
      <c r="NOW45" s="1044"/>
      <c r="NOX45" s="1044"/>
      <c r="NOY45" s="1044"/>
      <c r="NOZ45" s="1044"/>
      <c r="NPA45" s="1044"/>
      <c r="NPB45" s="1044"/>
      <c r="NPC45" s="1044"/>
      <c r="NPD45" s="1044"/>
      <c r="NPE45" s="1044"/>
      <c r="NPF45" s="1044"/>
      <c r="NPG45" s="1044"/>
      <c r="NPH45" s="1044"/>
      <c r="NPI45" s="1044"/>
      <c r="NPJ45" s="1044"/>
      <c r="NPK45" s="1044"/>
      <c r="NPL45" s="1044"/>
      <c r="NPM45" s="1044"/>
      <c r="NPN45" s="1044"/>
      <c r="NPO45" s="1044"/>
      <c r="NPP45" s="1044"/>
      <c r="NPQ45" s="1044"/>
      <c r="NPR45" s="1044"/>
      <c r="NPS45" s="1044"/>
      <c r="NPT45" s="1044"/>
      <c r="NPU45" s="1044"/>
      <c r="NPV45" s="1044"/>
      <c r="NPW45" s="1044"/>
      <c r="NPX45" s="1044"/>
      <c r="NPY45" s="1044"/>
      <c r="NPZ45" s="1044"/>
      <c r="NQA45" s="1044"/>
      <c r="NQB45" s="1044"/>
      <c r="NQC45" s="1044"/>
      <c r="NQD45" s="1044"/>
      <c r="NQE45" s="1044"/>
      <c r="NQF45" s="1044"/>
      <c r="NQG45" s="1044"/>
      <c r="NQH45" s="1044"/>
      <c r="NQI45" s="1044"/>
      <c r="NQJ45" s="1044"/>
      <c r="NQK45" s="1044"/>
      <c r="NQL45" s="1044"/>
      <c r="NQM45" s="1044"/>
      <c r="NQN45" s="1044"/>
      <c r="NQO45" s="1044"/>
      <c r="NQP45" s="1044"/>
      <c r="NQQ45" s="1044"/>
      <c r="NQR45" s="1044"/>
      <c r="NQS45" s="1044"/>
      <c r="NQT45" s="1044"/>
      <c r="NQU45" s="1044"/>
      <c r="NQV45" s="1044"/>
      <c r="NQW45" s="1044"/>
      <c r="NQX45" s="1044"/>
      <c r="NQY45" s="1044"/>
      <c r="NQZ45" s="1044"/>
      <c r="NRA45" s="1044"/>
      <c r="NRB45" s="1044"/>
      <c r="NRC45" s="1044"/>
      <c r="NRD45" s="1044"/>
      <c r="NRE45" s="1044"/>
      <c r="NRF45" s="1044"/>
      <c r="NRG45" s="1044"/>
      <c r="NRH45" s="1044"/>
      <c r="NRI45" s="1044"/>
      <c r="NRJ45" s="1044"/>
      <c r="NRK45" s="1044"/>
      <c r="NRL45" s="1044"/>
      <c r="NRM45" s="1044"/>
      <c r="NRN45" s="1044"/>
      <c r="NRO45" s="1044"/>
      <c r="NRP45" s="1044"/>
      <c r="NRQ45" s="1044"/>
      <c r="NRR45" s="1044"/>
      <c r="NRS45" s="1044"/>
      <c r="NRT45" s="1044"/>
      <c r="NRU45" s="1044"/>
      <c r="NRV45" s="1044"/>
      <c r="NRW45" s="1044"/>
      <c r="NRX45" s="1044"/>
      <c r="NRY45" s="1044"/>
      <c r="NRZ45" s="1044"/>
      <c r="NSA45" s="1044"/>
      <c r="NSB45" s="1044"/>
      <c r="NSC45" s="1044"/>
      <c r="NSD45" s="1044"/>
      <c r="NSE45" s="1044"/>
      <c r="NSF45" s="1044"/>
      <c r="NSG45" s="1044"/>
      <c r="NSH45" s="1044"/>
      <c r="NSI45" s="1044"/>
      <c r="NSJ45" s="1044"/>
      <c r="NSK45" s="1044"/>
      <c r="NSL45" s="1044"/>
      <c r="NSM45" s="1044"/>
      <c r="NSN45" s="1044"/>
      <c r="NSO45" s="1044"/>
      <c r="NSP45" s="1044"/>
      <c r="NSQ45" s="1044"/>
      <c r="NSR45" s="1044"/>
      <c r="NSS45" s="1044"/>
      <c r="NST45" s="1044"/>
      <c r="NSU45" s="1044"/>
      <c r="NSV45" s="1044"/>
      <c r="NSW45" s="1044"/>
      <c r="NSX45" s="1044"/>
      <c r="NSY45" s="1044"/>
      <c r="NSZ45" s="1044"/>
      <c r="NTA45" s="1044"/>
      <c r="NTB45" s="1044"/>
      <c r="NTC45" s="1044"/>
      <c r="NTD45" s="1044"/>
      <c r="NTE45" s="1044"/>
      <c r="NTF45" s="1044"/>
      <c r="NTG45" s="1044"/>
      <c r="NTH45" s="1044"/>
      <c r="NTI45" s="1044"/>
      <c r="NTJ45" s="1044"/>
      <c r="NTK45" s="1044"/>
      <c r="NTL45" s="1044"/>
      <c r="NTM45" s="1044"/>
      <c r="NTN45" s="1044"/>
      <c r="NTO45" s="1044"/>
      <c r="NTP45" s="1044"/>
      <c r="NTQ45" s="1044"/>
      <c r="NTR45" s="1044"/>
      <c r="NTS45" s="1044"/>
      <c r="NTT45" s="1044"/>
      <c r="NTU45" s="1044"/>
      <c r="NTV45" s="1044"/>
      <c r="NTW45" s="1044"/>
      <c r="NTX45" s="1044"/>
      <c r="NTY45" s="1044"/>
      <c r="NTZ45" s="1044"/>
      <c r="NUA45" s="1044"/>
      <c r="NUB45" s="1044"/>
      <c r="NUC45" s="1044"/>
      <c r="NUD45" s="1044"/>
      <c r="NUE45" s="1044"/>
      <c r="NUF45" s="1044"/>
      <c r="NUG45" s="1044"/>
      <c r="NUH45" s="1044"/>
      <c r="NUI45" s="1044"/>
      <c r="NUJ45" s="1044"/>
      <c r="NUK45" s="1044"/>
      <c r="NUL45" s="1044"/>
      <c r="NUM45" s="1044"/>
      <c r="NUN45" s="1044"/>
      <c r="NUO45" s="1044"/>
      <c r="NUP45" s="1044"/>
      <c r="NUQ45" s="1044"/>
      <c r="NUR45" s="1044"/>
      <c r="NUS45" s="1044"/>
      <c r="NUT45" s="1044"/>
      <c r="NUU45" s="1044"/>
      <c r="NUV45" s="1044"/>
      <c r="NUW45" s="1044"/>
      <c r="NUX45" s="1044"/>
      <c r="NUY45" s="1044"/>
      <c r="NUZ45" s="1044"/>
      <c r="NVA45" s="1044"/>
      <c r="NVB45" s="1044"/>
      <c r="NVC45" s="1044"/>
      <c r="NVD45" s="1044"/>
      <c r="NVE45" s="1044"/>
      <c r="NVF45" s="1044"/>
      <c r="NVG45" s="1044"/>
      <c r="NVH45" s="1044"/>
      <c r="NVI45" s="1044"/>
      <c r="NVJ45" s="1044"/>
      <c r="NVK45" s="1044"/>
      <c r="NVL45" s="1044"/>
      <c r="NVM45" s="1044"/>
      <c r="NVN45" s="1044"/>
      <c r="NVO45" s="1044"/>
      <c r="NVP45" s="1044"/>
      <c r="NVQ45" s="1044"/>
      <c r="NVR45" s="1044"/>
      <c r="NVS45" s="1044"/>
      <c r="NVT45" s="1044"/>
      <c r="NVU45" s="1044"/>
      <c r="NVV45" s="1044"/>
      <c r="NVW45" s="1044"/>
      <c r="NVX45" s="1044"/>
      <c r="NVY45" s="1044"/>
      <c r="NVZ45" s="1044"/>
      <c r="NWA45" s="1044"/>
      <c r="NWB45" s="1044"/>
      <c r="NWC45" s="1044"/>
      <c r="NWD45" s="1044"/>
      <c r="NWE45" s="1044"/>
      <c r="NWF45" s="1044"/>
      <c r="NWG45" s="1044"/>
      <c r="NWH45" s="1044"/>
      <c r="NWI45" s="1044"/>
      <c r="NWJ45" s="1044"/>
      <c r="NWK45" s="1044"/>
      <c r="NWL45" s="1044"/>
      <c r="NWM45" s="1044"/>
      <c r="NWN45" s="1044"/>
      <c r="NWO45" s="1044"/>
      <c r="NWP45" s="1044"/>
      <c r="NWQ45" s="1044"/>
      <c r="NWR45" s="1044"/>
      <c r="NWS45" s="1044"/>
      <c r="NWT45" s="1044"/>
      <c r="NWU45" s="1044"/>
      <c r="NWV45" s="1044"/>
      <c r="NWW45" s="1044"/>
      <c r="NWX45" s="1044"/>
      <c r="NWY45" s="1044"/>
      <c r="NWZ45" s="1044"/>
      <c r="NXA45" s="1044"/>
      <c r="NXB45" s="1044"/>
      <c r="NXC45" s="1044"/>
      <c r="NXD45" s="1044"/>
      <c r="NXE45" s="1044"/>
      <c r="NXF45" s="1044"/>
      <c r="NXG45" s="1044"/>
      <c r="NXH45" s="1044"/>
      <c r="NXI45" s="1044"/>
      <c r="NXJ45" s="1044"/>
      <c r="NXK45" s="1044"/>
      <c r="NXL45" s="1044"/>
      <c r="NXM45" s="1044"/>
      <c r="NXN45" s="1044"/>
      <c r="NXO45" s="1044"/>
      <c r="NXP45" s="1044"/>
      <c r="NXQ45" s="1044"/>
      <c r="NXR45" s="1044"/>
      <c r="NXS45" s="1044"/>
      <c r="NXT45" s="1044"/>
      <c r="NXU45" s="1044"/>
      <c r="NXV45" s="1044"/>
      <c r="NXW45" s="1044"/>
      <c r="NXX45" s="1044"/>
      <c r="NXY45" s="1044"/>
      <c r="NXZ45" s="1044"/>
      <c r="NYA45" s="1044"/>
      <c r="NYB45" s="1044"/>
      <c r="NYC45" s="1044"/>
      <c r="NYD45" s="1044"/>
      <c r="NYE45" s="1044"/>
      <c r="NYF45" s="1044"/>
      <c r="NYG45" s="1044"/>
      <c r="NYH45" s="1044"/>
      <c r="NYI45" s="1044"/>
      <c r="NYJ45" s="1044"/>
      <c r="NYK45" s="1044"/>
      <c r="NYL45" s="1044"/>
      <c r="NYM45" s="1044"/>
      <c r="NYN45" s="1044"/>
      <c r="NYO45" s="1044"/>
      <c r="NYP45" s="1044"/>
      <c r="NYQ45" s="1044"/>
      <c r="NYR45" s="1044"/>
      <c r="NYS45" s="1044"/>
      <c r="NYT45" s="1044"/>
      <c r="NYU45" s="1044"/>
      <c r="NYV45" s="1044"/>
      <c r="NYW45" s="1044"/>
      <c r="NYX45" s="1044"/>
      <c r="NYY45" s="1044"/>
      <c r="NYZ45" s="1044"/>
      <c r="NZA45" s="1044"/>
      <c r="NZB45" s="1044"/>
      <c r="NZC45" s="1044"/>
      <c r="NZD45" s="1044"/>
      <c r="NZE45" s="1044"/>
      <c r="NZF45" s="1044"/>
      <c r="NZG45" s="1044"/>
      <c r="NZH45" s="1044"/>
      <c r="NZI45" s="1044"/>
      <c r="NZJ45" s="1044"/>
      <c r="NZK45" s="1044"/>
      <c r="NZL45" s="1044"/>
      <c r="NZM45" s="1044"/>
      <c r="NZN45" s="1044"/>
      <c r="NZO45" s="1044"/>
      <c r="NZP45" s="1044"/>
      <c r="NZQ45" s="1044"/>
      <c r="NZR45" s="1044"/>
      <c r="NZS45" s="1044"/>
      <c r="NZT45" s="1044"/>
      <c r="NZU45" s="1044"/>
      <c r="NZV45" s="1044"/>
      <c r="NZW45" s="1044"/>
      <c r="NZX45" s="1044"/>
      <c r="NZY45" s="1044"/>
      <c r="NZZ45" s="1044"/>
      <c r="OAA45" s="1044"/>
      <c r="OAB45" s="1044"/>
      <c r="OAC45" s="1044"/>
      <c r="OAD45" s="1044"/>
      <c r="OAE45" s="1044"/>
      <c r="OAF45" s="1044"/>
      <c r="OAG45" s="1044"/>
      <c r="OAH45" s="1044"/>
      <c r="OAI45" s="1044"/>
      <c r="OAJ45" s="1044"/>
      <c r="OAK45" s="1044"/>
      <c r="OAL45" s="1044"/>
      <c r="OAM45" s="1044"/>
      <c r="OAN45" s="1044"/>
      <c r="OAO45" s="1044"/>
      <c r="OAP45" s="1044"/>
      <c r="OAQ45" s="1044"/>
      <c r="OAR45" s="1044"/>
      <c r="OAS45" s="1044"/>
      <c r="OAT45" s="1044"/>
      <c r="OAU45" s="1044"/>
      <c r="OAV45" s="1044"/>
      <c r="OAW45" s="1044"/>
      <c r="OAX45" s="1044"/>
      <c r="OAY45" s="1044"/>
      <c r="OAZ45" s="1044"/>
      <c r="OBA45" s="1044"/>
      <c r="OBB45" s="1044"/>
      <c r="OBC45" s="1044"/>
      <c r="OBD45" s="1044"/>
      <c r="OBE45" s="1044"/>
      <c r="OBF45" s="1044"/>
      <c r="OBG45" s="1044"/>
      <c r="OBH45" s="1044"/>
      <c r="OBI45" s="1044"/>
      <c r="OBJ45" s="1044"/>
      <c r="OBK45" s="1044"/>
      <c r="OBL45" s="1044"/>
      <c r="OBM45" s="1044"/>
      <c r="OBN45" s="1044"/>
      <c r="OBO45" s="1044"/>
      <c r="OBP45" s="1044"/>
      <c r="OBQ45" s="1044"/>
      <c r="OBR45" s="1044"/>
      <c r="OBS45" s="1044"/>
      <c r="OBT45" s="1044"/>
      <c r="OBU45" s="1044"/>
      <c r="OBV45" s="1044"/>
      <c r="OBW45" s="1044"/>
      <c r="OBX45" s="1044"/>
      <c r="OBY45" s="1044"/>
      <c r="OBZ45" s="1044"/>
      <c r="OCA45" s="1044"/>
      <c r="OCB45" s="1044"/>
      <c r="OCC45" s="1044"/>
      <c r="OCD45" s="1044"/>
      <c r="OCE45" s="1044"/>
      <c r="OCF45" s="1044"/>
      <c r="OCG45" s="1044"/>
      <c r="OCH45" s="1044"/>
      <c r="OCI45" s="1044"/>
      <c r="OCJ45" s="1044"/>
      <c r="OCK45" s="1044"/>
      <c r="OCL45" s="1044"/>
      <c r="OCM45" s="1044"/>
      <c r="OCN45" s="1044"/>
      <c r="OCO45" s="1044"/>
      <c r="OCP45" s="1044"/>
      <c r="OCQ45" s="1044"/>
      <c r="OCR45" s="1044"/>
      <c r="OCS45" s="1044"/>
      <c r="OCT45" s="1044"/>
      <c r="OCU45" s="1044"/>
      <c r="OCV45" s="1044"/>
      <c r="OCW45" s="1044"/>
      <c r="OCX45" s="1044"/>
      <c r="OCY45" s="1044"/>
      <c r="OCZ45" s="1044"/>
      <c r="ODA45" s="1044"/>
      <c r="ODB45" s="1044"/>
      <c r="ODC45" s="1044"/>
      <c r="ODD45" s="1044"/>
      <c r="ODE45" s="1044"/>
      <c r="ODF45" s="1044"/>
      <c r="ODG45" s="1044"/>
      <c r="ODH45" s="1044"/>
      <c r="ODI45" s="1044"/>
      <c r="ODJ45" s="1044"/>
      <c r="ODK45" s="1044"/>
      <c r="ODL45" s="1044"/>
      <c r="ODM45" s="1044"/>
      <c r="ODN45" s="1044"/>
      <c r="ODO45" s="1044"/>
      <c r="ODP45" s="1044"/>
      <c r="ODQ45" s="1044"/>
      <c r="ODR45" s="1044"/>
      <c r="ODS45" s="1044"/>
      <c r="ODT45" s="1044"/>
      <c r="ODU45" s="1044"/>
      <c r="ODV45" s="1044"/>
      <c r="ODW45" s="1044"/>
      <c r="ODX45" s="1044"/>
      <c r="ODY45" s="1044"/>
      <c r="ODZ45" s="1044"/>
      <c r="OEA45" s="1044"/>
      <c r="OEB45" s="1044"/>
      <c r="OEC45" s="1044"/>
      <c r="OED45" s="1044"/>
      <c r="OEE45" s="1044"/>
      <c r="OEF45" s="1044"/>
      <c r="OEG45" s="1044"/>
      <c r="OEH45" s="1044"/>
      <c r="OEI45" s="1044"/>
      <c r="OEJ45" s="1044"/>
      <c r="OEK45" s="1044"/>
      <c r="OEL45" s="1044"/>
      <c r="OEM45" s="1044"/>
      <c r="OEN45" s="1044"/>
      <c r="OEO45" s="1044"/>
      <c r="OEP45" s="1044"/>
      <c r="OEQ45" s="1044"/>
      <c r="OER45" s="1044"/>
      <c r="OES45" s="1044"/>
      <c r="OET45" s="1044"/>
      <c r="OEU45" s="1044"/>
      <c r="OEV45" s="1044"/>
      <c r="OEW45" s="1044"/>
      <c r="OEX45" s="1044"/>
      <c r="OEY45" s="1044"/>
      <c r="OEZ45" s="1044"/>
      <c r="OFA45" s="1044"/>
      <c r="OFB45" s="1044"/>
      <c r="OFC45" s="1044"/>
      <c r="OFD45" s="1044"/>
      <c r="OFE45" s="1044"/>
      <c r="OFF45" s="1044"/>
      <c r="OFG45" s="1044"/>
      <c r="OFH45" s="1044"/>
      <c r="OFI45" s="1044"/>
      <c r="OFJ45" s="1044"/>
      <c r="OFK45" s="1044"/>
      <c r="OFL45" s="1044"/>
      <c r="OFM45" s="1044"/>
      <c r="OFN45" s="1044"/>
      <c r="OFO45" s="1044"/>
      <c r="OFP45" s="1044"/>
      <c r="OFQ45" s="1044"/>
      <c r="OFR45" s="1044"/>
      <c r="OFS45" s="1044"/>
      <c r="OFT45" s="1044"/>
      <c r="OFU45" s="1044"/>
      <c r="OFV45" s="1044"/>
      <c r="OFW45" s="1044"/>
      <c r="OFX45" s="1044"/>
      <c r="OFY45" s="1044"/>
      <c r="OFZ45" s="1044"/>
      <c r="OGA45" s="1044"/>
      <c r="OGB45" s="1044"/>
      <c r="OGC45" s="1044"/>
      <c r="OGD45" s="1044"/>
      <c r="OGE45" s="1044"/>
      <c r="OGF45" s="1044"/>
      <c r="OGG45" s="1044"/>
      <c r="OGH45" s="1044"/>
      <c r="OGI45" s="1044"/>
      <c r="OGJ45" s="1044"/>
      <c r="OGK45" s="1044"/>
      <c r="OGL45" s="1044"/>
      <c r="OGM45" s="1044"/>
      <c r="OGN45" s="1044"/>
      <c r="OGO45" s="1044"/>
      <c r="OGP45" s="1044"/>
      <c r="OGQ45" s="1044"/>
      <c r="OGR45" s="1044"/>
      <c r="OGS45" s="1044"/>
      <c r="OGT45" s="1044"/>
      <c r="OGU45" s="1044"/>
      <c r="OGV45" s="1044"/>
      <c r="OGW45" s="1044"/>
      <c r="OGX45" s="1044"/>
      <c r="OGY45" s="1044"/>
      <c r="OGZ45" s="1044"/>
      <c r="OHA45" s="1044"/>
      <c r="OHB45" s="1044"/>
      <c r="OHC45" s="1044"/>
      <c r="OHD45" s="1044"/>
      <c r="OHE45" s="1044"/>
      <c r="OHF45" s="1044"/>
      <c r="OHG45" s="1044"/>
      <c r="OHH45" s="1044"/>
      <c r="OHI45" s="1044"/>
      <c r="OHJ45" s="1044"/>
      <c r="OHK45" s="1044"/>
      <c r="OHL45" s="1044"/>
      <c r="OHM45" s="1044"/>
      <c r="OHN45" s="1044"/>
      <c r="OHO45" s="1044"/>
      <c r="OHP45" s="1044"/>
      <c r="OHQ45" s="1044"/>
      <c r="OHR45" s="1044"/>
      <c r="OHS45" s="1044"/>
      <c r="OHT45" s="1044"/>
      <c r="OHU45" s="1044"/>
      <c r="OHV45" s="1044"/>
      <c r="OHW45" s="1044"/>
      <c r="OHX45" s="1044"/>
      <c r="OHY45" s="1044"/>
      <c r="OHZ45" s="1044"/>
      <c r="OIA45" s="1044"/>
      <c r="OIB45" s="1044"/>
      <c r="OIC45" s="1044"/>
      <c r="OID45" s="1044"/>
      <c r="OIE45" s="1044"/>
      <c r="OIF45" s="1044"/>
      <c r="OIG45" s="1044"/>
      <c r="OIH45" s="1044"/>
      <c r="OII45" s="1044"/>
      <c r="OIJ45" s="1044"/>
      <c r="OIK45" s="1044"/>
      <c r="OIL45" s="1044"/>
      <c r="OIM45" s="1044"/>
      <c r="OIN45" s="1044"/>
      <c r="OIO45" s="1044"/>
      <c r="OIP45" s="1044"/>
      <c r="OIQ45" s="1044"/>
      <c r="OIR45" s="1044"/>
      <c r="OIS45" s="1044"/>
      <c r="OIT45" s="1044"/>
      <c r="OIU45" s="1044"/>
      <c r="OIV45" s="1044"/>
      <c r="OIW45" s="1044"/>
      <c r="OIX45" s="1044"/>
      <c r="OIY45" s="1044"/>
      <c r="OIZ45" s="1044"/>
      <c r="OJA45" s="1044"/>
      <c r="OJB45" s="1044"/>
      <c r="OJC45" s="1044"/>
      <c r="OJD45" s="1044"/>
      <c r="OJE45" s="1044"/>
      <c r="OJF45" s="1044"/>
      <c r="OJG45" s="1044"/>
      <c r="OJH45" s="1044"/>
      <c r="OJI45" s="1044"/>
      <c r="OJJ45" s="1044"/>
      <c r="OJK45" s="1044"/>
      <c r="OJL45" s="1044"/>
      <c r="OJM45" s="1044"/>
      <c r="OJN45" s="1044"/>
      <c r="OJO45" s="1044"/>
      <c r="OJP45" s="1044"/>
      <c r="OJQ45" s="1044"/>
      <c r="OJR45" s="1044"/>
      <c r="OJS45" s="1044"/>
      <c r="OJT45" s="1044"/>
      <c r="OJU45" s="1044"/>
      <c r="OJV45" s="1044"/>
      <c r="OJW45" s="1044"/>
      <c r="OJX45" s="1044"/>
      <c r="OJY45" s="1044"/>
      <c r="OJZ45" s="1044"/>
      <c r="OKA45" s="1044"/>
      <c r="OKB45" s="1044"/>
      <c r="OKC45" s="1044"/>
      <c r="OKD45" s="1044"/>
      <c r="OKE45" s="1044"/>
      <c r="OKF45" s="1044"/>
      <c r="OKG45" s="1044"/>
      <c r="OKH45" s="1044"/>
      <c r="OKI45" s="1044"/>
      <c r="OKJ45" s="1044"/>
      <c r="OKK45" s="1044"/>
      <c r="OKL45" s="1044"/>
      <c r="OKM45" s="1044"/>
      <c r="OKN45" s="1044"/>
      <c r="OKO45" s="1044"/>
      <c r="OKP45" s="1044"/>
      <c r="OKQ45" s="1044"/>
      <c r="OKR45" s="1044"/>
      <c r="OKS45" s="1044"/>
      <c r="OKT45" s="1044"/>
      <c r="OKU45" s="1044"/>
      <c r="OKV45" s="1044"/>
      <c r="OKW45" s="1044"/>
      <c r="OKX45" s="1044"/>
      <c r="OKY45" s="1044"/>
      <c r="OKZ45" s="1044"/>
      <c r="OLA45" s="1044"/>
      <c r="OLB45" s="1044"/>
      <c r="OLC45" s="1044"/>
      <c r="OLD45" s="1044"/>
      <c r="OLE45" s="1044"/>
      <c r="OLF45" s="1044"/>
      <c r="OLG45" s="1044"/>
      <c r="OLH45" s="1044"/>
      <c r="OLI45" s="1044"/>
      <c r="OLJ45" s="1044"/>
      <c r="OLK45" s="1044"/>
      <c r="OLL45" s="1044"/>
      <c r="OLM45" s="1044"/>
      <c r="OLN45" s="1044"/>
      <c r="OLO45" s="1044"/>
      <c r="OLP45" s="1044"/>
      <c r="OLQ45" s="1044"/>
      <c r="OLR45" s="1044"/>
      <c r="OLS45" s="1044"/>
      <c r="OLT45" s="1044"/>
      <c r="OLU45" s="1044"/>
      <c r="OLV45" s="1044"/>
      <c r="OLW45" s="1044"/>
      <c r="OLX45" s="1044"/>
      <c r="OLY45" s="1044"/>
      <c r="OLZ45" s="1044"/>
      <c r="OMA45" s="1044"/>
      <c r="OMB45" s="1044"/>
      <c r="OMC45" s="1044"/>
      <c r="OMD45" s="1044"/>
      <c r="OME45" s="1044"/>
      <c r="OMF45" s="1044"/>
      <c r="OMG45" s="1044"/>
      <c r="OMH45" s="1044"/>
      <c r="OMI45" s="1044"/>
      <c r="OMJ45" s="1044"/>
      <c r="OMK45" s="1044"/>
      <c r="OML45" s="1044"/>
      <c r="OMM45" s="1044"/>
      <c r="OMN45" s="1044"/>
      <c r="OMO45" s="1044"/>
      <c r="OMP45" s="1044"/>
      <c r="OMQ45" s="1044"/>
      <c r="OMR45" s="1044"/>
      <c r="OMS45" s="1044"/>
      <c r="OMT45" s="1044"/>
      <c r="OMU45" s="1044"/>
      <c r="OMV45" s="1044"/>
      <c r="OMW45" s="1044"/>
      <c r="OMX45" s="1044"/>
      <c r="OMY45" s="1044"/>
      <c r="OMZ45" s="1044"/>
      <c r="ONA45" s="1044"/>
      <c r="ONB45" s="1044"/>
      <c r="ONC45" s="1044"/>
      <c r="OND45" s="1044"/>
      <c r="ONE45" s="1044"/>
      <c r="ONF45" s="1044"/>
      <c r="ONG45" s="1044"/>
      <c r="ONH45" s="1044"/>
      <c r="ONI45" s="1044"/>
      <c r="ONJ45" s="1044"/>
      <c r="ONK45" s="1044"/>
      <c r="ONL45" s="1044"/>
      <c r="ONM45" s="1044"/>
      <c r="ONN45" s="1044"/>
      <c r="ONO45" s="1044"/>
      <c r="ONP45" s="1044"/>
      <c r="ONQ45" s="1044"/>
      <c r="ONR45" s="1044"/>
      <c r="ONS45" s="1044"/>
      <c r="ONT45" s="1044"/>
      <c r="ONU45" s="1044"/>
      <c r="ONV45" s="1044"/>
      <c r="ONW45" s="1044"/>
      <c r="ONX45" s="1044"/>
      <c r="ONY45" s="1044"/>
      <c r="ONZ45" s="1044"/>
      <c r="OOA45" s="1044"/>
      <c r="OOB45" s="1044"/>
      <c r="OOC45" s="1044"/>
      <c r="OOD45" s="1044"/>
      <c r="OOE45" s="1044"/>
      <c r="OOF45" s="1044"/>
      <c r="OOG45" s="1044"/>
      <c r="OOH45" s="1044"/>
      <c r="OOI45" s="1044"/>
      <c r="OOJ45" s="1044"/>
      <c r="OOK45" s="1044"/>
      <c r="OOL45" s="1044"/>
      <c r="OOM45" s="1044"/>
      <c r="OON45" s="1044"/>
      <c r="OOO45" s="1044"/>
      <c r="OOP45" s="1044"/>
      <c r="OOQ45" s="1044"/>
      <c r="OOR45" s="1044"/>
      <c r="OOS45" s="1044"/>
      <c r="OOT45" s="1044"/>
      <c r="OOU45" s="1044"/>
      <c r="OOV45" s="1044"/>
      <c r="OOW45" s="1044"/>
      <c r="OOX45" s="1044"/>
      <c r="OOY45" s="1044"/>
      <c r="OOZ45" s="1044"/>
      <c r="OPA45" s="1044"/>
      <c r="OPB45" s="1044"/>
      <c r="OPC45" s="1044"/>
      <c r="OPD45" s="1044"/>
      <c r="OPE45" s="1044"/>
      <c r="OPF45" s="1044"/>
      <c r="OPG45" s="1044"/>
      <c r="OPH45" s="1044"/>
      <c r="OPI45" s="1044"/>
      <c r="OPJ45" s="1044"/>
      <c r="OPK45" s="1044"/>
      <c r="OPL45" s="1044"/>
      <c r="OPM45" s="1044"/>
      <c r="OPN45" s="1044"/>
      <c r="OPO45" s="1044"/>
      <c r="OPP45" s="1044"/>
      <c r="OPQ45" s="1044"/>
      <c r="OPR45" s="1044"/>
      <c r="OPS45" s="1044"/>
      <c r="OPT45" s="1044"/>
      <c r="OPU45" s="1044"/>
      <c r="OPV45" s="1044"/>
      <c r="OPW45" s="1044"/>
      <c r="OPX45" s="1044"/>
      <c r="OPY45" s="1044"/>
      <c r="OPZ45" s="1044"/>
      <c r="OQA45" s="1044"/>
      <c r="OQB45" s="1044"/>
      <c r="OQC45" s="1044"/>
      <c r="OQD45" s="1044"/>
      <c r="OQE45" s="1044"/>
      <c r="OQF45" s="1044"/>
      <c r="OQG45" s="1044"/>
      <c r="OQH45" s="1044"/>
      <c r="OQI45" s="1044"/>
      <c r="OQJ45" s="1044"/>
      <c r="OQK45" s="1044"/>
      <c r="OQL45" s="1044"/>
      <c r="OQM45" s="1044"/>
      <c r="OQN45" s="1044"/>
      <c r="OQO45" s="1044"/>
      <c r="OQP45" s="1044"/>
      <c r="OQQ45" s="1044"/>
      <c r="OQR45" s="1044"/>
      <c r="OQS45" s="1044"/>
      <c r="OQT45" s="1044"/>
      <c r="OQU45" s="1044"/>
      <c r="OQV45" s="1044"/>
      <c r="OQW45" s="1044"/>
      <c r="OQX45" s="1044"/>
      <c r="OQY45" s="1044"/>
      <c r="OQZ45" s="1044"/>
      <c r="ORA45" s="1044"/>
      <c r="ORB45" s="1044"/>
      <c r="ORC45" s="1044"/>
      <c r="ORD45" s="1044"/>
      <c r="ORE45" s="1044"/>
      <c r="ORF45" s="1044"/>
      <c r="ORG45" s="1044"/>
      <c r="ORH45" s="1044"/>
      <c r="ORI45" s="1044"/>
      <c r="ORJ45" s="1044"/>
      <c r="ORK45" s="1044"/>
      <c r="ORL45" s="1044"/>
      <c r="ORM45" s="1044"/>
      <c r="ORN45" s="1044"/>
      <c r="ORO45" s="1044"/>
      <c r="ORP45" s="1044"/>
      <c r="ORQ45" s="1044"/>
      <c r="ORR45" s="1044"/>
      <c r="ORS45" s="1044"/>
      <c r="ORT45" s="1044"/>
      <c r="ORU45" s="1044"/>
      <c r="ORV45" s="1044"/>
      <c r="ORW45" s="1044"/>
      <c r="ORX45" s="1044"/>
      <c r="ORY45" s="1044"/>
      <c r="ORZ45" s="1044"/>
      <c r="OSA45" s="1044"/>
      <c r="OSB45" s="1044"/>
      <c r="OSC45" s="1044"/>
      <c r="OSD45" s="1044"/>
      <c r="OSE45" s="1044"/>
      <c r="OSF45" s="1044"/>
      <c r="OSG45" s="1044"/>
      <c r="OSH45" s="1044"/>
      <c r="OSI45" s="1044"/>
      <c r="OSJ45" s="1044"/>
      <c r="OSK45" s="1044"/>
      <c r="OSL45" s="1044"/>
      <c r="OSM45" s="1044"/>
      <c r="OSN45" s="1044"/>
      <c r="OSO45" s="1044"/>
      <c r="OSP45" s="1044"/>
      <c r="OSQ45" s="1044"/>
      <c r="OSR45" s="1044"/>
      <c r="OSS45" s="1044"/>
      <c r="OST45" s="1044"/>
      <c r="OSU45" s="1044"/>
      <c r="OSV45" s="1044"/>
      <c r="OSW45" s="1044"/>
      <c r="OSX45" s="1044"/>
      <c r="OSY45" s="1044"/>
      <c r="OSZ45" s="1044"/>
      <c r="OTA45" s="1044"/>
      <c r="OTB45" s="1044"/>
      <c r="OTC45" s="1044"/>
      <c r="OTD45" s="1044"/>
      <c r="OTE45" s="1044"/>
      <c r="OTF45" s="1044"/>
      <c r="OTG45" s="1044"/>
      <c r="OTH45" s="1044"/>
      <c r="OTI45" s="1044"/>
      <c r="OTJ45" s="1044"/>
      <c r="OTK45" s="1044"/>
      <c r="OTL45" s="1044"/>
      <c r="OTM45" s="1044"/>
      <c r="OTN45" s="1044"/>
      <c r="OTO45" s="1044"/>
      <c r="OTP45" s="1044"/>
      <c r="OTQ45" s="1044"/>
      <c r="OTR45" s="1044"/>
      <c r="OTS45" s="1044"/>
      <c r="OTT45" s="1044"/>
      <c r="OTU45" s="1044"/>
      <c r="OTV45" s="1044"/>
      <c r="OTW45" s="1044"/>
      <c r="OTX45" s="1044"/>
      <c r="OTY45" s="1044"/>
      <c r="OTZ45" s="1044"/>
      <c r="OUA45" s="1044"/>
      <c r="OUB45" s="1044"/>
      <c r="OUC45" s="1044"/>
      <c r="OUD45" s="1044"/>
      <c r="OUE45" s="1044"/>
      <c r="OUF45" s="1044"/>
      <c r="OUG45" s="1044"/>
      <c r="OUH45" s="1044"/>
      <c r="OUI45" s="1044"/>
      <c r="OUJ45" s="1044"/>
      <c r="OUK45" s="1044"/>
      <c r="OUL45" s="1044"/>
      <c r="OUM45" s="1044"/>
      <c r="OUN45" s="1044"/>
      <c r="OUO45" s="1044"/>
      <c r="OUP45" s="1044"/>
      <c r="OUQ45" s="1044"/>
      <c r="OUR45" s="1044"/>
      <c r="OUS45" s="1044"/>
      <c r="OUT45" s="1044"/>
      <c r="OUU45" s="1044"/>
      <c r="OUV45" s="1044"/>
      <c r="OUW45" s="1044"/>
      <c r="OUX45" s="1044"/>
      <c r="OUY45" s="1044"/>
      <c r="OUZ45" s="1044"/>
      <c r="OVA45" s="1044"/>
      <c r="OVB45" s="1044"/>
      <c r="OVC45" s="1044"/>
      <c r="OVD45" s="1044"/>
      <c r="OVE45" s="1044"/>
      <c r="OVF45" s="1044"/>
      <c r="OVG45" s="1044"/>
      <c r="OVH45" s="1044"/>
      <c r="OVI45" s="1044"/>
      <c r="OVJ45" s="1044"/>
      <c r="OVK45" s="1044"/>
      <c r="OVL45" s="1044"/>
      <c r="OVM45" s="1044"/>
      <c r="OVN45" s="1044"/>
      <c r="OVO45" s="1044"/>
      <c r="OVP45" s="1044"/>
      <c r="OVQ45" s="1044"/>
      <c r="OVR45" s="1044"/>
      <c r="OVS45" s="1044"/>
      <c r="OVT45" s="1044"/>
      <c r="OVU45" s="1044"/>
      <c r="OVV45" s="1044"/>
      <c r="OVW45" s="1044"/>
      <c r="OVX45" s="1044"/>
      <c r="OVY45" s="1044"/>
      <c r="OVZ45" s="1044"/>
      <c r="OWA45" s="1044"/>
      <c r="OWB45" s="1044"/>
      <c r="OWC45" s="1044"/>
      <c r="OWD45" s="1044"/>
      <c r="OWE45" s="1044"/>
      <c r="OWF45" s="1044"/>
      <c r="OWG45" s="1044"/>
      <c r="OWH45" s="1044"/>
      <c r="OWI45" s="1044"/>
      <c r="OWJ45" s="1044"/>
      <c r="OWK45" s="1044"/>
      <c r="OWL45" s="1044"/>
      <c r="OWM45" s="1044"/>
      <c r="OWN45" s="1044"/>
      <c r="OWO45" s="1044"/>
      <c r="OWP45" s="1044"/>
      <c r="OWQ45" s="1044"/>
      <c r="OWR45" s="1044"/>
      <c r="OWS45" s="1044"/>
      <c r="OWT45" s="1044"/>
      <c r="OWU45" s="1044"/>
      <c r="OWV45" s="1044"/>
      <c r="OWW45" s="1044"/>
      <c r="OWX45" s="1044"/>
      <c r="OWY45" s="1044"/>
      <c r="OWZ45" s="1044"/>
      <c r="OXA45" s="1044"/>
      <c r="OXB45" s="1044"/>
      <c r="OXC45" s="1044"/>
      <c r="OXD45" s="1044"/>
      <c r="OXE45" s="1044"/>
      <c r="OXF45" s="1044"/>
      <c r="OXG45" s="1044"/>
      <c r="OXH45" s="1044"/>
      <c r="OXI45" s="1044"/>
      <c r="OXJ45" s="1044"/>
      <c r="OXK45" s="1044"/>
      <c r="OXL45" s="1044"/>
      <c r="OXM45" s="1044"/>
      <c r="OXN45" s="1044"/>
      <c r="OXO45" s="1044"/>
      <c r="OXP45" s="1044"/>
      <c r="OXQ45" s="1044"/>
      <c r="OXR45" s="1044"/>
      <c r="OXS45" s="1044"/>
      <c r="OXT45" s="1044"/>
      <c r="OXU45" s="1044"/>
      <c r="OXV45" s="1044"/>
      <c r="OXW45" s="1044"/>
      <c r="OXX45" s="1044"/>
      <c r="OXY45" s="1044"/>
      <c r="OXZ45" s="1044"/>
      <c r="OYA45" s="1044"/>
      <c r="OYB45" s="1044"/>
      <c r="OYC45" s="1044"/>
      <c r="OYD45" s="1044"/>
      <c r="OYE45" s="1044"/>
      <c r="OYF45" s="1044"/>
      <c r="OYG45" s="1044"/>
      <c r="OYH45" s="1044"/>
      <c r="OYI45" s="1044"/>
      <c r="OYJ45" s="1044"/>
      <c r="OYK45" s="1044"/>
      <c r="OYL45" s="1044"/>
      <c r="OYM45" s="1044"/>
      <c r="OYN45" s="1044"/>
      <c r="OYO45" s="1044"/>
      <c r="OYP45" s="1044"/>
      <c r="OYQ45" s="1044"/>
      <c r="OYR45" s="1044"/>
      <c r="OYS45" s="1044"/>
      <c r="OYT45" s="1044"/>
      <c r="OYU45" s="1044"/>
      <c r="OYV45" s="1044"/>
      <c r="OYW45" s="1044"/>
      <c r="OYX45" s="1044"/>
      <c r="OYY45" s="1044"/>
      <c r="OYZ45" s="1044"/>
      <c r="OZA45" s="1044"/>
      <c r="OZB45" s="1044"/>
      <c r="OZC45" s="1044"/>
      <c r="OZD45" s="1044"/>
      <c r="OZE45" s="1044"/>
      <c r="OZF45" s="1044"/>
      <c r="OZG45" s="1044"/>
      <c r="OZH45" s="1044"/>
      <c r="OZI45" s="1044"/>
      <c r="OZJ45" s="1044"/>
      <c r="OZK45" s="1044"/>
      <c r="OZL45" s="1044"/>
      <c r="OZM45" s="1044"/>
      <c r="OZN45" s="1044"/>
      <c r="OZO45" s="1044"/>
      <c r="OZP45" s="1044"/>
      <c r="OZQ45" s="1044"/>
      <c r="OZR45" s="1044"/>
      <c r="OZS45" s="1044"/>
      <c r="OZT45" s="1044"/>
      <c r="OZU45" s="1044"/>
      <c r="OZV45" s="1044"/>
      <c r="OZW45" s="1044"/>
      <c r="OZX45" s="1044"/>
      <c r="OZY45" s="1044"/>
      <c r="OZZ45" s="1044"/>
      <c r="PAA45" s="1044"/>
      <c r="PAB45" s="1044"/>
      <c r="PAC45" s="1044"/>
      <c r="PAD45" s="1044"/>
      <c r="PAE45" s="1044"/>
      <c r="PAF45" s="1044"/>
      <c r="PAG45" s="1044"/>
      <c r="PAH45" s="1044"/>
      <c r="PAI45" s="1044"/>
      <c r="PAJ45" s="1044"/>
      <c r="PAK45" s="1044"/>
      <c r="PAL45" s="1044"/>
      <c r="PAM45" s="1044"/>
      <c r="PAN45" s="1044"/>
      <c r="PAO45" s="1044"/>
      <c r="PAP45" s="1044"/>
      <c r="PAQ45" s="1044"/>
      <c r="PAR45" s="1044"/>
      <c r="PAS45" s="1044"/>
      <c r="PAT45" s="1044"/>
      <c r="PAU45" s="1044"/>
      <c r="PAV45" s="1044"/>
      <c r="PAW45" s="1044"/>
      <c r="PAX45" s="1044"/>
      <c r="PAY45" s="1044"/>
      <c r="PAZ45" s="1044"/>
      <c r="PBA45" s="1044"/>
      <c r="PBB45" s="1044"/>
      <c r="PBC45" s="1044"/>
      <c r="PBD45" s="1044"/>
      <c r="PBE45" s="1044"/>
      <c r="PBF45" s="1044"/>
      <c r="PBG45" s="1044"/>
      <c r="PBH45" s="1044"/>
      <c r="PBI45" s="1044"/>
      <c r="PBJ45" s="1044"/>
      <c r="PBK45" s="1044"/>
      <c r="PBL45" s="1044"/>
      <c r="PBM45" s="1044"/>
      <c r="PBN45" s="1044"/>
      <c r="PBO45" s="1044"/>
      <c r="PBP45" s="1044"/>
      <c r="PBQ45" s="1044"/>
      <c r="PBR45" s="1044"/>
      <c r="PBS45" s="1044"/>
      <c r="PBT45" s="1044"/>
      <c r="PBU45" s="1044"/>
      <c r="PBV45" s="1044"/>
      <c r="PBW45" s="1044"/>
      <c r="PBX45" s="1044"/>
      <c r="PBY45" s="1044"/>
      <c r="PBZ45" s="1044"/>
      <c r="PCA45" s="1044"/>
      <c r="PCB45" s="1044"/>
      <c r="PCC45" s="1044"/>
      <c r="PCD45" s="1044"/>
      <c r="PCE45" s="1044"/>
      <c r="PCF45" s="1044"/>
      <c r="PCG45" s="1044"/>
      <c r="PCH45" s="1044"/>
      <c r="PCI45" s="1044"/>
      <c r="PCJ45" s="1044"/>
      <c r="PCK45" s="1044"/>
      <c r="PCL45" s="1044"/>
      <c r="PCM45" s="1044"/>
      <c r="PCN45" s="1044"/>
      <c r="PCO45" s="1044"/>
      <c r="PCP45" s="1044"/>
      <c r="PCQ45" s="1044"/>
      <c r="PCR45" s="1044"/>
      <c r="PCS45" s="1044"/>
      <c r="PCT45" s="1044"/>
      <c r="PCU45" s="1044"/>
      <c r="PCV45" s="1044"/>
      <c r="PCW45" s="1044"/>
      <c r="PCX45" s="1044"/>
      <c r="PCY45" s="1044"/>
      <c r="PCZ45" s="1044"/>
      <c r="PDA45" s="1044"/>
      <c r="PDB45" s="1044"/>
      <c r="PDC45" s="1044"/>
      <c r="PDD45" s="1044"/>
      <c r="PDE45" s="1044"/>
      <c r="PDF45" s="1044"/>
      <c r="PDG45" s="1044"/>
      <c r="PDH45" s="1044"/>
      <c r="PDI45" s="1044"/>
      <c r="PDJ45" s="1044"/>
      <c r="PDK45" s="1044"/>
      <c r="PDL45" s="1044"/>
      <c r="PDM45" s="1044"/>
      <c r="PDN45" s="1044"/>
      <c r="PDO45" s="1044"/>
      <c r="PDP45" s="1044"/>
      <c r="PDQ45" s="1044"/>
      <c r="PDR45" s="1044"/>
      <c r="PDS45" s="1044"/>
      <c r="PDT45" s="1044"/>
      <c r="PDU45" s="1044"/>
      <c r="PDV45" s="1044"/>
      <c r="PDW45" s="1044"/>
      <c r="PDX45" s="1044"/>
      <c r="PDY45" s="1044"/>
      <c r="PDZ45" s="1044"/>
      <c r="PEA45" s="1044"/>
      <c r="PEB45" s="1044"/>
      <c r="PEC45" s="1044"/>
      <c r="PED45" s="1044"/>
      <c r="PEE45" s="1044"/>
      <c r="PEF45" s="1044"/>
      <c r="PEG45" s="1044"/>
      <c r="PEH45" s="1044"/>
      <c r="PEI45" s="1044"/>
      <c r="PEJ45" s="1044"/>
      <c r="PEK45" s="1044"/>
      <c r="PEL45" s="1044"/>
      <c r="PEM45" s="1044"/>
      <c r="PEN45" s="1044"/>
      <c r="PEO45" s="1044"/>
      <c r="PEP45" s="1044"/>
      <c r="PEQ45" s="1044"/>
      <c r="PER45" s="1044"/>
      <c r="PES45" s="1044"/>
      <c r="PET45" s="1044"/>
      <c r="PEU45" s="1044"/>
      <c r="PEV45" s="1044"/>
      <c r="PEW45" s="1044"/>
      <c r="PEX45" s="1044"/>
      <c r="PEY45" s="1044"/>
      <c r="PEZ45" s="1044"/>
      <c r="PFA45" s="1044"/>
      <c r="PFB45" s="1044"/>
      <c r="PFC45" s="1044"/>
      <c r="PFD45" s="1044"/>
      <c r="PFE45" s="1044"/>
      <c r="PFF45" s="1044"/>
      <c r="PFG45" s="1044"/>
      <c r="PFH45" s="1044"/>
      <c r="PFI45" s="1044"/>
      <c r="PFJ45" s="1044"/>
      <c r="PFK45" s="1044"/>
      <c r="PFL45" s="1044"/>
      <c r="PFM45" s="1044"/>
      <c r="PFN45" s="1044"/>
      <c r="PFO45" s="1044"/>
      <c r="PFP45" s="1044"/>
      <c r="PFQ45" s="1044"/>
      <c r="PFR45" s="1044"/>
      <c r="PFS45" s="1044"/>
      <c r="PFT45" s="1044"/>
      <c r="PFU45" s="1044"/>
      <c r="PFV45" s="1044"/>
      <c r="PFW45" s="1044"/>
      <c r="PFX45" s="1044"/>
      <c r="PFY45" s="1044"/>
      <c r="PFZ45" s="1044"/>
      <c r="PGA45" s="1044"/>
      <c r="PGB45" s="1044"/>
      <c r="PGC45" s="1044"/>
      <c r="PGD45" s="1044"/>
      <c r="PGE45" s="1044"/>
      <c r="PGF45" s="1044"/>
      <c r="PGG45" s="1044"/>
      <c r="PGH45" s="1044"/>
      <c r="PGI45" s="1044"/>
      <c r="PGJ45" s="1044"/>
      <c r="PGK45" s="1044"/>
      <c r="PGL45" s="1044"/>
      <c r="PGM45" s="1044"/>
      <c r="PGN45" s="1044"/>
      <c r="PGO45" s="1044"/>
      <c r="PGP45" s="1044"/>
      <c r="PGQ45" s="1044"/>
      <c r="PGR45" s="1044"/>
      <c r="PGS45" s="1044"/>
      <c r="PGT45" s="1044"/>
      <c r="PGU45" s="1044"/>
      <c r="PGV45" s="1044"/>
      <c r="PGW45" s="1044"/>
      <c r="PGX45" s="1044"/>
      <c r="PGY45" s="1044"/>
      <c r="PGZ45" s="1044"/>
      <c r="PHA45" s="1044"/>
      <c r="PHB45" s="1044"/>
      <c r="PHC45" s="1044"/>
      <c r="PHD45" s="1044"/>
      <c r="PHE45" s="1044"/>
      <c r="PHF45" s="1044"/>
      <c r="PHG45" s="1044"/>
      <c r="PHH45" s="1044"/>
      <c r="PHI45" s="1044"/>
      <c r="PHJ45" s="1044"/>
      <c r="PHK45" s="1044"/>
      <c r="PHL45" s="1044"/>
      <c r="PHM45" s="1044"/>
      <c r="PHN45" s="1044"/>
      <c r="PHO45" s="1044"/>
      <c r="PHP45" s="1044"/>
      <c r="PHQ45" s="1044"/>
      <c r="PHR45" s="1044"/>
      <c r="PHS45" s="1044"/>
      <c r="PHT45" s="1044"/>
      <c r="PHU45" s="1044"/>
      <c r="PHV45" s="1044"/>
      <c r="PHW45" s="1044"/>
      <c r="PHX45" s="1044"/>
      <c r="PHY45" s="1044"/>
      <c r="PHZ45" s="1044"/>
      <c r="PIA45" s="1044"/>
      <c r="PIB45" s="1044"/>
      <c r="PIC45" s="1044"/>
      <c r="PID45" s="1044"/>
      <c r="PIE45" s="1044"/>
      <c r="PIF45" s="1044"/>
      <c r="PIG45" s="1044"/>
      <c r="PIH45" s="1044"/>
      <c r="PII45" s="1044"/>
      <c r="PIJ45" s="1044"/>
      <c r="PIK45" s="1044"/>
      <c r="PIL45" s="1044"/>
      <c r="PIM45" s="1044"/>
      <c r="PIN45" s="1044"/>
      <c r="PIO45" s="1044"/>
      <c r="PIP45" s="1044"/>
      <c r="PIQ45" s="1044"/>
      <c r="PIR45" s="1044"/>
      <c r="PIS45" s="1044"/>
      <c r="PIT45" s="1044"/>
      <c r="PIU45" s="1044"/>
      <c r="PIV45" s="1044"/>
      <c r="PIW45" s="1044"/>
      <c r="PIX45" s="1044"/>
      <c r="PIY45" s="1044"/>
      <c r="PIZ45" s="1044"/>
      <c r="PJA45" s="1044"/>
      <c r="PJB45" s="1044"/>
      <c r="PJC45" s="1044"/>
      <c r="PJD45" s="1044"/>
      <c r="PJE45" s="1044"/>
      <c r="PJF45" s="1044"/>
      <c r="PJG45" s="1044"/>
      <c r="PJH45" s="1044"/>
      <c r="PJI45" s="1044"/>
      <c r="PJJ45" s="1044"/>
      <c r="PJK45" s="1044"/>
      <c r="PJL45" s="1044"/>
      <c r="PJM45" s="1044"/>
      <c r="PJN45" s="1044"/>
      <c r="PJO45" s="1044"/>
      <c r="PJP45" s="1044"/>
      <c r="PJQ45" s="1044"/>
      <c r="PJR45" s="1044"/>
      <c r="PJS45" s="1044"/>
      <c r="PJT45" s="1044"/>
      <c r="PJU45" s="1044"/>
      <c r="PJV45" s="1044"/>
      <c r="PJW45" s="1044"/>
      <c r="PJX45" s="1044"/>
      <c r="PJY45" s="1044"/>
      <c r="PJZ45" s="1044"/>
      <c r="PKA45" s="1044"/>
      <c r="PKB45" s="1044"/>
      <c r="PKC45" s="1044"/>
      <c r="PKD45" s="1044"/>
      <c r="PKE45" s="1044"/>
      <c r="PKF45" s="1044"/>
      <c r="PKG45" s="1044"/>
      <c r="PKH45" s="1044"/>
      <c r="PKI45" s="1044"/>
      <c r="PKJ45" s="1044"/>
      <c r="PKK45" s="1044"/>
      <c r="PKL45" s="1044"/>
      <c r="PKM45" s="1044"/>
      <c r="PKN45" s="1044"/>
      <c r="PKO45" s="1044"/>
      <c r="PKP45" s="1044"/>
      <c r="PKQ45" s="1044"/>
      <c r="PKR45" s="1044"/>
      <c r="PKS45" s="1044"/>
      <c r="PKT45" s="1044"/>
      <c r="PKU45" s="1044"/>
      <c r="PKV45" s="1044"/>
      <c r="PKW45" s="1044"/>
      <c r="PKX45" s="1044"/>
      <c r="PKY45" s="1044"/>
      <c r="PKZ45" s="1044"/>
      <c r="PLA45" s="1044"/>
      <c r="PLB45" s="1044"/>
      <c r="PLC45" s="1044"/>
      <c r="PLD45" s="1044"/>
      <c r="PLE45" s="1044"/>
      <c r="PLF45" s="1044"/>
      <c r="PLG45" s="1044"/>
      <c r="PLH45" s="1044"/>
      <c r="PLI45" s="1044"/>
      <c r="PLJ45" s="1044"/>
      <c r="PLK45" s="1044"/>
      <c r="PLL45" s="1044"/>
      <c r="PLM45" s="1044"/>
      <c r="PLN45" s="1044"/>
      <c r="PLO45" s="1044"/>
      <c r="PLP45" s="1044"/>
      <c r="PLQ45" s="1044"/>
      <c r="PLR45" s="1044"/>
      <c r="PLS45" s="1044"/>
      <c r="PLT45" s="1044"/>
      <c r="PLU45" s="1044"/>
      <c r="PLV45" s="1044"/>
      <c r="PLW45" s="1044"/>
      <c r="PLX45" s="1044"/>
      <c r="PLY45" s="1044"/>
      <c r="PLZ45" s="1044"/>
      <c r="PMA45" s="1044"/>
      <c r="PMB45" s="1044"/>
      <c r="PMC45" s="1044"/>
      <c r="PMD45" s="1044"/>
      <c r="PME45" s="1044"/>
      <c r="PMF45" s="1044"/>
      <c r="PMG45" s="1044"/>
      <c r="PMH45" s="1044"/>
      <c r="PMI45" s="1044"/>
      <c r="PMJ45" s="1044"/>
      <c r="PMK45" s="1044"/>
      <c r="PML45" s="1044"/>
      <c r="PMM45" s="1044"/>
      <c r="PMN45" s="1044"/>
      <c r="PMO45" s="1044"/>
      <c r="PMP45" s="1044"/>
      <c r="PMQ45" s="1044"/>
      <c r="PMR45" s="1044"/>
      <c r="PMS45" s="1044"/>
      <c r="PMT45" s="1044"/>
      <c r="PMU45" s="1044"/>
      <c r="PMV45" s="1044"/>
      <c r="PMW45" s="1044"/>
      <c r="PMX45" s="1044"/>
      <c r="PMY45" s="1044"/>
      <c r="PMZ45" s="1044"/>
      <c r="PNA45" s="1044"/>
      <c r="PNB45" s="1044"/>
      <c r="PNC45" s="1044"/>
      <c r="PND45" s="1044"/>
      <c r="PNE45" s="1044"/>
      <c r="PNF45" s="1044"/>
      <c r="PNG45" s="1044"/>
      <c r="PNH45" s="1044"/>
      <c r="PNI45" s="1044"/>
      <c r="PNJ45" s="1044"/>
      <c r="PNK45" s="1044"/>
      <c r="PNL45" s="1044"/>
      <c r="PNM45" s="1044"/>
      <c r="PNN45" s="1044"/>
      <c r="PNO45" s="1044"/>
      <c r="PNP45" s="1044"/>
      <c r="PNQ45" s="1044"/>
      <c r="PNR45" s="1044"/>
      <c r="PNS45" s="1044"/>
      <c r="PNT45" s="1044"/>
      <c r="PNU45" s="1044"/>
      <c r="PNV45" s="1044"/>
      <c r="PNW45" s="1044"/>
      <c r="PNX45" s="1044"/>
      <c r="PNY45" s="1044"/>
      <c r="PNZ45" s="1044"/>
      <c r="POA45" s="1044"/>
      <c r="POB45" s="1044"/>
      <c r="POC45" s="1044"/>
      <c r="POD45" s="1044"/>
      <c r="POE45" s="1044"/>
      <c r="POF45" s="1044"/>
      <c r="POG45" s="1044"/>
      <c r="POH45" s="1044"/>
      <c r="POI45" s="1044"/>
      <c r="POJ45" s="1044"/>
      <c r="POK45" s="1044"/>
      <c r="POL45" s="1044"/>
      <c r="POM45" s="1044"/>
      <c r="PON45" s="1044"/>
      <c r="POO45" s="1044"/>
      <c r="POP45" s="1044"/>
      <c r="POQ45" s="1044"/>
      <c r="POR45" s="1044"/>
      <c r="POS45" s="1044"/>
      <c r="POT45" s="1044"/>
      <c r="POU45" s="1044"/>
      <c r="POV45" s="1044"/>
      <c r="POW45" s="1044"/>
      <c r="POX45" s="1044"/>
      <c r="POY45" s="1044"/>
      <c r="POZ45" s="1044"/>
      <c r="PPA45" s="1044"/>
      <c r="PPB45" s="1044"/>
      <c r="PPC45" s="1044"/>
      <c r="PPD45" s="1044"/>
      <c r="PPE45" s="1044"/>
      <c r="PPF45" s="1044"/>
      <c r="PPG45" s="1044"/>
      <c r="PPH45" s="1044"/>
      <c r="PPI45" s="1044"/>
      <c r="PPJ45" s="1044"/>
      <c r="PPK45" s="1044"/>
      <c r="PPL45" s="1044"/>
      <c r="PPM45" s="1044"/>
      <c r="PPN45" s="1044"/>
      <c r="PPO45" s="1044"/>
      <c r="PPP45" s="1044"/>
      <c r="PPQ45" s="1044"/>
      <c r="PPR45" s="1044"/>
      <c r="PPS45" s="1044"/>
      <c r="PPT45" s="1044"/>
      <c r="PPU45" s="1044"/>
      <c r="PPV45" s="1044"/>
      <c r="PPW45" s="1044"/>
      <c r="PPX45" s="1044"/>
      <c r="PPY45" s="1044"/>
      <c r="PPZ45" s="1044"/>
      <c r="PQA45" s="1044"/>
      <c r="PQB45" s="1044"/>
      <c r="PQC45" s="1044"/>
      <c r="PQD45" s="1044"/>
      <c r="PQE45" s="1044"/>
      <c r="PQF45" s="1044"/>
      <c r="PQG45" s="1044"/>
      <c r="PQH45" s="1044"/>
      <c r="PQI45" s="1044"/>
      <c r="PQJ45" s="1044"/>
      <c r="PQK45" s="1044"/>
      <c r="PQL45" s="1044"/>
      <c r="PQM45" s="1044"/>
      <c r="PQN45" s="1044"/>
      <c r="PQO45" s="1044"/>
      <c r="PQP45" s="1044"/>
      <c r="PQQ45" s="1044"/>
      <c r="PQR45" s="1044"/>
      <c r="PQS45" s="1044"/>
      <c r="PQT45" s="1044"/>
      <c r="PQU45" s="1044"/>
      <c r="PQV45" s="1044"/>
      <c r="PQW45" s="1044"/>
      <c r="PQX45" s="1044"/>
      <c r="PQY45" s="1044"/>
      <c r="PQZ45" s="1044"/>
      <c r="PRA45" s="1044"/>
      <c r="PRB45" s="1044"/>
      <c r="PRC45" s="1044"/>
      <c r="PRD45" s="1044"/>
      <c r="PRE45" s="1044"/>
      <c r="PRF45" s="1044"/>
      <c r="PRG45" s="1044"/>
      <c r="PRH45" s="1044"/>
      <c r="PRI45" s="1044"/>
      <c r="PRJ45" s="1044"/>
      <c r="PRK45" s="1044"/>
      <c r="PRL45" s="1044"/>
      <c r="PRM45" s="1044"/>
      <c r="PRN45" s="1044"/>
      <c r="PRO45" s="1044"/>
      <c r="PRP45" s="1044"/>
      <c r="PRQ45" s="1044"/>
      <c r="PRR45" s="1044"/>
      <c r="PRS45" s="1044"/>
      <c r="PRT45" s="1044"/>
      <c r="PRU45" s="1044"/>
      <c r="PRV45" s="1044"/>
      <c r="PRW45" s="1044"/>
      <c r="PRX45" s="1044"/>
      <c r="PRY45" s="1044"/>
      <c r="PRZ45" s="1044"/>
      <c r="PSA45" s="1044"/>
      <c r="PSB45" s="1044"/>
      <c r="PSC45" s="1044"/>
      <c r="PSD45" s="1044"/>
      <c r="PSE45" s="1044"/>
      <c r="PSF45" s="1044"/>
      <c r="PSG45" s="1044"/>
      <c r="PSH45" s="1044"/>
      <c r="PSI45" s="1044"/>
      <c r="PSJ45" s="1044"/>
      <c r="PSK45" s="1044"/>
      <c r="PSL45" s="1044"/>
      <c r="PSM45" s="1044"/>
      <c r="PSN45" s="1044"/>
      <c r="PSO45" s="1044"/>
      <c r="PSP45" s="1044"/>
      <c r="PSQ45" s="1044"/>
      <c r="PSR45" s="1044"/>
      <c r="PSS45" s="1044"/>
      <c r="PST45" s="1044"/>
      <c r="PSU45" s="1044"/>
      <c r="PSV45" s="1044"/>
      <c r="PSW45" s="1044"/>
      <c r="PSX45" s="1044"/>
      <c r="PSY45" s="1044"/>
      <c r="PSZ45" s="1044"/>
      <c r="PTA45" s="1044"/>
      <c r="PTB45" s="1044"/>
      <c r="PTC45" s="1044"/>
      <c r="PTD45" s="1044"/>
      <c r="PTE45" s="1044"/>
      <c r="PTF45" s="1044"/>
      <c r="PTG45" s="1044"/>
      <c r="PTH45" s="1044"/>
      <c r="PTI45" s="1044"/>
      <c r="PTJ45" s="1044"/>
      <c r="PTK45" s="1044"/>
      <c r="PTL45" s="1044"/>
      <c r="PTM45" s="1044"/>
      <c r="PTN45" s="1044"/>
      <c r="PTO45" s="1044"/>
      <c r="PTP45" s="1044"/>
      <c r="PTQ45" s="1044"/>
      <c r="PTR45" s="1044"/>
      <c r="PTS45" s="1044"/>
      <c r="PTT45" s="1044"/>
      <c r="PTU45" s="1044"/>
      <c r="PTV45" s="1044"/>
      <c r="PTW45" s="1044"/>
      <c r="PTX45" s="1044"/>
      <c r="PTY45" s="1044"/>
      <c r="PTZ45" s="1044"/>
      <c r="PUA45" s="1044"/>
      <c r="PUB45" s="1044"/>
      <c r="PUC45" s="1044"/>
      <c r="PUD45" s="1044"/>
      <c r="PUE45" s="1044"/>
      <c r="PUF45" s="1044"/>
      <c r="PUG45" s="1044"/>
      <c r="PUH45" s="1044"/>
      <c r="PUI45" s="1044"/>
      <c r="PUJ45" s="1044"/>
      <c r="PUK45" s="1044"/>
      <c r="PUL45" s="1044"/>
      <c r="PUM45" s="1044"/>
      <c r="PUN45" s="1044"/>
      <c r="PUO45" s="1044"/>
      <c r="PUP45" s="1044"/>
      <c r="PUQ45" s="1044"/>
      <c r="PUR45" s="1044"/>
      <c r="PUS45" s="1044"/>
      <c r="PUT45" s="1044"/>
      <c r="PUU45" s="1044"/>
      <c r="PUV45" s="1044"/>
      <c r="PUW45" s="1044"/>
      <c r="PUX45" s="1044"/>
      <c r="PUY45" s="1044"/>
      <c r="PUZ45" s="1044"/>
      <c r="PVA45" s="1044"/>
      <c r="PVB45" s="1044"/>
      <c r="PVC45" s="1044"/>
      <c r="PVD45" s="1044"/>
      <c r="PVE45" s="1044"/>
      <c r="PVF45" s="1044"/>
      <c r="PVG45" s="1044"/>
      <c r="PVH45" s="1044"/>
      <c r="PVI45" s="1044"/>
      <c r="PVJ45" s="1044"/>
      <c r="PVK45" s="1044"/>
      <c r="PVL45" s="1044"/>
      <c r="PVM45" s="1044"/>
      <c r="PVN45" s="1044"/>
      <c r="PVO45" s="1044"/>
      <c r="PVP45" s="1044"/>
      <c r="PVQ45" s="1044"/>
      <c r="PVR45" s="1044"/>
      <c r="PVS45" s="1044"/>
      <c r="PVT45" s="1044"/>
      <c r="PVU45" s="1044"/>
      <c r="PVV45" s="1044"/>
      <c r="PVW45" s="1044"/>
      <c r="PVX45" s="1044"/>
      <c r="PVY45" s="1044"/>
      <c r="PVZ45" s="1044"/>
      <c r="PWA45" s="1044"/>
      <c r="PWB45" s="1044"/>
      <c r="PWC45" s="1044"/>
      <c r="PWD45" s="1044"/>
      <c r="PWE45" s="1044"/>
      <c r="PWF45" s="1044"/>
      <c r="PWG45" s="1044"/>
      <c r="PWH45" s="1044"/>
      <c r="PWI45" s="1044"/>
      <c r="PWJ45" s="1044"/>
      <c r="PWK45" s="1044"/>
      <c r="PWL45" s="1044"/>
      <c r="PWM45" s="1044"/>
      <c r="PWN45" s="1044"/>
      <c r="PWO45" s="1044"/>
      <c r="PWP45" s="1044"/>
      <c r="PWQ45" s="1044"/>
      <c r="PWR45" s="1044"/>
      <c r="PWS45" s="1044"/>
      <c r="PWT45" s="1044"/>
      <c r="PWU45" s="1044"/>
      <c r="PWV45" s="1044"/>
      <c r="PWW45" s="1044"/>
      <c r="PWX45" s="1044"/>
      <c r="PWY45" s="1044"/>
      <c r="PWZ45" s="1044"/>
      <c r="PXA45" s="1044"/>
      <c r="PXB45" s="1044"/>
      <c r="PXC45" s="1044"/>
      <c r="PXD45" s="1044"/>
      <c r="PXE45" s="1044"/>
      <c r="PXF45" s="1044"/>
      <c r="PXG45" s="1044"/>
      <c r="PXH45" s="1044"/>
      <c r="PXI45" s="1044"/>
      <c r="PXJ45" s="1044"/>
      <c r="PXK45" s="1044"/>
      <c r="PXL45" s="1044"/>
      <c r="PXM45" s="1044"/>
      <c r="PXN45" s="1044"/>
      <c r="PXO45" s="1044"/>
      <c r="PXP45" s="1044"/>
      <c r="PXQ45" s="1044"/>
      <c r="PXR45" s="1044"/>
      <c r="PXS45" s="1044"/>
      <c r="PXT45" s="1044"/>
      <c r="PXU45" s="1044"/>
      <c r="PXV45" s="1044"/>
      <c r="PXW45" s="1044"/>
      <c r="PXX45" s="1044"/>
      <c r="PXY45" s="1044"/>
      <c r="PXZ45" s="1044"/>
      <c r="PYA45" s="1044"/>
      <c r="PYB45" s="1044"/>
      <c r="PYC45" s="1044"/>
      <c r="PYD45" s="1044"/>
      <c r="PYE45" s="1044"/>
      <c r="PYF45" s="1044"/>
      <c r="PYG45" s="1044"/>
      <c r="PYH45" s="1044"/>
      <c r="PYI45" s="1044"/>
      <c r="PYJ45" s="1044"/>
      <c r="PYK45" s="1044"/>
      <c r="PYL45" s="1044"/>
      <c r="PYM45" s="1044"/>
      <c r="PYN45" s="1044"/>
      <c r="PYO45" s="1044"/>
      <c r="PYP45" s="1044"/>
      <c r="PYQ45" s="1044"/>
      <c r="PYR45" s="1044"/>
      <c r="PYS45" s="1044"/>
      <c r="PYT45" s="1044"/>
      <c r="PYU45" s="1044"/>
      <c r="PYV45" s="1044"/>
      <c r="PYW45" s="1044"/>
      <c r="PYX45" s="1044"/>
      <c r="PYY45" s="1044"/>
      <c r="PYZ45" s="1044"/>
      <c r="PZA45" s="1044"/>
      <c r="PZB45" s="1044"/>
      <c r="PZC45" s="1044"/>
      <c r="PZD45" s="1044"/>
      <c r="PZE45" s="1044"/>
      <c r="PZF45" s="1044"/>
      <c r="PZG45" s="1044"/>
      <c r="PZH45" s="1044"/>
      <c r="PZI45" s="1044"/>
      <c r="PZJ45" s="1044"/>
      <c r="PZK45" s="1044"/>
      <c r="PZL45" s="1044"/>
      <c r="PZM45" s="1044"/>
      <c r="PZN45" s="1044"/>
      <c r="PZO45" s="1044"/>
      <c r="PZP45" s="1044"/>
      <c r="PZQ45" s="1044"/>
      <c r="PZR45" s="1044"/>
      <c r="PZS45" s="1044"/>
      <c r="PZT45" s="1044"/>
      <c r="PZU45" s="1044"/>
      <c r="PZV45" s="1044"/>
      <c r="PZW45" s="1044"/>
      <c r="PZX45" s="1044"/>
      <c r="PZY45" s="1044"/>
      <c r="PZZ45" s="1044"/>
      <c r="QAA45" s="1044"/>
      <c r="QAB45" s="1044"/>
      <c r="QAC45" s="1044"/>
      <c r="QAD45" s="1044"/>
      <c r="QAE45" s="1044"/>
      <c r="QAF45" s="1044"/>
      <c r="QAG45" s="1044"/>
      <c r="QAH45" s="1044"/>
      <c r="QAI45" s="1044"/>
      <c r="QAJ45" s="1044"/>
      <c r="QAK45" s="1044"/>
      <c r="QAL45" s="1044"/>
      <c r="QAM45" s="1044"/>
      <c r="QAN45" s="1044"/>
      <c r="QAO45" s="1044"/>
      <c r="QAP45" s="1044"/>
      <c r="QAQ45" s="1044"/>
      <c r="QAR45" s="1044"/>
      <c r="QAS45" s="1044"/>
      <c r="QAT45" s="1044"/>
      <c r="QAU45" s="1044"/>
      <c r="QAV45" s="1044"/>
      <c r="QAW45" s="1044"/>
      <c r="QAX45" s="1044"/>
      <c r="QAY45" s="1044"/>
      <c r="QAZ45" s="1044"/>
      <c r="QBA45" s="1044"/>
      <c r="QBB45" s="1044"/>
      <c r="QBC45" s="1044"/>
      <c r="QBD45" s="1044"/>
      <c r="QBE45" s="1044"/>
      <c r="QBF45" s="1044"/>
      <c r="QBG45" s="1044"/>
      <c r="QBH45" s="1044"/>
      <c r="QBI45" s="1044"/>
      <c r="QBJ45" s="1044"/>
      <c r="QBK45" s="1044"/>
      <c r="QBL45" s="1044"/>
      <c r="QBM45" s="1044"/>
      <c r="QBN45" s="1044"/>
      <c r="QBO45" s="1044"/>
      <c r="QBP45" s="1044"/>
      <c r="QBQ45" s="1044"/>
      <c r="QBR45" s="1044"/>
      <c r="QBS45" s="1044"/>
      <c r="QBT45" s="1044"/>
      <c r="QBU45" s="1044"/>
      <c r="QBV45" s="1044"/>
      <c r="QBW45" s="1044"/>
      <c r="QBX45" s="1044"/>
      <c r="QBY45" s="1044"/>
      <c r="QBZ45" s="1044"/>
      <c r="QCA45" s="1044"/>
      <c r="QCB45" s="1044"/>
      <c r="QCC45" s="1044"/>
      <c r="QCD45" s="1044"/>
      <c r="QCE45" s="1044"/>
      <c r="QCF45" s="1044"/>
      <c r="QCG45" s="1044"/>
      <c r="QCH45" s="1044"/>
      <c r="QCI45" s="1044"/>
      <c r="QCJ45" s="1044"/>
      <c r="QCK45" s="1044"/>
      <c r="QCL45" s="1044"/>
      <c r="QCM45" s="1044"/>
      <c r="QCN45" s="1044"/>
      <c r="QCO45" s="1044"/>
      <c r="QCP45" s="1044"/>
      <c r="QCQ45" s="1044"/>
      <c r="QCR45" s="1044"/>
      <c r="QCS45" s="1044"/>
      <c r="QCT45" s="1044"/>
      <c r="QCU45" s="1044"/>
      <c r="QCV45" s="1044"/>
      <c r="QCW45" s="1044"/>
      <c r="QCX45" s="1044"/>
      <c r="QCY45" s="1044"/>
      <c r="QCZ45" s="1044"/>
      <c r="QDA45" s="1044"/>
      <c r="QDB45" s="1044"/>
      <c r="QDC45" s="1044"/>
      <c r="QDD45" s="1044"/>
      <c r="QDE45" s="1044"/>
      <c r="QDF45" s="1044"/>
      <c r="QDG45" s="1044"/>
      <c r="QDH45" s="1044"/>
      <c r="QDI45" s="1044"/>
      <c r="QDJ45" s="1044"/>
      <c r="QDK45" s="1044"/>
      <c r="QDL45" s="1044"/>
      <c r="QDM45" s="1044"/>
      <c r="QDN45" s="1044"/>
      <c r="QDO45" s="1044"/>
      <c r="QDP45" s="1044"/>
      <c r="QDQ45" s="1044"/>
      <c r="QDR45" s="1044"/>
      <c r="QDS45" s="1044"/>
      <c r="QDT45" s="1044"/>
      <c r="QDU45" s="1044"/>
      <c r="QDV45" s="1044"/>
      <c r="QDW45" s="1044"/>
      <c r="QDX45" s="1044"/>
      <c r="QDY45" s="1044"/>
      <c r="QDZ45" s="1044"/>
      <c r="QEA45" s="1044"/>
      <c r="QEB45" s="1044"/>
      <c r="QEC45" s="1044"/>
      <c r="QED45" s="1044"/>
      <c r="QEE45" s="1044"/>
      <c r="QEF45" s="1044"/>
      <c r="QEG45" s="1044"/>
      <c r="QEH45" s="1044"/>
      <c r="QEI45" s="1044"/>
      <c r="QEJ45" s="1044"/>
      <c r="QEK45" s="1044"/>
      <c r="QEL45" s="1044"/>
      <c r="QEM45" s="1044"/>
      <c r="QEN45" s="1044"/>
      <c r="QEO45" s="1044"/>
      <c r="QEP45" s="1044"/>
      <c r="QEQ45" s="1044"/>
      <c r="QER45" s="1044"/>
      <c r="QES45" s="1044"/>
      <c r="QET45" s="1044"/>
      <c r="QEU45" s="1044"/>
      <c r="QEV45" s="1044"/>
      <c r="QEW45" s="1044"/>
      <c r="QEX45" s="1044"/>
      <c r="QEY45" s="1044"/>
      <c r="QEZ45" s="1044"/>
      <c r="QFA45" s="1044"/>
      <c r="QFB45" s="1044"/>
      <c r="QFC45" s="1044"/>
      <c r="QFD45" s="1044"/>
      <c r="QFE45" s="1044"/>
      <c r="QFF45" s="1044"/>
      <c r="QFG45" s="1044"/>
      <c r="QFH45" s="1044"/>
      <c r="QFI45" s="1044"/>
      <c r="QFJ45" s="1044"/>
      <c r="QFK45" s="1044"/>
      <c r="QFL45" s="1044"/>
      <c r="QFM45" s="1044"/>
      <c r="QFN45" s="1044"/>
      <c r="QFO45" s="1044"/>
      <c r="QFP45" s="1044"/>
      <c r="QFQ45" s="1044"/>
      <c r="QFR45" s="1044"/>
      <c r="QFS45" s="1044"/>
      <c r="QFT45" s="1044"/>
      <c r="QFU45" s="1044"/>
      <c r="QFV45" s="1044"/>
      <c r="QFW45" s="1044"/>
      <c r="QFX45" s="1044"/>
      <c r="QFY45" s="1044"/>
      <c r="QFZ45" s="1044"/>
      <c r="QGA45" s="1044"/>
      <c r="QGB45" s="1044"/>
      <c r="QGC45" s="1044"/>
      <c r="QGD45" s="1044"/>
      <c r="QGE45" s="1044"/>
      <c r="QGF45" s="1044"/>
      <c r="QGG45" s="1044"/>
      <c r="QGH45" s="1044"/>
      <c r="QGI45" s="1044"/>
      <c r="QGJ45" s="1044"/>
      <c r="QGK45" s="1044"/>
      <c r="QGL45" s="1044"/>
      <c r="QGM45" s="1044"/>
      <c r="QGN45" s="1044"/>
      <c r="QGO45" s="1044"/>
      <c r="QGP45" s="1044"/>
      <c r="QGQ45" s="1044"/>
      <c r="QGR45" s="1044"/>
      <c r="QGS45" s="1044"/>
      <c r="QGT45" s="1044"/>
      <c r="QGU45" s="1044"/>
      <c r="QGV45" s="1044"/>
      <c r="QGW45" s="1044"/>
      <c r="QGX45" s="1044"/>
      <c r="QGY45" s="1044"/>
      <c r="QGZ45" s="1044"/>
      <c r="QHA45" s="1044"/>
      <c r="QHB45" s="1044"/>
      <c r="QHC45" s="1044"/>
      <c r="QHD45" s="1044"/>
      <c r="QHE45" s="1044"/>
      <c r="QHF45" s="1044"/>
      <c r="QHG45" s="1044"/>
      <c r="QHH45" s="1044"/>
      <c r="QHI45" s="1044"/>
      <c r="QHJ45" s="1044"/>
      <c r="QHK45" s="1044"/>
      <c r="QHL45" s="1044"/>
      <c r="QHM45" s="1044"/>
      <c r="QHN45" s="1044"/>
      <c r="QHO45" s="1044"/>
      <c r="QHP45" s="1044"/>
      <c r="QHQ45" s="1044"/>
      <c r="QHR45" s="1044"/>
      <c r="QHS45" s="1044"/>
      <c r="QHT45" s="1044"/>
      <c r="QHU45" s="1044"/>
      <c r="QHV45" s="1044"/>
      <c r="QHW45" s="1044"/>
      <c r="QHX45" s="1044"/>
      <c r="QHY45" s="1044"/>
      <c r="QHZ45" s="1044"/>
      <c r="QIA45" s="1044"/>
      <c r="QIB45" s="1044"/>
      <c r="QIC45" s="1044"/>
      <c r="QID45" s="1044"/>
      <c r="QIE45" s="1044"/>
      <c r="QIF45" s="1044"/>
      <c r="QIG45" s="1044"/>
      <c r="QIH45" s="1044"/>
      <c r="QII45" s="1044"/>
      <c r="QIJ45" s="1044"/>
      <c r="QIK45" s="1044"/>
      <c r="QIL45" s="1044"/>
      <c r="QIM45" s="1044"/>
      <c r="QIN45" s="1044"/>
      <c r="QIO45" s="1044"/>
      <c r="QIP45" s="1044"/>
      <c r="QIQ45" s="1044"/>
      <c r="QIR45" s="1044"/>
      <c r="QIS45" s="1044"/>
      <c r="QIT45" s="1044"/>
      <c r="QIU45" s="1044"/>
      <c r="QIV45" s="1044"/>
      <c r="QIW45" s="1044"/>
      <c r="QIX45" s="1044"/>
      <c r="QIY45" s="1044"/>
      <c r="QIZ45" s="1044"/>
      <c r="QJA45" s="1044"/>
      <c r="QJB45" s="1044"/>
      <c r="QJC45" s="1044"/>
      <c r="QJD45" s="1044"/>
      <c r="QJE45" s="1044"/>
      <c r="QJF45" s="1044"/>
      <c r="QJG45" s="1044"/>
      <c r="QJH45" s="1044"/>
      <c r="QJI45" s="1044"/>
      <c r="QJJ45" s="1044"/>
      <c r="QJK45" s="1044"/>
      <c r="QJL45" s="1044"/>
      <c r="QJM45" s="1044"/>
      <c r="QJN45" s="1044"/>
      <c r="QJO45" s="1044"/>
      <c r="QJP45" s="1044"/>
      <c r="QJQ45" s="1044"/>
      <c r="QJR45" s="1044"/>
      <c r="QJS45" s="1044"/>
      <c r="QJT45" s="1044"/>
      <c r="QJU45" s="1044"/>
      <c r="QJV45" s="1044"/>
      <c r="QJW45" s="1044"/>
      <c r="QJX45" s="1044"/>
      <c r="QJY45" s="1044"/>
      <c r="QJZ45" s="1044"/>
      <c r="QKA45" s="1044"/>
      <c r="QKB45" s="1044"/>
      <c r="QKC45" s="1044"/>
      <c r="QKD45" s="1044"/>
      <c r="QKE45" s="1044"/>
      <c r="QKF45" s="1044"/>
      <c r="QKG45" s="1044"/>
      <c r="QKH45" s="1044"/>
      <c r="QKI45" s="1044"/>
      <c r="QKJ45" s="1044"/>
      <c r="QKK45" s="1044"/>
      <c r="QKL45" s="1044"/>
      <c r="QKM45" s="1044"/>
      <c r="QKN45" s="1044"/>
      <c r="QKO45" s="1044"/>
      <c r="QKP45" s="1044"/>
      <c r="QKQ45" s="1044"/>
      <c r="QKR45" s="1044"/>
      <c r="QKS45" s="1044"/>
      <c r="QKT45" s="1044"/>
      <c r="QKU45" s="1044"/>
      <c r="QKV45" s="1044"/>
      <c r="QKW45" s="1044"/>
      <c r="QKX45" s="1044"/>
      <c r="QKY45" s="1044"/>
      <c r="QKZ45" s="1044"/>
      <c r="QLA45" s="1044"/>
      <c r="QLB45" s="1044"/>
      <c r="QLC45" s="1044"/>
      <c r="QLD45" s="1044"/>
      <c r="QLE45" s="1044"/>
      <c r="QLF45" s="1044"/>
      <c r="QLG45" s="1044"/>
      <c r="QLH45" s="1044"/>
      <c r="QLI45" s="1044"/>
      <c r="QLJ45" s="1044"/>
      <c r="QLK45" s="1044"/>
      <c r="QLL45" s="1044"/>
      <c r="QLM45" s="1044"/>
      <c r="QLN45" s="1044"/>
      <c r="QLO45" s="1044"/>
      <c r="QLP45" s="1044"/>
      <c r="QLQ45" s="1044"/>
      <c r="QLR45" s="1044"/>
      <c r="QLS45" s="1044"/>
      <c r="QLT45" s="1044"/>
      <c r="QLU45" s="1044"/>
      <c r="QLV45" s="1044"/>
      <c r="QLW45" s="1044"/>
      <c r="QLX45" s="1044"/>
      <c r="QLY45" s="1044"/>
      <c r="QLZ45" s="1044"/>
      <c r="QMA45" s="1044"/>
      <c r="QMB45" s="1044"/>
      <c r="QMC45" s="1044"/>
      <c r="QMD45" s="1044"/>
      <c r="QME45" s="1044"/>
      <c r="QMF45" s="1044"/>
      <c r="QMG45" s="1044"/>
      <c r="QMH45" s="1044"/>
      <c r="QMI45" s="1044"/>
      <c r="QMJ45" s="1044"/>
      <c r="QMK45" s="1044"/>
      <c r="QML45" s="1044"/>
      <c r="QMM45" s="1044"/>
      <c r="QMN45" s="1044"/>
      <c r="QMO45" s="1044"/>
      <c r="QMP45" s="1044"/>
      <c r="QMQ45" s="1044"/>
      <c r="QMR45" s="1044"/>
      <c r="QMS45" s="1044"/>
      <c r="QMT45" s="1044"/>
      <c r="QMU45" s="1044"/>
      <c r="QMV45" s="1044"/>
      <c r="QMW45" s="1044"/>
      <c r="QMX45" s="1044"/>
      <c r="QMY45" s="1044"/>
      <c r="QMZ45" s="1044"/>
      <c r="QNA45" s="1044"/>
      <c r="QNB45" s="1044"/>
      <c r="QNC45" s="1044"/>
      <c r="QND45" s="1044"/>
      <c r="QNE45" s="1044"/>
      <c r="QNF45" s="1044"/>
      <c r="QNG45" s="1044"/>
      <c r="QNH45" s="1044"/>
      <c r="QNI45" s="1044"/>
      <c r="QNJ45" s="1044"/>
      <c r="QNK45" s="1044"/>
      <c r="QNL45" s="1044"/>
      <c r="QNM45" s="1044"/>
      <c r="QNN45" s="1044"/>
      <c r="QNO45" s="1044"/>
      <c r="QNP45" s="1044"/>
      <c r="QNQ45" s="1044"/>
      <c r="QNR45" s="1044"/>
      <c r="QNS45" s="1044"/>
      <c r="QNT45" s="1044"/>
      <c r="QNU45" s="1044"/>
      <c r="QNV45" s="1044"/>
      <c r="QNW45" s="1044"/>
      <c r="QNX45" s="1044"/>
      <c r="QNY45" s="1044"/>
      <c r="QNZ45" s="1044"/>
      <c r="QOA45" s="1044"/>
      <c r="QOB45" s="1044"/>
      <c r="QOC45" s="1044"/>
      <c r="QOD45" s="1044"/>
      <c r="QOE45" s="1044"/>
      <c r="QOF45" s="1044"/>
      <c r="QOG45" s="1044"/>
      <c r="QOH45" s="1044"/>
      <c r="QOI45" s="1044"/>
      <c r="QOJ45" s="1044"/>
      <c r="QOK45" s="1044"/>
      <c r="QOL45" s="1044"/>
      <c r="QOM45" s="1044"/>
      <c r="QON45" s="1044"/>
      <c r="QOO45" s="1044"/>
      <c r="QOP45" s="1044"/>
      <c r="QOQ45" s="1044"/>
      <c r="QOR45" s="1044"/>
      <c r="QOS45" s="1044"/>
      <c r="QOT45" s="1044"/>
      <c r="QOU45" s="1044"/>
      <c r="QOV45" s="1044"/>
      <c r="QOW45" s="1044"/>
      <c r="QOX45" s="1044"/>
      <c r="QOY45" s="1044"/>
      <c r="QOZ45" s="1044"/>
      <c r="QPA45" s="1044"/>
      <c r="QPB45" s="1044"/>
      <c r="QPC45" s="1044"/>
      <c r="QPD45" s="1044"/>
      <c r="QPE45" s="1044"/>
      <c r="QPF45" s="1044"/>
      <c r="QPG45" s="1044"/>
      <c r="QPH45" s="1044"/>
      <c r="QPI45" s="1044"/>
      <c r="QPJ45" s="1044"/>
      <c r="QPK45" s="1044"/>
      <c r="QPL45" s="1044"/>
      <c r="QPM45" s="1044"/>
      <c r="QPN45" s="1044"/>
      <c r="QPO45" s="1044"/>
      <c r="QPP45" s="1044"/>
      <c r="QPQ45" s="1044"/>
      <c r="QPR45" s="1044"/>
      <c r="QPS45" s="1044"/>
      <c r="QPT45" s="1044"/>
      <c r="QPU45" s="1044"/>
      <c r="QPV45" s="1044"/>
      <c r="QPW45" s="1044"/>
      <c r="QPX45" s="1044"/>
      <c r="QPY45" s="1044"/>
      <c r="QPZ45" s="1044"/>
      <c r="QQA45" s="1044"/>
      <c r="QQB45" s="1044"/>
      <c r="QQC45" s="1044"/>
      <c r="QQD45" s="1044"/>
      <c r="QQE45" s="1044"/>
      <c r="QQF45" s="1044"/>
      <c r="QQG45" s="1044"/>
      <c r="QQH45" s="1044"/>
      <c r="QQI45" s="1044"/>
      <c r="QQJ45" s="1044"/>
      <c r="QQK45" s="1044"/>
      <c r="QQL45" s="1044"/>
      <c r="QQM45" s="1044"/>
      <c r="QQN45" s="1044"/>
      <c r="QQO45" s="1044"/>
      <c r="QQP45" s="1044"/>
      <c r="QQQ45" s="1044"/>
      <c r="QQR45" s="1044"/>
      <c r="QQS45" s="1044"/>
      <c r="QQT45" s="1044"/>
      <c r="QQU45" s="1044"/>
      <c r="QQV45" s="1044"/>
      <c r="QQW45" s="1044"/>
      <c r="QQX45" s="1044"/>
      <c r="QQY45" s="1044"/>
      <c r="QQZ45" s="1044"/>
      <c r="QRA45" s="1044"/>
      <c r="QRB45" s="1044"/>
      <c r="QRC45" s="1044"/>
      <c r="QRD45" s="1044"/>
      <c r="QRE45" s="1044"/>
      <c r="QRF45" s="1044"/>
      <c r="QRG45" s="1044"/>
      <c r="QRH45" s="1044"/>
      <c r="QRI45" s="1044"/>
      <c r="QRJ45" s="1044"/>
      <c r="QRK45" s="1044"/>
      <c r="QRL45" s="1044"/>
      <c r="QRM45" s="1044"/>
      <c r="QRN45" s="1044"/>
      <c r="QRO45" s="1044"/>
      <c r="QRP45" s="1044"/>
      <c r="QRQ45" s="1044"/>
      <c r="QRR45" s="1044"/>
      <c r="QRS45" s="1044"/>
      <c r="QRT45" s="1044"/>
      <c r="QRU45" s="1044"/>
      <c r="QRV45" s="1044"/>
      <c r="QRW45" s="1044"/>
      <c r="QRX45" s="1044"/>
      <c r="QRY45" s="1044"/>
      <c r="QRZ45" s="1044"/>
      <c r="QSA45" s="1044"/>
      <c r="QSB45" s="1044"/>
      <c r="QSC45" s="1044"/>
      <c r="QSD45" s="1044"/>
      <c r="QSE45" s="1044"/>
      <c r="QSF45" s="1044"/>
      <c r="QSG45" s="1044"/>
      <c r="QSH45" s="1044"/>
      <c r="QSI45" s="1044"/>
      <c r="QSJ45" s="1044"/>
      <c r="QSK45" s="1044"/>
      <c r="QSL45" s="1044"/>
      <c r="QSM45" s="1044"/>
      <c r="QSN45" s="1044"/>
      <c r="QSO45" s="1044"/>
      <c r="QSP45" s="1044"/>
      <c r="QSQ45" s="1044"/>
      <c r="QSR45" s="1044"/>
      <c r="QSS45" s="1044"/>
      <c r="QST45" s="1044"/>
      <c r="QSU45" s="1044"/>
      <c r="QSV45" s="1044"/>
      <c r="QSW45" s="1044"/>
      <c r="QSX45" s="1044"/>
      <c r="QSY45" s="1044"/>
      <c r="QSZ45" s="1044"/>
      <c r="QTA45" s="1044"/>
      <c r="QTB45" s="1044"/>
      <c r="QTC45" s="1044"/>
      <c r="QTD45" s="1044"/>
      <c r="QTE45" s="1044"/>
      <c r="QTF45" s="1044"/>
      <c r="QTG45" s="1044"/>
      <c r="QTH45" s="1044"/>
      <c r="QTI45" s="1044"/>
      <c r="QTJ45" s="1044"/>
      <c r="QTK45" s="1044"/>
      <c r="QTL45" s="1044"/>
      <c r="QTM45" s="1044"/>
      <c r="QTN45" s="1044"/>
      <c r="QTO45" s="1044"/>
      <c r="QTP45" s="1044"/>
      <c r="QTQ45" s="1044"/>
      <c r="QTR45" s="1044"/>
      <c r="QTS45" s="1044"/>
      <c r="QTT45" s="1044"/>
      <c r="QTU45" s="1044"/>
      <c r="QTV45" s="1044"/>
      <c r="QTW45" s="1044"/>
      <c r="QTX45" s="1044"/>
      <c r="QTY45" s="1044"/>
      <c r="QTZ45" s="1044"/>
      <c r="QUA45" s="1044"/>
      <c r="QUB45" s="1044"/>
      <c r="QUC45" s="1044"/>
      <c r="QUD45" s="1044"/>
      <c r="QUE45" s="1044"/>
      <c r="QUF45" s="1044"/>
      <c r="QUG45" s="1044"/>
      <c r="QUH45" s="1044"/>
      <c r="QUI45" s="1044"/>
      <c r="QUJ45" s="1044"/>
      <c r="QUK45" s="1044"/>
      <c r="QUL45" s="1044"/>
      <c r="QUM45" s="1044"/>
      <c r="QUN45" s="1044"/>
      <c r="QUO45" s="1044"/>
      <c r="QUP45" s="1044"/>
      <c r="QUQ45" s="1044"/>
      <c r="QUR45" s="1044"/>
      <c r="QUS45" s="1044"/>
      <c r="QUT45" s="1044"/>
      <c r="QUU45" s="1044"/>
      <c r="QUV45" s="1044"/>
      <c r="QUW45" s="1044"/>
      <c r="QUX45" s="1044"/>
      <c r="QUY45" s="1044"/>
      <c r="QUZ45" s="1044"/>
      <c r="QVA45" s="1044"/>
      <c r="QVB45" s="1044"/>
      <c r="QVC45" s="1044"/>
      <c r="QVD45" s="1044"/>
      <c r="QVE45" s="1044"/>
      <c r="QVF45" s="1044"/>
      <c r="QVG45" s="1044"/>
      <c r="QVH45" s="1044"/>
      <c r="QVI45" s="1044"/>
      <c r="QVJ45" s="1044"/>
      <c r="QVK45" s="1044"/>
      <c r="QVL45" s="1044"/>
      <c r="QVM45" s="1044"/>
      <c r="QVN45" s="1044"/>
      <c r="QVO45" s="1044"/>
      <c r="QVP45" s="1044"/>
      <c r="QVQ45" s="1044"/>
      <c r="QVR45" s="1044"/>
      <c r="QVS45" s="1044"/>
      <c r="QVT45" s="1044"/>
      <c r="QVU45" s="1044"/>
      <c r="QVV45" s="1044"/>
      <c r="QVW45" s="1044"/>
      <c r="QVX45" s="1044"/>
      <c r="QVY45" s="1044"/>
      <c r="QVZ45" s="1044"/>
      <c r="QWA45" s="1044"/>
      <c r="QWB45" s="1044"/>
      <c r="QWC45" s="1044"/>
      <c r="QWD45" s="1044"/>
      <c r="QWE45" s="1044"/>
      <c r="QWF45" s="1044"/>
      <c r="QWG45" s="1044"/>
      <c r="QWH45" s="1044"/>
      <c r="QWI45" s="1044"/>
      <c r="QWJ45" s="1044"/>
      <c r="QWK45" s="1044"/>
      <c r="QWL45" s="1044"/>
      <c r="QWM45" s="1044"/>
      <c r="QWN45" s="1044"/>
      <c r="QWO45" s="1044"/>
      <c r="QWP45" s="1044"/>
      <c r="QWQ45" s="1044"/>
      <c r="QWR45" s="1044"/>
      <c r="QWS45" s="1044"/>
      <c r="QWT45" s="1044"/>
      <c r="QWU45" s="1044"/>
      <c r="QWV45" s="1044"/>
      <c r="QWW45" s="1044"/>
      <c r="QWX45" s="1044"/>
      <c r="QWY45" s="1044"/>
      <c r="QWZ45" s="1044"/>
      <c r="QXA45" s="1044"/>
      <c r="QXB45" s="1044"/>
      <c r="QXC45" s="1044"/>
      <c r="QXD45" s="1044"/>
      <c r="QXE45" s="1044"/>
      <c r="QXF45" s="1044"/>
      <c r="QXG45" s="1044"/>
      <c r="QXH45" s="1044"/>
      <c r="QXI45" s="1044"/>
      <c r="QXJ45" s="1044"/>
      <c r="QXK45" s="1044"/>
      <c r="QXL45" s="1044"/>
      <c r="QXM45" s="1044"/>
      <c r="QXN45" s="1044"/>
      <c r="QXO45" s="1044"/>
      <c r="QXP45" s="1044"/>
      <c r="QXQ45" s="1044"/>
      <c r="QXR45" s="1044"/>
      <c r="QXS45" s="1044"/>
      <c r="QXT45" s="1044"/>
      <c r="QXU45" s="1044"/>
      <c r="QXV45" s="1044"/>
      <c r="QXW45" s="1044"/>
      <c r="QXX45" s="1044"/>
      <c r="QXY45" s="1044"/>
      <c r="QXZ45" s="1044"/>
      <c r="QYA45" s="1044"/>
      <c r="QYB45" s="1044"/>
      <c r="QYC45" s="1044"/>
      <c r="QYD45" s="1044"/>
      <c r="QYE45" s="1044"/>
      <c r="QYF45" s="1044"/>
      <c r="QYG45" s="1044"/>
      <c r="QYH45" s="1044"/>
      <c r="QYI45" s="1044"/>
      <c r="QYJ45" s="1044"/>
      <c r="QYK45" s="1044"/>
      <c r="QYL45" s="1044"/>
      <c r="QYM45" s="1044"/>
      <c r="QYN45" s="1044"/>
      <c r="QYO45" s="1044"/>
      <c r="QYP45" s="1044"/>
      <c r="QYQ45" s="1044"/>
      <c r="QYR45" s="1044"/>
      <c r="QYS45" s="1044"/>
      <c r="QYT45" s="1044"/>
      <c r="QYU45" s="1044"/>
      <c r="QYV45" s="1044"/>
      <c r="QYW45" s="1044"/>
      <c r="QYX45" s="1044"/>
      <c r="QYY45" s="1044"/>
      <c r="QYZ45" s="1044"/>
      <c r="QZA45" s="1044"/>
      <c r="QZB45" s="1044"/>
      <c r="QZC45" s="1044"/>
      <c r="QZD45" s="1044"/>
      <c r="QZE45" s="1044"/>
      <c r="QZF45" s="1044"/>
      <c r="QZG45" s="1044"/>
      <c r="QZH45" s="1044"/>
      <c r="QZI45" s="1044"/>
      <c r="QZJ45" s="1044"/>
      <c r="QZK45" s="1044"/>
      <c r="QZL45" s="1044"/>
      <c r="QZM45" s="1044"/>
      <c r="QZN45" s="1044"/>
      <c r="QZO45" s="1044"/>
      <c r="QZP45" s="1044"/>
      <c r="QZQ45" s="1044"/>
      <c r="QZR45" s="1044"/>
      <c r="QZS45" s="1044"/>
      <c r="QZT45" s="1044"/>
      <c r="QZU45" s="1044"/>
      <c r="QZV45" s="1044"/>
      <c r="QZW45" s="1044"/>
      <c r="QZX45" s="1044"/>
      <c r="QZY45" s="1044"/>
      <c r="QZZ45" s="1044"/>
      <c r="RAA45" s="1044"/>
      <c r="RAB45" s="1044"/>
      <c r="RAC45" s="1044"/>
      <c r="RAD45" s="1044"/>
      <c r="RAE45" s="1044"/>
      <c r="RAF45" s="1044"/>
      <c r="RAG45" s="1044"/>
      <c r="RAH45" s="1044"/>
      <c r="RAI45" s="1044"/>
      <c r="RAJ45" s="1044"/>
      <c r="RAK45" s="1044"/>
      <c r="RAL45" s="1044"/>
      <c r="RAM45" s="1044"/>
      <c r="RAN45" s="1044"/>
      <c r="RAO45" s="1044"/>
      <c r="RAP45" s="1044"/>
      <c r="RAQ45" s="1044"/>
      <c r="RAR45" s="1044"/>
      <c r="RAS45" s="1044"/>
      <c r="RAT45" s="1044"/>
      <c r="RAU45" s="1044"/>
      <c r="RAV45" s="1044"/>
      <c r="RAW45" s="1044"/>
      <c r="RAX45" s="1044"/>
      <c r="RAY45" s="1044"/>
      <c r="RAZ45" s="1044"/>
      <c r="RBA45" s="1044"/>
      <c r="RBB45" s="1044"/>
      <c r="RBC45" s="1044"/>
      <c r="RBD45" s="1044"/>
      <c r="RBE45" s="1044"/>
      <c r="RBF45" s="1044"/>
      <c r="RBG45" s="1044"/>
      <c r="RBH45" s="1044"/>
      <c r="RBI45" s="1044"/>
      <c r="RBJ45" s="1044"/>
      <c r="RBK45" s="1044"/>
      <c r="RBL45" s="1044"/>
      <c r="RBM45" s="1044"/>
      <c r="RBN45" s="1044"/>
      <c r="RBO45" s="1044"/>
      <c r="RBP45" s="1044"/>
      <c r="RBQ45" s="1044"/>
      <c r="RBR45" s="1044"/>
      <c r="RBS45" s="1044"/>
      <c r="RBT45" s="1044"/>
      <c r="RBU45" s="1044"/>
      <c r="RBV45" s="1044"/>
      <c r="RBW45" s="1044"/>
      <c r="RBX45" s="1044"/>
      <c r="RBY45" s="1044"/>
      <c r="RBZ45" s="1044"/>
      <c r="RCA45" s="1044"/>
      <c r="RCB45" s="1044"/>
      <c r="RCC45" s="1044"/>
      <c r="RCD45" s="1044"/>
      <c r="RCE45" s="1044"/>
      <c r="RCF45" s="1044"/>
      <c r="RCG45" s="1044"/>
      <c r="RCH45" s="1044"/>
      <c r="RCI45" s="1044"/>
      <c r="RCJ45" s="1044"/>
      <c r="RCK45" s="1044"/>
      <c r="RCL45" s="1044"/>
      <c r="RCM45" s="1044"/>
      <c r="RCN45" s="1044"/>
      <c r="RCO45" s="1044"/>
      <c r="RCP45" s="1044"/>
      <c r="RCQ45" s="1044"/>
      <c r="RCR45" s="1044"/>
      <c r="RCS45" s="1044"/>
      <c r="RCT45" s="1044"/>
      <c r="RCU45" s="1044"/>
      <c r="RCV45" s="1044"/>
      <c r="RCW45" s="1044"/>
      <c r="RCX45" s="1044"/>
      <c r="RCY45" s="1044"/>
      <c r="RCZ45" s="1044"/>
      <c r="RDA45" s="1044"/>
      <c r="RDB45" s="1044"/>
      <c r="RDC45" s="1044"/>
      <c r="RDD45" s="1044"/>
      <c r="RDE45" s="1044"/>
      <c r="RDF45" s="1044"/>
      <c r="RDG45" s="1044"/>
      <c r="RDH45" s="1044"/>
      <c r="RDI45" s="1044"/>
      <c r="RDJ45" s="1044"/>
      <c r="RDK45" s="1044"/>
      <c r="RDL45" s="1044"/>
      <c r="RDM45" s="1044"/>
      <c r="RDN45" s="1044"/>
      <c r="RDO45" s="1044"/>
      <c r="RDP45" s="1044"/>
      <c r="RDQ45" s="1044"/>
      <c r="RDR45" s="1044"/>
      <c r="RDS45" s="1044"/>
      <c r="RDT45" s="1044"/>
      <c r="RDU45" s="1044"/>
      <c r="RDV45" s="1044"/>
      <c r="RDW45" s="1044"/>
      <c r="RDX45" s="1044"/>
      <c r="RDY45" s="1044"/>
      <c r="RDZ45" s="1044"/>
      <c r="REA45" s="1044"/>
      <c r="REB45" s="1044"/>
      <c r="REC45" s="1044"/>
      <c r="RED45" s="1044"/>
      <c r="REE45" s="1044"/>
      <c r="REF45" s="1044"/>
      <c r="REG45" s="1044"/>
      <c r="REH45" s="1044"/>
      <c r="REI45" s="1044"/>
      <c r="REJ45" s="1044"/>
      <c r="REK45" s="1044"/>
      <c r="REL45" s="1044"/>
      <c r="REM45" s="1044"/>
      <c r="REN45" s="1044"/>
      <c r="REO45" s="1044"/>
      <c r="REP45" s="1044"/>
      <c r="REQ45" s="1044"/>
      <c r="RER45" s="1044"/>
      <c r="RES45" s="1044"/>
      <c r="RET45" s="1044"/>
      <c r="REU45" s="1044"/>
      <c r="REV45" s="1044"/>
      <c r="REW45" s="1044"/>
      <c r="REX45" s="1044"/>
      <c r="REY45" s="1044"/>
      <c r="REZ45" s="1044"/>
      <c r="RFA45" s="1044"/>
      <c r="RFB45" s="1044"/>
      <c r="RFC45" s="1044"/>
      <c r="RFD45" s="1044"/>
      <c r="RFE45" s="1044"/>
      <c r="RFF45" s="1044"/>
      <c r="RFG45" s="1044"/>
      <c r="RFH45" s="1044"/>
      <c r="RFI45" s="1044"/>
      <c r="RFJ45" s="1044"/>
      <c r="RFK45" s="1044"/>
      <c r="RFL45" s="1044"/>
      <c r="RFM45" s="1044"/>
      <c r="RFN45" s="1044"/>
      <c r="RFO45" s="1044"/>
      <c r="RFP45" s="1044"/>
      <c r="RFQ45" s="1044"/>
      <c r="RFR45" s="1044"/>
      <c r="RFS45" s="1044"/>
      <c r="RFT45" s="1044"/>
      <c r="RFU45" s="1044"/>
      <c r="RFV45" s="1044"/>
      <c r="RFW45" s="1044"/>
      <c r="RFX45" s="1044"/>
      <c r="RFY45" s="1044"/>
      <c r="RFZ45" s="1044"/>
      <c r="RGA45" s="1044"/>
      <c r="RGB45" s="1044"/>
      <c r="RGC45" s="1044"/>
      <c r="RGD45" s="1044"/>
      <c r="RGE45" s="1044"/>
      <c r="RGF45" s="1044"/>
      <c r="RGG45" s="1044"/>
      <c r="RGH45" s="1044"/>
      <c r="RGI45" s="1044"/>
      <c r="RGJ45" s="1044"/>
      <c r="RGK45" s="1044"/>
      <c r="RGL45" s="1044"/>
      <c r="RGM45" s="1044"/>
      <c r="RGN45" s="1044"/>
      <c r="RGO45" s="1044"/>
      <c r="RGP45" s="1044"/>
      <c r="RGQ45" s="1044"/>
      <c r="RGR45" s="1044"/>
      <c r="RGS45" s="1044"/>
      <c r="RGT45" s="1044"/>
      <c r="RGU45" s="1044"/>
      <c r="RGV45" s="1044"/>
      <c r="RGW45" s="1044"/>
      <c r="RGX45" s="1044"/>
      <c r="RGY45" s="1044"/>
      <c r="RGZ45" s="1044"/>
      <c r="RHA45" s="1044"/>
      <c r="RHB45" s="1044"/>
      <c r="RHC45" s="1044"/>
      <c r="RHD45" s="1044"/>
      <c r="RHE45" s="1044"/>
      <c r="RHF45" s="1044"/>
      <c r="RHG45" s="1044"/>
      <c r="RHH45" s="1044"/>
      <c r="RHI45" s="1044"/>
      <c r="RHJ45" s="1044"/>
      <c r="RHK45" s="1044"/>
      <c r="RHL45" s="1044"/>
      <c r="RHM45" s="1044"/>
      <c r="RHN45" s="1044"/>
      <c r="RHO45" s="1044"/>
      <c r="RHP45" s="1044"/>
      <c r="RHQ45" s="1044"/>
      <c r="RHR45" s="1044"/>
      <c r="RHS45" s="1044"/>
      <c r="RHT45" s="1044"/>
      <c r="RHU45" s="1044"/>
      <c r="RHV45" s="1044"/>
      <c r="RHW45" s="1044"/>
      <c r="RHX45" s="1044"/>
      <c r="RHY45" s="1044"/>
      <c r="RHZ45" s="1044"/>
      <c r="RIA45" s="1044"/>
      <c r="RIB45" s="1044"/>
      <c r="RIC45" s="1044"/>
      <c r="RID45" s="1044"/>
      <c r="RIE45" s="1044"/>
      <c r="RIF45" s="1044"/>
      <c r="RIG45" s="1044"/>
      <c r="RIH45" s="1044"/>
      <c r="RII45" s="1044"/>
      <c r="RIJ45" s="1044"/>
      <c r="RIK45" s="1044"/>
      <c r="RIL45" s="1044"/>
      <c r="RIM45" s="1044"/>
      <c r="RIN45" s="1044"/>
      <c r="RIO45" s="1044"/>
      <c r="RIP45" s="1044"/>
      <c r="RIQ45" s="1044"/>
      <c r="RIR45" s="1044"/>
      <c r="RIS45" s="1044"/>
      <c r="RIT45" s="1044"/>
      <c r="RIU45" s="1044"/>
      <c r="RIV45" s="1044"/>
      <c r="RIW45" s="1044"/>
      <c r="RIX45" s="1044"/>
      <c r="RIY45" s="1044"/>
      <c r="RIZ45" s="1044"/>
      <c r="RJA45" s="1044"/>
      <c r="RJB45" s="1044"/>
      <c r="RJC45" s="1044"/>
      <c r="RJD45" s="1044"/>
      <c r="RJE45" s="1044"/>
      <c r="RJF45" s="1044"/>
      <c r="RJG45" s="1044"/>
      <c r="RJH45" s="1044"/>
      <c r="RJI45" s="1044"/>
      <c r="RJJ45" s="1044"/>
      <c r="RJK45" s="1044"/>
      <c r="RJL45" s="1044"/>
      <c r="RJM45" s="1044"/>
      <c r="RJN45" s="1044"/>
      <c r="RJO45" s="1044"/>
      <c r="RJP45" s="1044"/>
      <c r="RJQ45" s="1044"/>
      <c r="RJR45" s="1044"/>
      <c r="RJS45" s="1044"/>
      <c r="RJT45" s="1044"/>
      <c r="RJU45" s="1044"/>
      <c r="RJV45" s="1044"/>
      <c r="RJW45" s="1044"/>
      <c r="RJX45" s="1044"/>
      <c r="RJY45" s="1044"/>
      <c r="RJZ45" s="1044"/>
      <c r="RKA45" s="1044"/>
      <c r="RKB45" s="1044"/>
      <c r="RKC45" s="1044"/>
      <c r="RKD45" s="1044"/>
      <c r="RKE45" s="1044"/>
      <c r="RKF45" s="1044"/>
      <c r="RKG45" s="1044"/>
      <c r="RKH45" s="1044"/>
      <c r="RKI45" s="1044"/>
      <c r="RKJ45" s="1044"/>
      <c r="RKK45" s="1044"/>
      <c r="RKL45" s="1044"/>
      <c r="RKM45" s="1044"/>
      <c r="RKN45" s="1044"/>
      <c r="RKO45" s="1044"/>
      <c r="RKP45" s="1044"/>
      <c r="RKQ45" s="1044"/>
      <c r="RKR45" s="1044"/>
      <c r="RKS45" s="1044"/>
      <c r="RKT45" s="1044"/>
      <c r="RKU45" s="1044"/>
      <c r="RKV45" s="1044"/>
      <c r="RKW45" s="1044"/>
      <c r="RKX45" s="1044"/>
      <c r="RKY45" s="1044"/>
      <c r="RKZ45" s="1044"/>
      <c r="RLA45" s="1044"/>
      <c r="RLB45" s="1044"/>
      <c r="RLC45" s="1044"/>
      <c r="RLD45" s="1044"/>
      <c r="RLE45" s="1044"/>
      <c r="RLF45" s="1044"/>
      <c r="RLG45" s="1044"/>
      <c r="RLH45" s="1044"/>
      <c r="RLI45" s="1044"/>
      <c r="RLJ45" s="1044"/>
      <c r="RLK45" s="1044"/>
      <c r="RLL45" s="1044"/>
      <c r="RLM45" s="1044"/>
      <c r="RLN45" s="1044"/>
      <c r="RLO45" s="1044"/>
      <c r="RLP45" s="1044"/>
      <c r="RLQ45" s="1044"/>
      <c r="RLR45" s="1044"/>
      <c r="RLS45" s="1044"/>
      <c r="RLT45" s="1044"/>
      <c r="RLU45" s="1044"/>
      <c r="RLV45" s="1044"/>
      <c r="RLW45" s="1044"/>
      <c r="RLX45" s="1044"/>
      <c r="RLY45" s="1044"/>
      <c r="RLZ45" s="1044"/>
      <c r="RMA45" s="1044"/>
      <c r="RMB45" s="1044"/>
      <c r="RMC45" s="1044"/>
      <c r="RMD45" s="1044"/>
      <c r="RME45" s="1044"/>
      <c r="RMF45" s="1044"/>
      <c r="RMG45" s="1044"/>
      <c r="RMH45" s="1044"/>
      <c r="RMI45" s="1044"/>
      <c r="RMJ45" s="1044"/>
      <c r="RMK45" s="1044"/>
      <c r="RML45" s="1044"/>
      <c r="RMM45" s="1044"/>
      <c r="RMN45" s="1044"/>
      <c r="RMO45" s="1044"/>
      <c r="RMP45" s="1044"/>
      <c r="RMQ45" s="1044"/>
      <c r="RMR45" s="1044"/>
      <c r="RMS45" s="1044"/>
      <c r="RMT45" s="1044"/>
      <c r="RMU45" s="1044"/>
      <c r="RMV45" s="1044"/>
      <c r="RMW45" s="1044"/>
      <c r="RMX45" s="1044"/>
      <c r="RMY45" s="1044"/>
      <c r="RMZ45" s="1044"/>
      <c r="RNA45" s="1044"/>
      <c r="RNB45" s="1044"/>
      <c r="RNC45" s="1044"/>
      <c r="RND45" s="1044"/>
      <c r="RNE45" s="1044"/>
      <c r="RNF45" s="1044"/>
      <c r="RNG45" s="1044"/>
      <c r="RNH45" s="1044"/>
      <c r="RNI45" s="1044"/>
      <c r="RNJ45" s="1044"/>
      <c r="RNK45" s="1044"/>
      <c r="RNL45" s="1044"/>
      <c r="RNM45" s="1044"/>
      <c r="RNN45" s="1044"/>
      <c r="RNO45" s="1044"/>
      <c r="RNP45" s="1044"/>
      <c r="RNQ45" s="1044"/>
      <c r="RNR45" s="1044"/>
      <c r="RNS45" s="1044"/>
      <c r="RNT45" s="1044"/>
      <c r="RNU45" s="1044"/>
      <c r="RNV45" s="1044"/>
      <c r="RNW45" s="1044"/>
      <c r="RNX45" s="1044"/>
      <c r="RNY45" s="1044"/>
      <c r="RNZ45" s="1044"/>
      <c r="ROA45" s="1044"/>
      <c r="ROB45" s="1044"/>
      <c r="ROC45" s="1044"/>
      <c r="ROD45" s="1044"/>
      <c r="ROE45" s="1044"/>
      <c r="ROF45" s="1044"/>
      <c r="ROG45" s="1044"/>
      <c r="ROH45" s="1044"/>
      <c r="ROI45" s="1044"/>
      <c r="ROJ45" s="1044"/>
      <c r="ROK45" s="1044"/>
      <c r="ROL45" s="1044"/>
      <c r="ROM45" s="1044"/>
      <c r="RON45" s="1044"/>
      <c r="ROO45" s="1044"/>
      <c r="ROP45" s="1044"/>
      <c r="ROQ45" s="1044"/>
      <c r="ROR45" s="1044"/>
      <c r="ROS45" s="1044"/>
      <c r="ROT45" s="1044"/>
      <c r="ROU45" s="1044"/>
      <c r="ROV45" s="1044"/>
      <c r="ROW45" s="1044"/>
      <c r="ROX45" s="1044"/>
      <c r="ROY45" s="1044"/>
      <c r="ROZ45" s="1044"/>
      <c r="RPA45" s="1044"/>
      <c r="RPB45" s="1044"/>
      <c r="RPC45" s="1044"/>
      <c r="RPD45" s="1044"/>
      <c r="RPE45" s="1044"/>
      <c r="RPF45" s="1044"/>
      <c r="RPG45" s="1044"/>
      <c r="RPH45" s="1044"/>
      <c r="RPI45" s="1044"/>
      <c r="RPJ45" s="1044"/>
      <c r="RPK45" s="1044"/>
      <c r="RPL45" s="1044"/>
      <c r="RPM45" s="1044"/>
      <c r="RPN45" s="1044"/>
      <c r="RPO45" s="1044"/>
      <c r="RPP45" s="1044"/>
      <c r="RPQ45" s="1044"/>
      <c r="RPR45" s="1044"/>
      <c r="RPS45" s="1044"/>
      <c r="RPT45" s="1044"/>
      <c r="RPU45" s="1044"/>
      <c r="RPV45" s="1044"/>
      <c r="RPW45" s="1044"/>
      <c r="RPX45" s="1044"/>
      <c r="RPY45" s="1044"/>
      <c r="RPZ45" s="1044"/>
      <c r="RQA45" s="1044"/>
      <c r="RQB45" s="1044"/>
      <c r="RQC45" s="1044"/>
      <c r="RQD45" s="1044"/>
      <c r="RQE45" s="1044"/>
      <c r="RQF45" s="1044"/>
      <c r="RQG45" s="1044"/>
      <c r="RQH45" s="1044"/>
      <c r="RQI45" s="1044"/>
      <c r="RQJ45" s="1044"/>
      <c r="RQK45" s="1044"/>
      <c r="RQL45" s="1044"/>
      <c r="RQM45" s="1044"/>
      <c r="RQN45" s="1044"/>
      <c r="RQO45" s="1044"/>
      <c r="RQP45" s="1044"/>
      <c r="RQQ45" s="1044"/>
      <c r="RQR45" s="1044"/>
      <c r="RQS45" s="1044"/>
      <c r="RQT45" s="1044"/>
      <c r="RQU45" s="1044"/>
      <c r="RQV45" s="1044"/>
      <c r="RQW45" s="1044"/>
      <c r="RQX45" s="1044"/>
      <c r="RQY45" s="1044"/>
      <c r="RQZ45" s="1044"/>
      <c r="RRA45" s="1044"/>
      <c r="RRB45" s="1044"/>
      <c r="RRC45" s="1044"/>
      <c r="RRD45" s="1044"/>
      <c r="RRE45" s="1044"/>
      <c r="RRF45" s="1044"/>
      <c r="RRG45" s="1044"/>
      <c r="RRH45" s="1044"/>
      <c r="RRI45" s="1044"/>
      <c r="RRJ45" s="1044"/>
      <c r="RRK45" s="1044"/>
      <c r="RRL45" s="1044"/>
      <c r="RRM45" s="1044"/>
      <c r="RRN45" s="1044"/>
      <c r="RRO45" s="1044"/>
      <c r="RRP45" s="1044"/>
      <c r="RRQ45" s="1044"/>
      <c r="RRR45" s="1044"/>
      <c r="RRS45" s="1044"/>
      <c r="RRT45" s="1044"/>
      <c r="RRU45" s="1044"/>
      <c r="RRV45" s="1044"/>
      <c r="RRW45" s="1044"/>
      <c r="RRX45" s="1044"/>
      <c r="RRY45" s="1044"/>
      <c r="RRZ45" s="1044"/>
      <c r="RSA45" s="1044"/>
      <c r="RSB45" s="1044"/>
      <c r="RSC45" s="1044"/>
      <c r="RSD45" s="1044"/>
      <c r="RSE45" s="1044"/>
      <c r="RSF45" s="1044"/>
      <c r="RSG45" s="1044"/>
      <c r="RSH45" s="1044"/>
      <c r="RSI45" s="1044"/>
      <c r="RSJ45" s="1044"/>
      <c r="RSK45" s="1044"/>
      <c r="RSL45" s="1044"/>
      <c r="RSM45" s="1044"/>
      <c r="RSN45" s="1044"/>
      <c r="RSO45" s="1044"/>
      <c r="RSP45" s="1044"/>
      <c r="RSQ45" s="1044"/>
      <c r="RSR45" s="1044"/>
      <c r="RSS45" s="1044"/>
      <c r="RST45" s="1044"/>
      <c r="RSU45" s="1044"/>
      <c r="RSV45" s="1044"/>
      <c r="RSW45" s="1044"/>
      <c r="RSX45" s="1044"/>
      <c r="RSY45" s="1044"/>
      <c r="RSZ45" s="1044"/>
      <c r="RTA45" s="1044"/>
      <c r="RTB45" s="1044"/>
      <c r="RTC45" s="1044"/>
      <c r="RTD45" s="1044"/>
      <c r="RTE45" s="1044"/>
      <c r="RTF45" s="1044"/>
      <c r="RTG45" s="1044"/>
      <c r="RTH45" s="1044"/>
      <c r="RTI45" s="1044"/>
      <c r="RTJ45" s="1044"/>
      <c r="RTK45" s="1044"/>
      <c r="RTL45" s="1044"/>
      <c r="RTM45" s="1044"/>
      <c r="RTN45" s="1044"/>
      <c r="RTO45" s="1044"/>
      <c r="RTP45" s="1044"/>
      <c r="RTQ45" s="1044"/>
      <c r="RTR45" s="1044"/>
      <c r="RTS45" s="1044"/>
      <c r="RTT45" s="1044"/>
      <c r="RTU45" s="1044"/>
      <c r="RTV45" s="1044"/>
      <c r="RTW45" s="1044"/>
      <c r="RTX45" s="1044"/>
      <c r="RTY45" s="1044"/>
      <c r="RTZ45" s="1044"/>
      <c r="RUA45" s="1044"/>
      <c r="RUB45" s="1044"/>
      <c r="RUC45" s="1044"/>
      <c r="RUD45" s="1044"/>
      <c r="RUE45" s="1044"/>
      <c r="RUF45" s="1044"/>
      <c r="RUG45" s="1044"/>
      <c r="RUH45" s="1044"/>
      <c r="RUI45" s="1044"/>
      <c r="RUJ45" s="1044"/>
      <c r="RUK45" s="1044"/>
      <c r="RUL45" s="1044"/>
      <c r="RUM45" s="1044"/>
      <c r="RUN45" s="1044"/>
      <c r="RUO45" s="1044"/>
      <c r="RUP45" s="1044"/>
      <c r="RUQ45" s="1044"/>
      <c r="RUR45" s="1044"/>
      <c r="RUS45" s="1044"/>
      <c r="RUT45" s="1044"/>
      <c r="RUU45" s="1044"/>
      <c r="RUV45" s="1044"/>
      <c r="RUW45" s="1044"/>
      <c r="RUX45" s="1044"/>
      <c r="RUY45" s="1044"/>
      <c r="RUZ45" s="1044"/>
      <c r="RVA45" s="1044"/>
      <c r="RVB45" s="1044"/>
      <c r="RVC45" s="1044"/>
      <c r="RVD45" s="1044"/>
      <c r="RVE45" s="1044"/>
      <c r="RVF45" s="1044"/>
      <c r="RVG45" s="1044"/>
      <c r="RVH45" s="1044"/>
      <c r="RVI45" s="1044"/>
      <c r="RVJ45" s="1044"/>
      <c r="RVK45" s="1044"/>
      <c r="RVL45" s="1044"/>
      <c r="RVM45" s="1044"/>
      <c r="RVN45" s="1044"/>
      <c r="RVO45" s="1044"/>
      <c r="RVP45" s="1044"/>
      <c r="RVQ45" s="1044"/>
      <c r="RVR45" s="1044"/>
      <c r="RVS45" s="1044"/>
      <c r="RVT45" s="1044"/>
      <c r="RVU45" s="1044"/>
      <c r="RVV45" s="1044"/>
      <c r="RVW45" s="1044"/>
      <c r="RVX45" s="1044"/>
      <c r="RVY45" s="1044"/>
      <c r="RVZ45" s="1044"/>
      <c r="RWA45" s="1044"/>
      <c r="RWB45" s="1044"/>
      <c r="RWC45" s="1044"/>
      <c r="RWD45" s="1044"/>
      <c r="RWE45" s="1044"/>
      <c r="RWF45" s="1044"/>
      <c r="RWG45" s="1044"/>
      <c r="RWH45" s="1044"/>
      <c r="RWI45" s="1044"/>
      <c r="RWJ45" s="1044"/>
      <c r="RWK45" s="1044"/>
      <c r="RWL45" s="1044"/>
      <c r="RWM45" s="1044"/>
      <c r="RWN45" s="1044"/>
      <c r="RWO45" s="1044"/>
      <c r="RWP45" s="1044"/>
      <c r="RWQ45" s="1044"/>
      <c r="RWR45" s="1044"/>
      <c r="RWS45" s="1044"/>
      <c r="RWT45" s="1044"/>
      <c r="RWU45" s="1044"/>
      <c r="RWV45" s="1044"/>
      <c r="RWW45" s="1044"/>
      <c r="RWX45" s="1044"/>
      <c r="RWY45" s="1044"/>
      <c r="RWZ45" s="1044"/>
      <c r="RXA45" s="1044"/>
      <c r="RXB45" s="1044"/>
      <c r="RXC45" s="1044"/>
      <c r="RXD45" s="1044"/>
      <c r="RXE45" s="1044"/>
      <c r="RXF45" s="1044"/>
      <c r="RXG45" s="1044"/>
      <c r="RXH45" s="1044"/>
      <c r="RXI45" s="1044"/>
      <c r="RXJ45" s="1044"/>
      <c r="RXK45" s="1044"/>
      <c r="RXL45" s="1044"/>
      <c r="RXM45" s="1044"/>
      <c r="RXN45" s="1044"/>
      <c r="RXO45" s="1044"/>
      <c r="RXP45" s="1044"/>
      <c r="RXQ45" s="1044"/>
      <c r="RXR45" s="1044"/>
      <c r="RXS45" s="1044"/>
      <c r="RXT45" s="1044"/>
      <c r="RXU45" s="1044"/>
      <c r="RXV45" s="1044"/>
      <c r="RXW45" s="1044"/>
      <c r="RXX45" s="1044"/>
      <c r="RXY45" s="1044"/>
      <c r="RXZ45" s="1044"/>
      <c r="RYA45" s="1044"/>
      <c r="RYB45" s="1044"/>
      <c r="RYC45" s="1044"/>
      <c r="RYD45" s="1044"/>
      <c r="RYE45" s="1044"/>
      <c r="RYF45" s="1044"/>
      <c r="RYG45" s="1044"/>
      <c r="RYH45" s="1044"/>
      <c r="RYI45" s="1044"/>
      <c r="RYJ45" s="1044"/>
      <c r="RYK45" s="1044"/>
      <c r="RYL45" s="1044"/>
      <c r="RYM45" s="1044"/>
      <c r="RYN45" s="1044"/>
      <c r="RYO45" s="1044"/>
      <c r="RYP45" s="1044"/>
      <c r="RYQ45" s="1044"/>
      <c r="RYR45" s="1044"/>
      <c r="RYS45" s="1044"/>
      <c r="RYT45" s="1044"/>
      <c r="RYU45" s="1044"/>
      <c r="RYV45" s="1044"/>
      <c r="RYW45" s="1044"/>
      <c r="RYX45" s="1044"/>
      <c r="RYY45" s="1044"/>
      <c r="RYZ45" s="1044"/>
      <c r="RZA45" s="1044"/>
      <c r="RZB45" s="1044"/>
      <c r="RZC45" s="1044"/>
      <c r="RZD45" s="1044"/>
      <c r="RZE45" s="1044"/>
      <c r="RZF45" s="1044"/>
      <c r="RZG45" s="1044"/>
      <c r="RZH45" s="1044"/>
      <c r="RZI45" s="1044"/>
      <c r="RZJ45" s="1044"/>
      <c r="RZK45" s="1044"/>
      <c r="RZL45" s="1044"/>
      <c r="RZM45" s="1044"/>
      <c r="RZN45" s="1044"/>
      <c r="RZO45" s="1044"/>
      <c r="RZP45" s="1044"/>
      <c r="RZQ45" s="1044"/>
      <c r="RZR45" s="1044"/>
      <c r="RZS45" s="1044"/>
      <c r="RZT45" s="1044"/>
      <c r="RZU45" s="1044"/>
      <c r="RZV45" s="1044"/>
      <c r="RZW45" s="1044"/>
      <c r="RZX45" s="1044"/>
      <c r="RZY45" s="1044"/>
      <c r="RZZ45" s="1044"/>
      <c r="SAA45" s="1044"/>
      <c r="SAB45" s="1044"/>
      <c r="SAC45" s="1044"/>
      <c r="SAD45" s="1044"/>
      <c r="SAE45" s="1044"/>
      <c r="SAF45" s="1044"/>
      <c r="SAG45" s="1044"/>
      <c r="SAH45" s="1044"/>
      <c r="SAI45" s="1044"/>
      <c r="SAJ45" s="1044"/>
      <c r="SAK45" s="1044"/>
      <c r="SAL45" s="1044"/>
      <c r="SAM45" s="1044"/>
      <c r="SAN45" s="1044"/>
      <c r="SAO45" s="1044"/>
      <c r="SAP45" s="1044"/>
      <c r="SAQ45" s="1044"/>
      <c r="SAR45" s="1044"/>
      <c r="SAS45" s="1044"/>
      <c r="SAT45" s="1044"/>
      <c r="SAU45" s="1044"/>
      <c r="SAV45" s="1044"/>
      <c r="SAW45" s="1044"/>
      <c r="SAX45" s="1044"/>
      <c r="SAY45" s="1044"/>
      <c r="SAZ45" s="1044"/>
      <c r="SBA45" s="1044"/>
      <c r="SBB45" s="1044"/>
      <c r="SBC45" s="1044"/>
      <c r="SBD45" s="1044"/>
      <c r="SBE45" s="1044"/>
      <c r="SBF45" s="1044"/>
      <c r="SBG45" s="1044"/>
      <c r="SBH45" s="1044"/>
      <c r="SBI45" s="1044"/>
      <c r="SBJ45" s="1044"/>
      <c r="SBK45" s="1044"/>
      <c r="SBL45" s="1044"/>
      <c r="SBM45" s="1044"/>
      <c r="SBN45" s="1044"/>
      <c r="SBO45" s="1044"/>
      <c r="SBP45" s="1044"/>
      <c r="SBQ45" s="1044"/>
      <c r="SBR45" s="1044"/>
      <c r="SBS45" s="1044"/>
      <c r="SBT45" s="1044"/>
      <c r="SBU45" s="1044"/>
      <c r="SBV45" s="1044"/>
      <c r="SBW45" s="1044"/>
      <c r="SBX45" s="1044"/>
      <c r="SBY45" s="1044"/>
      <c r="SBZ45" s="1044"/>
      <c r="SCA45" s="1044"/>
      <c r="SCB45" s="1044"/>
      <c r="SCC45" s="1044"/>
      <c r="SCD45" s="1044"/>
      <c r="SCE45" s="1044"/>
      <c r="SCF45" s="1044"/>
      <c r="SCG45" s="1044"/>
      <c r="SCH45" s="1044"/>
      <c r="SCI45" s="1044"/>
      <c r="SCJ45" s="1044"/>
      <c r="SCK45" s="1044"/>
      <c r="SCL45" s="1044"/>
      <c r="SCM45" s="1044"/>
      <c r="SCN45" s="1044"/>
      <c r="SCO45" s="1044"/>
      <c r="SCP45" s="1044"/>
      <c r="SCQ45" s="1044"/>
      <c r="SCR45" s="1044"/>
      <c r="SCS45" s="1044"/>
      <c r="SCT45" s="1044"/>
      <c r="SCU45" s="1044"/>
      <c r="SCV45" s="1044"/>
      <c r="SCW45" s="1044"/>
      <c r="SCX45" s="1044"/>
      <c r="SCY45" s="1044"/>
      <c r="SCZ45" s="1044"/>
      <c r="SDA45" s="1044"/>
      <c r="SDB45" s="1044"/>
      <c r="SDC45" s="1044"/>
      <c r="SDD45" s="1044"/>
      <c r="SDE45" s="1044"/>
      <c r="SDF45" s="1044"/>
      <c r="SDG45" s="1044"/>
      <c r="SDH45" s="1044"/>
      <c r="SDI45" s="1044"/>
      <c r="SDJ45" s="1044"/>
      <c r="SDK45" s="1044"/>
      <c r="SDL45" s="1044"/>
      <c r="SDM45" s="1044"/>
      <c r="SDN45" s="1044"/>
      <c r="SDO45" s="1044"/>
      <c r="SDP45" s="1044"/>
      <c r="SDQ45" s="1044"/>
      <c r="SDR45" s="1044"/>
      <c r="SDS45" s="1044"/>
      <c r="SDT45" s="1044"/>
      <c r="SDU45" s="1044"/>
      <c r="SDV45" s="1044"/>
      <c r="SDW45" s="1044"/>
      <c r="SDX45" s="1044"/>
      <c r="SDY45" s="1044"/>
      <c r="SDZ45" s="1044"/>
      <c r="SEA45" s="1044"/>
      <c r="SEB45" s="1044"/>
      <c r="SEC45" s="1044"/>
      <c r="SED45" s="1044"/>
      <c r="SEE45" s="1044"/>
      <c r="SEF45" s="1044"/>
      <c r="SEG45" s="1044"/>
      <c r="SEH45" s="1044"/>
      <c r="SEI45" s="1044"/>
      <c r="SEJ45" s="1044"/>
      <c r="SEK45" s="1044"/>
      <c r="SEL45" s="1044"/>
      <c r="SEM45" s="1044"/>
      <c r="SEN45" s="1044"/>
      <c r="SEO45" s="1044"/>
      <c r="SEP45" s="1044"/>
      <c r="SEQ45" s="1044"/>
      <c r="SER45" s="1044"/>
      <c r="SES45" s="1044"/>
      <c r="SET45" s="1044"/>
      <c r="SEU45" s="1044"/>
      <c r="SEV45" s="1044"/>
      <c r="SEW45" s="1044"/>
      <c r="SEX45" s="1044"/>
      <c r="SEY45" s="1044"/>
      <c r="SEZ45" s="1044"/>
      <c r="SFA45" s="1044"/>
      <c r="SFB45" s="1044"/>
      <c r="SFC45" s="1044"/>
      <c r="SFD45" s="1044"/>
      <c r="SFE45" s="1044"/>
      <c r="SFF45" s="1044"/>
      <c r="SFG45" s="1044"/>
      <c r="SFH45" s="1044"/>
      <c r="SFI45" s="1044"/>
      <c r="SFJ45" s="1044"/>
      <c r="SFK45" s="1044"/>
      <c r="SFL45" s="1044"/>
      <c r="SFM45" s="1044"/>
      <c r="SFN45" s="1044"/>
      <c r="SFO45" s="1044"/>
      <c r="SFP45" s="1044"/>
      <c r="SFQ45" s="1044"/>
      <c r="SFR45" s="1044"/>
      <c r="SFS45" s="1044"/>
      <c r="SFT45" s="1044"/>
      <c r="SFU45" s="1044"/>
      <c r="SFV45" s="1044"/>
      <c r="SFW45" s="1044"/>
      <c r="SFX45" s="1044"/>
      <c r="SFY45" s="1044"/>
      <c r="SFZ45" s="1044"/>
      <c r="SGA45" s="1044"/>
      <c r="SGB45" s="1044"/>
      <c r="SGC45" s="1044"/>
      <c r="SGD45" s="1044"/>
      <c r="SGE45" s="1044"/>
      <c r="SGF45" s="1044"/>
      <c r="SGG45" s="1044"/>
      <c r="SGH45" s="1044"/>
      <c r="SGI45" s="1044"/>
      <c r="SGJ45" s="1044"/>
      <c r="SGK45" s="1044"/>
      <c r="SGL45" s="1044"/>
      <c r="SGM45" s="1044"/>
      <c r="SGN45" s="1044"/>
      <c r="SGO45" s="1044"/>
      <c r="SGP45" s="1044"/>
      <c r="SGQ45" s="1044"/>
      <c r="SGR45" s="1044"/>
      <c r="SGS45" s="1044"/>
      <c r="SGT45" s="1044"/>
      <c r="SGU45" s="1044"/>
      <c r="SGV45" s="1044"/>
      <c r="SGW45" s="1044"/>
      <c r="SGX45" s="1044"/>
      <c r="SGY45" s="1044"/>
      <c r="SGZ45" s="1044"/>
      <c r="SHA45" s="1044"/>
      <c r="SHB45" s="1044"/>
      <c r="SHC45" s="1044"/>
      <c r="SHD45" s="1044"/>
      <c r="SHE45" s="1044"/>
      <c r="SHF45" s="1044"/>
      <c r="SHG45" s="1044"/>
      <c r="SHH45" s="1044"/>
      <c r="SHI45" s="1044"/>
      <c r="SHJ45" s="1044"/>
      <c r="SHK45" s="1044"/>
      <c r="SHL45" s="1044"/>
      <c r="SHM45" s="1044"/>
      <c r="SHN45" s="1044"/>
      <c r="SHO45" s="1044"/>
      <c r="SHP45" s="1044"/>
      <c r="SHQ45" s="1044"/>
      <c r="SHR45" s="1044"/>
      <c r="SHS45" s="1044"/>
      <c r="SHT45" s="1044"/>
      <c r="SHU45" s="1044"/>
      <c r="SHV45" s="1044"/>
      <c r="SHW45" s="1044"/>
      <c r="SHX45" s="1044"/>
      <c r="SHY45" s="1044"/>
      <c r="SHZ45" s="1044"/>
      <c r="SIA45" s="1044"/>
      <c r="SIB45" s="1044"/>
      <c r="SIC45" s="1044"/>
      <c r="SID45" s="1044"/>
      <c r="SIE45" s="1044"/>
      <c r="SIF45" s="1044"/>
      <c r="SIG45" s="1044"/>
      <c r="SIH45" s="1044"/>
      <c r="SII45" s="1044"/>
      <c r="SIJ45" s="1044"/>
      <c r="SIK45" s="1044"/>
      <c r="SIL45" s="1044"/>
      <c r="SIM45" s="1044"/>
      <c r="SIN45" s="1044"/>
      <c r="SIO45" s="1044"/>
      <c r="SIP45" s="1044"/>
      <c r="SIQ45" s="1044"/>
      <c r="SIR45" s="1044"/>
      <c r="SIS45" s="1044"/>
      <c r="SIT45" s="1044"/>
      <c r="SIU45" s="1044"/>
      <c r="SIV45" s="1044"/>
      <c r="SIW45" s="1044"/>
      <c r="SIX45" s="1044"/>
      <c r="SIY45" s="1044"/>
      <c r="SIZ45" s="1044"/>
      <c r="SJA45" s="1044"/>
      <c r="SJB45" s="1044"/>
      <c r="SJC45" s="1044"/>
      <c r="SJD45" s="1044"/>
      <c r="SJE45" s="1044"/>
      <c r="SJF45" s="1044"/>
      <c r="SJG45" s="1044"/>
      <c r="SJH45" s="1044"/>
      <c r="SJI45" s="1044"/>
      <c r="SJJ45" s="1044"/>
      <c r="SJK45" s="1044"/>
      <c r="SJL45" s="1044"/>
      <c r="SJM45" s="1044"/>
      <c r="SJN45" s="1044"/>
      <c r="SJO45" s="1044"/>
      <c r="SJP45" s="1044"/>
      <c r="SJQ45" s="1044"/>
      <c r="SJR45" s="1044"/>
      <c r="SJS45" s="1044"/>
      <c r="SJT45" s="1044"/>
      <c r="SJU45" s="1044"/>
      <c r="SJV45" s="1044"/>
      <c r="SJW45" s="1044"/>
      <c r="SJX45" s="1044"/>
      <c r="SJY45" s="1044"/>
      <c r="SJZ45" s="1044"/>
      <c r="SKA45" s="1044"/>
      <c r="SKB45" s="1044"/>
      <c r="SKC45" s="1044"/>
      <c r="SKD45" s="1044"/>
      <c r="SKE45" s="1044"/>
      <c r="SKF45" s="1044"/>
      <c r="SKG45" s="1044"/>
      <c r="SKH45" s="1044"/>
      <c r="SKI45" s="1044"/>
      <c r="SKJ45" s="1044"/>
      <c r="SKK45" s="1044"/>
      <c r="SKL45" s="1044"/>
      <c r="SKM45" s="1044"/>
      <c r="SKN45" s="1044"/>
      <c r="SKO45" s="1044"/>
      <c r="SKP45" s="1044"/>
      <c r="SKQ45" s="1044"/>
      <c r="SKR45" s="1044"/>
      <c r="SKS45" s="1044"/>
      <c r="SKT45" s="1044"/>
      <c r="SKU45" s="1044"/>
      <c r="SKV45" s="1044"/>
      <c r="SKW45" s="1044"/>
      <c r="SKX45" s="1044"/>
      <c r="SKY45" s="1044"/>
      <c r="SKZ45" s="1044"/>
      <c r="SLA45" s="1044"/>
      <c r="SLB45" s="1044"/>
      <c r="SLC45" s="1044"/>
      <c r="SLD45" s="1044"/>
      <c r="SLE45" s="1044"/>
      <c r="SLF45" s="1044"/>
      <c r="SLG45" s="1044"/>
      <c r="SLH45" s="1044"/>
      <c r="SLI45" s="1044"/>
      <c r="SLJ45" s="1044"/>
      <c r="SLK45" s="1044"/>
      <c r="SLL45" s="1044"/>
      <c r="SLM45" s="1044"/>
      <c r="SLN45" s="1044"/>
      <c r="SLO45" s="1044"/>
      <c r="SLP45" s="1044"/>
      <c r="SLQ45" s="1044"/>
      <c r="SLR45" s="1044"/>
      <c r="SLS45" s="1044"/>
      <c r="SLT45" s="1044"/>
      <c r="SLU45" s="1044"/>
      <c r="SLV45" s="1044"/>
      <c r="SLW45" s="1044"/>
      <c r="SLX45" s="1044"/>
      <c r="SLY45" s="1044"/>
      <c r="SLZ45" s="1044"/>
      <c r="SMA45" s="1044"/>
      <c r="SMB45" s="1044"/>
      <c r="SMC45" s="1044"/>
      <c r="SMD45" s="1044"/>
      <c r="SME45" s="1044"/>
      <c r="SMF45" s="1044"/>
      <c r="SMG45" s="1044"/>
      <c r="SMH45" s="1044"/>
      <c r="SMI45" s="1044"/>
      <c r="SMJ45" s="1044"/>
      <c r="SMK45" s="1044"/>
      <c r="SML45" s="1044"/>
      <c r="SMM45" s="1044"/>
      <c r="SMN45" s="1044"/>
      <c r="SMO45" s="1044"/>
      <c r="SMP45" s="1044"/>
      <c r="SMQ45" s="1044"/>
      <c r="SMR45" s="1044"/>
      <c r="SMS45" s="1044"/>
      <c r="SMT45" s="1044"/>
      <c r="SMU45" s="1044"/>
      <c r="SMV45" s="1044"/>
      <c r="SMW45" s="1044"/>
      <c r="SMX45" s="1044"/>
      <c r="SMY45" s="1044"/>
      <c r="SMZ45" s="1044"/>
      <c r="SNA45" s="1044"/>
      <c r="SNB45" s="1044"/>
      <c r="SNC45" s="1044"/>
      <c r="SND45" s="1044"/>
      <c r="SNE45" s="1044"/>
      <c r="SNF45" s="1044"/>
      <c r="SNG45" s="1044"/>
      <c r="SNH45" s="1044"/>
      <c r="SNI45" s="1044"/>
      <c r="SNJ45" s="1044"/>
      <c r="SNK45" s="1044"/>
      <c r="SNL45" s="1044"/>
      <c r="SNM45" s="1044"/>
      <c r="SNN45" s="1044"/>
      <c r="SNO45" s="1044"/>
      <c r="SNP45" s="1044"/>
      <c r="SNQ45" s="1044"/>
      <c r="SNR45" s="1044"/>
      <c r="SNS45" s="1044"/>
      <c r="SNT45" s="1044"/>
      <c r="SNU45" s="1044"/>
      <c r="SNV45" s="1044"/>
      <c r="SNW45" s="1044"/>
      <c r="SNX45" s="1044"/>
      <c r="SNY45" s="1044"/>
      <c r="SNZ45" s="1044"/>
      <c r="SOA45" s="1044"/>
      <c r="SOB45" s="1044"/>
      <c r="SOC45" s="1044"/>
      <c r="SOD45" s="1044"/>
      <c r="SOE45" s="1044"/>
      <c r="SOF45" s="1044"/>
      <c r="SOG45" s="1044"/>
      <c r="SOH45" s="1044"/>
      <c r="SOI45" s="1044"/>
      <c r="SOJ45" s="1044"/>
      <c r="SOK45" s="1044"/>
      <c r="SOL45" s="1044"/>
      <c r="SOM45" s="1044"/>
      <c r="SON45" s="1044"/>
      <c r="SOO45" s="1044"/>
      <c r="SOP45" s="1044"/>
      <c r="SOQ45" s="1044"/>
      <c r="SOR45" s="1044"/>
      <c r="SOS45" s="1044"/>
      <c r="SOT45" s="1044"/>
      <c r="SOU45" s="1044"/>
      <c r="SOV45" s="1044"/>
      <c r="SOW45" s="1044"/>
      <c r="SOX45" s="1044"/>
      <c r="SOY45" s="1044"/>
      <c r="SOZ45" s="1044"/>
      <c r="SPA45" s="1044"/>
      <c r="SPB45" s="1044"/>
      <c r="SPC45" s="1044"/>
      <c r="SPD45" s="1044"/>
      <c r="SPE45" s="1044"/>
      <c r="SPF45" s="1044"/>
      <c r="SPG45" s="1044"/>
      <c r="SPH45" s="1044"/>
      <c r="SPI45" s="1044"/>
      <c r="SPJ45" s="1044"/>
      <c r="SPK45" s="1044"/>
      <c r="SPL45" s="1044"/>
      <c r="SPM45" s="1044"/>
      <c r="SPN45" s="1044"/>
      <c r="SPO45" s="1044"/>
      <c r="SPP45" s="1044"/>
      <c r="SPQ45" s="1044"/>
      <c r="SPR45" s="1044"/>
      <c r="SPS45" s="1044"/>
      <c r="SPT45" s="1044"/>
      <c r="SPU45" s="1044"/>
      <c r="SPV45" s="1044"/>
      <c r="SPW45" s="1044"/>
      <c r="SPX45" s="1044"/>
      <c r="SPY45" s="1044"/>
      <c r="SPZ45" s="1044"/>
      <c r="SQA45" s="1044"/>
      <c r="SQB45" s="1044"/>
      <c r="SQC45" s="1044"/>
      <c r="SQD45" s="1044"/>
      <c r="SQE45" s="1044"/>
      <c r="SQF45" s="1044"/>
      <c r="SQG45" s="1044"/>
      <c r="SQH45" s="1044"/>
      <c r="SQI45" s="1044"/>
      <c r="SQJ45" s="1044"/>
      <c r="SQK45" s="1044"/>
      <c r="SQL45" s="1044"/>
      <c r="SQM45" s="1044"/>
      <c r="SQN45" s="1044"/>
      <c r="SQO45" s="1044"/>
      <c r="SQP45" s="1044"/>
      <c r="SQQ45" s="1044"/>
      <c r="SQR45" s="1044"/>
      <c r="SQS45" s="1044"/>
      <c r="SQT45" s="1044"/>
      <c r="SQU45" s="1044"/>
      <c r="SQV45" s="1044"/>
      <c r="SQW45" s="1044"/>
      <c r="SQX45" s="1044"/>
      <c r="SQY45" s="1044"/>
      <c r="SQZ45" s="1044"/>
      <c r="SRA45" s="1044"/>
      <c r="SRB45" s="1044"/>
      <c r="SRC45" s="1044"/>
      <c r="SRD45" s="1044"/>
      <c r="SRE45" s="1044"/>
      <c r="SRF45" s="1044"/>
      <c r="SRG45" s="1044"/>
      <c r="SRH45" s="1044"/>
      <c r="SRI45" s="1044"/>
      <c r="SRJ45" s="1044"/>
      <c r="SRK45" s="1044"/>
      <c r="SRL45" s="1044"/>
      <c r="SRM45" s="1044"/>
      <c r="SRN45" s="1044"/>
      <c r="SRO45" s="1044"/>
      <c r="SRP45" s="1044"/>
      <c r="SRQ45" s="1044"/>
      <c r="SRR45" s="1044"/>
      <c r="SRS45" s="1044"/>
      <c r="SRT45" s="1044"/>
      <c r="SRU45" s="1044"/>
      <c r="SRV45" s="1044"/>
      <c r="SRW45" s="1044"/>
      <c r="SRX45" s="1044"/>
      <c r="SRY45" s="1044"/>
      <c r="SRZ45" s="1044"/>
      <c r="SSA45" s="1044"/>
      <c r="SSB45" s="1044"/>
      <c r="SSC45" s="1044"/>
      <c r="SSD45" s="1044"/>
      <c r="SSE45" s="1044"/>
      <c r="SSF45" s="1044"/>
      <c r="SSG45" s="1044"/>
      <c r="SSH45" s="1044"/>
      <c r="SSI45" s="1044"/>
      <c r="SSJ45" s="1044"/>
      <c r="SSK45" s="1044"/>
      <c r="SSL45" s="1044"/>
      <c r="SSM45" s="1044"/>
      <c r="SSN45" s="1044"/>
      <c r="SSO45" s="1044"/>
      <c r="SSP45" s="1044"/>
      <c r="SSQ45" s="1044"/>
      <c r="SSR45" s="1044"/>
      <c r="SSS45" s="1044"/>
      <c r="SST45" s="1044"/>
      <c r="SSU45" s="1044"/>
      <c r="SSV45" s="1044"/>
      <c r="SSW45" s="1044"/>
      <c r="SSX45" s="1044"/>
      <c r="SSY45" s="1044"/>
      <c r="SSZ45" s="1044"/>
      <c r="STA45" s="1044"/>
      <c r="STB45" s="1044"/>
      <c r="STC45" s="1044"/>
      <c r="STD45" s="1044"/>
      <c r="STE45" s="1044"/>
      <c r="STF45" s="1044"/>
      <c r="STG45" s="1044"/>
      <c r="STH45" s="1044"/>
      <c r="STI45" s="1044"/>
      <c r="STJ45" s="1044"/>
      <c r="STK45" s="1044"/>
      <c r="STL45" s="1044"/>
      <c r="STM45" s="1044"/>
      <c r="STN45" s="1044"/>
      <c r="STO45" s="1044"/>
      <c r="STP45" s="1044"/>
      <c r="STQ45" s="1044"/>
      <c r="STR45" s="1044"/>
      <c r="STS45" s="1044"/>
      <c r="STT45" s="1044"/>
      <c r="STU45" s="1044"/>
      <c r="STV45" s="1044"/>
      <c r="STW45" s="1044"/>
      <c r="STX45" s="1044"/>
      <c r="STY45" s="1044"/>
      <c r="STZ45" s="1044"/>
      <c r="SUA45" s="1044"/>
      <c r="SUB45" s="1044"/>
      <c r="SUC45" s="1044"/>
      <c r="SUD45" s="1044"/>
      <c r="SUE45" s="1044"/>
      <c r="SUF45" s="1044"/>
      <c r="SUG45" s="1044"/>
      <c r="SUH45" s="1044"/>
      <c r="SUI45" s="1044"/>
      <c r="SUJ45" s="1044"/>
      <c r="SUK45" s="1044"/>
      <c r="SUL45" s="1044"/>
      <c r="SUM45" s="1044"/>
      <c r="SUN45" s="1044"/>
      <c r="SUO45" s="1044"/>
      <c r="SUP45" s="1044"/>
      <c r="SUQ45" s="1044"/>
      <c r="SUR45" s="1044"/>
      <c r="SUS45" s="1044"/>
      <c r="SUT45" s="1044"/>
      <c r="SUU45" s="1044"/>
      <c r="SUV45" s="1044"/>
      <c r="SUW45" s="1044"/>
      <c r="SUX45" s="1044"/>
      <c r="SUY45" s="1044"/>
      <c r="SUZ45" s="1044"/>
      <c r="SVA45" s="1044"/>
      <c r="SVB45" s="1044"/>
      <c r="SVC45" s="1044"/>
      <c r="SVD45" s="1044"/>
      <c r="SVE45" s="1044"/>
      <c r="SVF45" s="1044"/>
      <c r="SVG45" s="1044"/>
      <c r="SVH45" s="1044"/>
      <c r="SVI45" s="1044"/>
      <c r="SVJ45" s="1044"/>
      <c r="SVK45" s="1044"/>
      <c r="SVL45" s="1044"/>
      <c r="SVM45" s="1044"/>
      <c r="SVN45" s="1044"/>
      <c r="SVO45" s="1044"/>
      <c r="SVP45" s="1044"/>
      <c r="SVQ45" s="1044"/>
      <c r="SVR45" s="1044"/>
      <c r="SVS45" s="1044"/>
      <c r="SVT45" s="1044"/>
      <c r="SVU45" s="1044"/>
      <c r="SVV45" s="1044"/>
      <c r="SVW45" s="1044"/>
      <c r="SVX45" s="1044"/>
      <c r="SVY45" s="1044"/>
      <c r="SVZ45" s="1044"/>
      <c r="SWA45" s="1044"/>
      <c r="SWB45" s="1044"/>
      <c r="SWC45" s="1044"/>
      <c r="SWD45" s="1044"/>
      <c r="SWE45" s="1044"/>
      <c r="SWF45" s="1044"/>
      <c r="SWG45" s="1044"/>
      <c r="SWH45" s="1044"/>
      <c r="SWI45" s="1044"/>
      <c r="SWJ45" s="1044"/>
      <c r="SWK45" s="1044"/>
      <c r="SWL45" s="1044"/>
      <c r="SWM45" s="1044"/>
      <c r="SWN45" s="1044"/>
      <c r="SWO45" s="1044"/>
      <c r="SWP45" s="1044"/>
      <c r="SWQ45" s="1044"/>
      <c r="SWR45" s="1044"/>
      <c r="SWS45" s="1044"/>
      <c r="SWT45" s="1044"/>
      <c r="SWU45" s="1044"/>
      <c r="SWV45" s="1044"/>
      <c r="SWW45" s="1044"/>
      <c r="SWX45" s="1044"/>
      <c r="SWY45" s="1044"/>
      <c r="SWZ45" s="1044"/>
      <c r="SXA45" s="1044"/>
      <c r="SXB45" s="1044"/>
      <c r="SXC45" s="1044"/>
      <c r="SXD45" s="1044"/>
      <c r="SXE45" s="1044"/>
      <c r="SXF45" s="1044"/>
      <c r="SXG45" s="1044"/>
      <c r="SXH45" s="1044"/>
      <c r="SXI45" s="1044"/>
      <c r="SXJ45" s="1044"/>
      <c r="SXK45" s="1044"/>
      <c r="SXL45" s="1044"/>
      <c r="SXM45" s="1044"/>
      <c r="SXN45" s="1044"/>
      <c r="SXO45" s="1044"/>
      <c r="SXP45" s="1044"/>
      <c r="SXQ45" s="1044"/>
      <c r="SXR45" s="1044"/>
      <c r="SXS45" s="1044"/>
      <c r="SXT45" s="1044"/>
      <c r="SXU45" s="1044"/>
      <c r="SXV45" s="1044"/>
      <c r="SXW45" s="1044"/>
      <c r="SXX45" s="1044"/>
      <c r="SXY45" s="1044"/>
      <c r="SXZ45" s="1044"/>
      <c r="SYA45" s="1044"/>
      <c r="SYB45" s="1044"/>
      <c r="SYC45" s="1044"/>
      <c r="SYD45" s="1044"/>
      <c r="SYE45" s="1044"/>
      <c r="SYF45" s="1044"/>
      <c r="SYG45" s="1044"/>
      <c r="SYH45" s="1044"/>
      <c r="SYI45" s="1044"/>
      <c r="SYJ45" s="1044"/>
      <c r="SYK45" s="1044"/>
      <c r="SYL45" s="1044"/>
      <c r="SYM45" s="1044"/>
      <c r="SYN45" s="1044"/>
      <c r="SYO45" s="1044"/>
      <c r="SYP45" s="1044"/>
      <c r="SYQ45" s="1044"/>
      <c r="SYR45" s="1044"/>
      <c r="SYS45" s="1044"/>
      <c r="SYT45" s="1044"/>
      <c r="SYU45" s="1044"/>
      <c r="SYV45" s="1044"/>
      <c r="SYW45" s="1044"/>
      <c r="SYX45" s="1044"/>
      <c r="SYY45" s="1044"/>
      <c r="SYZ45" s="1044"/>
      <c r="SZA45" s="1044"/>
      <c r="SZB45" s="1044"/>
      <c r="SZC45" s="1044"/>
      <c r="SZD45" s="1044"/>
      <c r="SZE45" s="1044"/>
      <c r="SZF45" s="1044"/>
      <c r="SZG45" s="1044"/>
      <c r="SZH45" s="1044"/>
      <c r="SZI45" s="1044"/>
      <c r="SZJ45" s="1044"/>
      <c r="SZK45" s="1044"/>
      <c r="SZL45" s="1044"/>
      <c r="SZM45" s="1044"/>
      <c r="SZN45" s="1044"/>
      <c r="SZO45" s="1044"/>
      <c r="SZP45" s="1044"/>
      <c r="SZQ45" s="1044"/>
      <c r="SZR45" s="1044"/>
      <c r="SZS45" s="1044"/>
      <c r="SZT45" s="1044"/>
      <c r="SZU45" s="1044"/>
      <c r="SZV45" s="1044"/>
      <c r="SZW45" s="1044"/>
      <c r="SZX45" s="1044"/>
      <c r="SZY45" s="1044"/>
      <c r="SZZ45" s="1044"/>
      <c r="TAA45" s="1044"/>
      <c r="TAB45" s="1044"/>
      <c r="TAC45" s="1044"/>
      <c r="TAD45" s="1044"/>
      <c r="TAE45" s="1044"/>
      <c r="TAF45" s="1044"/>
      <c r="TAG45" s="1044"/>
      <c r="TAH45" s="1044"/>
      <c r="TAI45" s="1044"/>
      <c r="TAJ45" s="1044"/>
      <c r="TAK45" s="1044"/>
      <c r="TAL45" s="1044"/>
      <c r="TAM45" s="1044"/>
      <c r="TAN45" s="1044"/>
      <c r="TAO45" s="1044"/>
      <c r="TAP45" s="1044"/>
      <c r="TAQ45" s="1044"/>
      <c r="TAR45" s="1044"/>
      <c r="TAS45" s="1044"/>
      <c r="TAT45" s="1044"/>
      <c r="TAU45" s="1044"/>
      <c r="TAV45" s="1044"/>
      <c r="TAW45" s="1044"/>
      <c r="TAX45" s="1044"/>
      <c r="TAY45" s="1044"/>
      <c r="TAZ45" s="1044"/>
      <c r="TBA45" s="1044"/>
      <c r="TBB45" s="1044"/>
      <c r="TBC45" s="1044"/>
      <c r="TBD45" s="1044"/>
      <c r="TBE45" s="1044"/>
      <c r="TBF45" s="1044"/>
      <c r="TBG45" s="1044"/>
      <c r="TBH45" s="1044"/>
      <c r="TBI45" s="1044"/>
      <c r="TBJ45" s="1044"/>
      <c r="TBK45" s="1044"/>
      <c r="TBL45" s="1044"/>
      <c r="TBM45" s="1044"/>
      <c r="TBN45" s="1044"/>
      <c r="TBO45" s="1044"/>
      <c r="TBP45" s="1044"/>
      <c r="TBQ45" s="1044"/>
      <c r="TBR45" s="1044"/>
      <c r="TBS45" s="1044"/>
      <c r="TBT45" s="1044"/>
      <c r="TBU45" s="1044"/>
      <c r="TBV45" s="1044"/>
      <c r="TBW45" s="1044"/>
      <c r="TBX45" s="1044"/>
      <c r="TBY45" s="1044"/>
      <c r="TBZ45" s="1044"/>
      <c r="TCA45" s="1044"/>
      <c r="TCB45" s="1044"/>
      <c r="TCC45" s="1044"/>
      <c r="TCD45" s="1044"/>
      <c r="TCE45" s="1044"/>
      <c r="TCF45" s="1044"/>
      <c r="TCG45" s="1044"/>
      <c r="TCH45" s="1044"/>
      <c r="TCI45" s="1044"/>
      <c r="TCJ45" s="1044"/>
      <c r="TCK45" s="1044"/>
      <c r="TCL45" s="1044"/>
      <c r="TCM45" s="1044"/>
      <c r="TCN45" s="1044"/>
      <c r="TCO45" s="1044"/>
      <c r="TCP45" s="1044"/>
      <c r="TCQ45" s="1044"/>
      <c r="TCR45" s="1044"/>
      <c r="TCS45" s="1044"/>
      <c r="TCT45" s="1044"/>
      <c r="TCU45" s="1044"/>
      <c r="TCV45" s="1044"/>
      <c r="TCW45" s="1044"/>
      <c r="TCX45" s="1044"/>
      <c r="TCY45" s="1044"/>
      <c r="TCZ45" s="1044"/>
      <c r="TDA45" s="1044"/>
      <c r="TDB45" s="1044"/>
      <c r="TDC45" s="1044"/>
      <c r="TDD45" s="1044"/>
      <c r="TDE45" s="1044"/>
      <c r="TDF45" s="1044"/>
      <c r="TDG45" s="1044"/>
      <c r="TDH45" s="1044"/>
      <c r="TDI45" s="1044"/>
      <c r="TDJ45" s="1044"/>
      <c r="TDK45" s="1044"/>
      <c r="TDL45" s="1044"/>
      <c r="TDM45" s="1044"/>
      <c r="TDN45" s="1044"/>
      <c r="TDO45" s="1044"/>
      <c r="TDP45" s="1044"/>
      <c r="TDQ45" s="1044"/>
      <c r="TDR45" s="1044"/>
      <c r="TDS45" s="1044"/>
      <c r="TDT45" s="1044"/>
      <c r="TDU45" s="1044"/>
      <c r="TDV45" s="1044"/>
      <c r="TDW45" s="1044"/>
      <c r="TDX45" s="1044"/>
      <c r="TDY45" s="1044"/>
      <c r="TDZ45" s="1044"/>
      <c r="TEA45" s="1044"/>
      <c r="TEB45" s="1044"/>
      <c r="TEC45" s="1044"/>
      <c r="TED45" s="1044"/>
      <c r="TEE45" s="1044"/>
      <c r="TEF45" s="1044"/>
      <c r="TEG45" s="1044"/>
      <c r="TEH45" s="1044"/>
      <c r="TEI45" s="1044"/>
      <c r="TEJ45" s="1044"/>
      <c r="TEK45" s="1044"/>
      <c r="TEL45" s="1044"/>
      <c r="TEM45" s="1044"/>
      <c r="TEN45" s="1044"/>
      <c r="TEO45" s="1044"/>
      <c r="TEP45" s="1044"/>
      <c r="TEQ45" s="1044"/>
      <c r="TER45" s="1044"/>
      <c r="TES45" s="1044"/>
      <c r="TET45" s="1044"/>
      <c r="TEU45" s="1044"/>
      <c r="TEV45" s="1044"/>
      <c r="TEW45" s="1044"/>
      <c r="TEX45" s="1044"/>
      <c r="TEY45" s="1044"/>
      <c r="TEZ45" s="1044"/>
      <c r="TFA45" s="1044"/>
      <c r="TFB45" s="1044"/>
      <c r="TFC45" s="1044"/>
      <c r="TFD45" s="1044"/>
      <c r="TFE45" s="1044"/>
      <c r="TFF45" s="1044"/>
      <c r="TFG45" s="1044"/>
      <c r="TFH45" s="1044"/>
      <c r="TFI45" s="1044"/>
      <c r="TFJ45" s="1044"/>
      <c r="TFK45" s="1044"/>
      <c r="TFL45" s="1044"/>
      <c r="TFM45" s="1044"/>
      <c r="TFN45" s="1044"/>
      <c r="TFO45" s="1044"/>
      <c r="TFP45" s="1044"/>
      <c r="TFQ45" s="1044"/>
      <c r="TFR45" s="1044"/>
      <c r="TFS45" s="1044"/>
      <c r="TFT45" s="1044"/>
      <c r="TFU45" s="1044"/>
      <c r="TFV45" s="1044"/>
      <c r="TFW45" s="1044"/>
      <c r="TFX45" s="1044"/>
      <c r="TFY45" s="1044"/>
      <c r="TFZ45" s="1044"/>
      <c r="TGA45" s="1044"/>
      <c r="TGB45" s="1044"/>
      <c r="TGC45" s="1044"/>
      <c r="TGD45" s="1044"/>
      <c r="TGE45" s="1044"/>
      <c r="TGF45" s="1044"/>
      <c r="TGG45" s="1044"/>
      <c r="TGH45" s="1044"/>
      <c r="TGI45" s="1044"/>
      <c r="TGJ45" s="1044"/>
      <c r="TGK45" s="1044"/>
      <c r="TGL45" s="1044"/>
      <c r="TGM45" s="1044"/>
      <c r="TGN45" s="1044"/>
      <c r="TGO45" s="1044"/>
      <c r="TGP45" s="1044"/>
      <c r="TGQ45" s="1044"/>
      <c r="TGR45" s="1044"/>
      <c r="TGS45" s="1044"/>
      <c r="TGT45" s="1044"/>
      <c r="TGU45" s="1044"/>
      <c r="TGV45" s="1044"/>
      <c r="TGW45" s="1044"/>
      <c r="TGX45" s="1044"/>
      <c r="TGY45" s="1044"/>
      <c r="TGZ45" s="1044"/>
      <c r="THA45" s="1044"/>
      <c r="THB45" s="1044"/>
      <c r="THC45" s="1044"/>
      <c r="THD45" s="1044"/>
      <c r="THE45" s="1044"/>
      <c r="THF45" s="1044"/>
      <c r="THG45" s="1044"/>
      <c r="THH45" s="1044"/>
      <c r="THI45" s="1044"/>
      <c r="THJ45" s="1044"/>
      <c r="THK45" s="1044"/>
      <c r="THL45" s="1044"/>
      <c r="THM45" s="1044"/>
      <c r="THN45" s="1044"/>
      <c r="THO45" s="1044"/>
      <c r="THP45" s="1044"/>
      <c r="THQ45" s="1044"/>
      <c r="THR45" s="1044"/>
      <c r="THS45" s="1044"/>
      <c r="THT45" s="1044"/>
      <c r="THU45" s="1044"/>
      <c r="THV45" s="1044"/>
      <c r="THW45" s="1044"/>
      <c r="THX45" s="1044"/>
      <c r="THY45" s="1044"/>
      <c r="THZ45" s="1044"/>
      <c r="TIA45" s="1044"/>
      <c r="TIB45" s="1044"/>
      <c r="TIC45" s="1044"/>
      <c r="TID45" s="1044"/>
      <c r="TIE45" s="1044"/>
      <c r="TIF45" s="1044"/>
      <c r="TIG45" s="1044"/>
      <c r="TIH45" s="1044"/>
      <c r="TII45" s="1044"/>
      <c r="TIJ45" s="1044"/>
      <c r="TIK45" s="1044"/>
      <c r="TIL45" s="1044"/>
      <c r="TIM45" s="1044"/>
      <c r="TIN45" s="1044"/>
      <c r="TIO45" s="1044"/>
      <c r="TIP45" s="1044"/>
      <c r="TIQ45" s="1044"/>
      <c r="TIR45" s="1044"/>
      <c r="TIS45" s="1044"/>
      <c r="TIT45" s="1044"/>
      <c r="TIU45" s="1044"/>
      <c r="TIV45" s="1044"/>
      <c r="TIW45" s="1044"/>
      <c r="TIX45" s="1044"/>
      <c r="TIY45" s="1044"/>
      <c r="TIZ45" s="1044"/>
      <c r="TJA45" s="1044"/>
      <c r="TJB45" s="1044"/>
      <c r="TJC45" s="1044"/>
      <c r="TJD45" s="1044"/>
      <c r="TJE45" s="1044"/>
      <c r="TJF45" s="1044"/>
      <c r="TJG45" s="1044"/>
      <c r="TJH45" s="1044"/>
      <c r="TJI45" s="1044"/>
      <c r="TJJ45" s="1044"/>
      <c r="TJK45" s="1044"/>
      <c r="TJL45" s="1044"/>
      <c r="TJM45" s="1044"/>
      <c r="TJN45" s="1044"/>
      <c r="TJO45" s="1044"/>
      <c r="TJP45" s="1044"/>
      <c r="TJQ45" s="1044"/>
      <c r="TJR45" s="1044"/>
      <c r="TJS45" s="1044"/>
      <c r="TJT45" s="1044"/>
      <c r="TJU45" s="1044"/>
      <c r="TJV45" s="1044"/>
      <c r="TJW45" s="1044"/>
      <c r="TJX45" s="1044"/>
      <c r="TJY45" s="1044"/>
      <c r="TJZ45" s="1044"/>
      <c r="TKA45" s="1044"/>
      <c r="TKB45" s="1044"/>
      <c r="TKC45" s="1044"/>
      <c r="TKD45" s="1044"/>
      <c r="TKE45" s="1044"/>
      <c r="TKF45" s="1044"/>
      <c r="TKG45" s="1044"/>
      <c r="TKH45" s="1044"/>
      <c r="TKI45" s="1044"/>
      <c r="TKJ45" s="1044"/>
      <c r="TKK45" s="1044"/>
      <c r="TKL45" s="1044"/>
      <c r="TKM45" s="1044"/>
      <c r="TKN45" s="1044"/>
      <c r="TKO45" s="1044"/>
      <c r="TKP45" s="1044"/>
      <c r="TKQ45" s="1044"/>
      <c r="TKR45" s="1044"/>
      <c r="TKS45" s="1044"/>
      <c r="TKT45" s="1044"/>
      <c r="TKU45" s="1044"/>
      <c r="TKV45" s="1044"/>
      <c r="TKW45" s="1044"/>
      <c r="TKX45" s="1044"/>
      <c r="TKY45" s="1044"/>
      <c r="TKZ45" s="1044"/>
      <c r="TLA45" s="1044"/>
      <c r="TLB45" s="1044"/>
      <c r="TLC45" s="1044"/>
      <c r="TLD45" s="1044"/>
      <c r="TLE45" s="1044"/>
      <c r="TLF45" s="1044"/>
      <c r="TLG45" s="1044"/>
      <c r="TLH45" s="1044"/>
      <c r="TLI45" s="1044"/>
      <c r="TLJ45" s="1044"/>
      <c r="TLK45" s="1044"/>
      <c r="TLL45" s="1044"/>
      <c r="TLM45" s="1044"/>
      <c r="TLN45" s="1044"/>
      <c r="TLO45" s="1044"/>
      <c r="TLP45" s="1044"/>
      <c r="TLQ45" s="1044"/>
      <c r="TLR45" s="1044"/>
      <c r="TLS45" s="1044"/>
      <c r="TLT45" s="1044"/>
      <c r="TLU45" s="1044"/>
      <c r="TLV45" s="1044"/>
      <c r="TLW45" s="1044"/>
      <c r="TLX45" s="1044"/>
      <c r="TLY45" s="1044"/>
      <c r="TLZ45" s="1044"/>
      <c r="TMA45" s="1044"/>
      <c r="TMB45" s="1044"/>
      <c r="TMC45" s="1044"/>
      <c r="TMD45" s="1044"/>
      <c r="TME45" s="1044"/>
      <c r="TMF45" s="1044"/>
      <c r="TMG45" s="1044"/>
      <c r="TMH45" s="1044"/>
      <c r="TMI45" s="1044"/>
      <c r="TMJ45" s="1044"/>
      <c r="TMK45" s="1044"/>
      <c r="TML45" s="1044"/>
      <c r="TMM45" s="1044"/>
      <c r="TMN45" s="1044"/>
      <c r="TMO45" s="1044"/>
      <c r="TMP45" s="1044"/>
      <c r="TMQ45" s="1044"/>
      <c r="TMR45" s="1044"/>
      <c r="TMS45" s="1044"/>
      <c r="TMT45" s="1044"/>
      <c r="TMU45" s="1044"/>
      <c r="TMV45" s="1044"/>
      <c r="TMW45" s="1044"/>
      <c r="TMX45" s="1044"/>
      <c r="TMY45" s="1044"/>
      <c r="TMZ45" s="1044"/>
      <c r="TNA45" s="1044"/>
      <c r="TNB45" s="1044"/>
      <c r="TNC45" s="1044"/>
      <c r="TND45" s="1044"/>
      <c r="TNE45" s="1044"/>
      <c r="TNF45" s="1044"/>
      <c r="TNG45" s="1044"/>
      <c r="TNH45" s="1044"/>
      <c r="TNI45" s="1044"/>
      <c r="TNJ45" s="1044"/>
      <c r="TNK45" s="1044"/>
      <c r="TNL45" s="1044"/>
      <c r="TNM45" s="1044"/>
      <c r="TNN45" s="1044"/>
      <c r="TNO45" s="1044"/>
      <c r="TNP45" s="1044"/>
      <c r="TNQ45" s="1044"/>
      <c r="TNR45" s="1044"/>
      <c r="TNS45" s="1044"/>
      <c r="TNT45" s="1044"/>
      <c r="TNU45" s="1044"/>
      <c r="TNV45" s="1044"/>
      <c r="TNW45" s="1044"/>
      <c r="TNX45" s="1044"/>
      <c r="TNY45" s="1044"/>
      <c r="TNZ45" s="1044"/>
      <c r="TOA45" s="1044"/>
      <c r="TOB45" s="1044"/>
      <c r="TOC45" s="1044"/>
      <c r="TOD45" s="1044"/>
      <c r="TOE45" s="1044"/>
      <c r="TOF45" s="1044"/>
      <c r="TOG45" s="1044"/>
      <c r="TOH45" s="1044"/>
      <c r="TOI45" s="1044"/>
      <c r="TOJ45" s="1044"/>
      <c r="TOK45" s="1044"/>
      <c r="TOL45" s="1044"/>
      <c r="TOM45" s="1044"/>
      <c r="TON45" s="1044"/>
      <c r="TOO45" s="1044"/>
      <c r="TOP45" s="1044"/>
      <c r="TOQ45" s="1044"/>
      <c r="TOR45" s="1044"/>
      <c r="TOS45" s="1044"/>
      <c r="TOT45" s="1044"/>
      <c r="TOU45" s="1044"/>
      <c r="TOV45" s="1044"/>
      <c r="TOW45" s="1044"/>
      <c r="TOX45" s="1044"/>
      <c r="TOY45" s="1044"/>
      <c r="TOZ45" s="1044"/>
      <c r="TPA45" s="1044"/>
      <c r="TPB45" s="1044"/>
      <c r="TPC45" s="1044"/>
      <c r="TPD45" s="1044"/>
      <c r="TPE45" s="1044"/>
      <c r="TPF45" s="1044"/>
      <c r="TPG45" s="1044"/>
      <c r="TPH45" s="1044"/>
      <c r="TPI45" s="1044"/>
      <c r="TPJ45" s="1044"/>
      <c r="TPK45" s="1044"/>
      <c r="TPL45" s="1044"/>
      <c r="TPM45" s="1044"/>
      <c r="TPN45" s="1044"/>
      <c r="TPO45" s="1044"/>
      <c r="TPP45" s="1044"/>
      <c r="TPQ45" s="1044"/>
      <c r="TPR45" s="1044"/>
      <c r="TPS45" s="1044"/>
      <c r="TPT45" s="1044"/>
      <c r="TPU45" s="1044"/>
      <c r="TPV45" s="1044"/>
      <c r="TPW45" s="1044"/>
      <c r="TPX45" s="1044"/>
      <c r="TPY45" s="1044"/>
      <c r="TPZ45" s="1044"/>
      <c r="TQA45" s="1044"/>
      <c r="TQB45" s="1044"/>
      <c r="TQC45" s="1044"/>
      <c r="TQD45" s="1044"/>
      <c r="TQE45" s="1044"/>
      <c r="TQF45" s="1044"/>
      <c r="TQG45" s="1044"/>
      <c r="TQH45" s="1044"/>
      <c r="TQI45" s="1044"/>
      <c r="TQJ45" s="1044"/>
      <c r="TQK45" s="1044"/>
      <c r="TQL45" s="1044"/>
      <c r="TQM45" s="1044"/>
      <c r="TQN45" s="1044"/>
      <c r="TQO45" s="1044"/>
      <c r="TQP45" s="1044"/>
      <c r="TQQ45" s="1044"/>
      <c r="TQR45" s="1044"/>
      <c r="TQS45" s="1044"/>
      <c r="TQT45" s="1044"/>
      <c r="TQU45" s="1044"/>
      <c r="TQV45" s="1044"/>
      <c r="TQW45" s="1044"/>
      <c r="TQX45" s="1044"/>
      <c r="TQY45" s="1044"/>
      <c r="TQZ45" s="1044"/>
      <c r="TRA45" s="1044"/>
      <c r="TRB45" s="1044"/>
      <c r="TRC45" s="1044"/>
      <c r="TRD45" s="1044"/>
      <c r="TRE45" s="1044"/>
      <c r="TRF45" s="1044"/>
      <c r="TRG45" s="1044"/>
      <c r="TRH45" s="1044"/>
      <c r="TRI45" s="1044"/>
      <c r="TRJ45" s="1044"/>
      <c r="TRK45" s="1044"/>
      <c r="TRL45" s="1044"/>
      <c r="TRM45" s="1044"/>
      <c r="TRN45" s="1044"/>
      <c r="TRO45" s="1044"/>
      <c r="TRP45" s="1044"/>
      <c r="TRQ45" s="1044"/>
      <c r="TRR45" s="1044"/>
      <c r="TRS45" s="1044"/>
      <c r="TRT45" s="1044"/>
      <c r="TRU45" s="1044"/>
      <c r="TRV45" s="1044"/>
      <c r="TRW45" s="1044"/>
      <c r="TRX45" s="1044"/>
      <c r="TRY45" s="1044"/>
      <c r="TRZ45" s="1044"/>
      <c r="TSA45" s="1044"/>
      <c r="TSB45" s="1044"/>
      <c r="TSC45" s="1044"/>
      <c r="TSD45" s="1044"/>
      <c r="TSE45" s="1044"/>
      <c r="TSF45" s="1044"/>
      <c r="TSG45" s="1044"/>
      <c r="TSH45" s="1044"/>
      <c r="TSI45" s="1044"/>
      <c r="TSJ45" s="1044"/>
      <c r="TSK45" s="1044"/>
      <c r="TSL45" s="1044"/>
      <c r="TSM45" s="1044"/>
      <c r="TSN45" s="1044"/>
      <c r="TSO45" s="1044"/>
      <c r="TSP45" s="1044"/>
      <c r="TSQ45" s="1044"/>
      <c r="TSR45" s="1044"/>
      <c r="TSS45" s="1044"/>
      <c r="TST45" s="1044"/>
      <c r="TSU45" s="1044"/>
      <c r="TSV45" s="1044"/>
      <c r="TSW45" s="1044"/>
      <c r="TSX45" s="1044"/>
      <c r="TSY45" s="1044"/>
      <c r="TSZ45" s="1044"/>
      <c r="TTA45" s="1044"/>
      <c r="TTB45" s="1044"/>
      <c r="TTC45" s="1044"/>
      <c r="TTD45" s="1044"/>
      <c r="TTE45" s="1044"/>
      <c r="TTF45" s="1044"/>
      <c r="TTG45" s="1044"/>
      <c r="TTH45" s="1044"/>
      <c r="TTI45" s="1044"/>
      <c r="TTJ45" s="1044"/>
      <c r="TTK45" s="1044"/>
      <c r="TTL45" s="1044"/>
      <c r="TTM45" s="1044"/>
      <c r="TTN45" s="1044"/>
      <c r="TTO45" s="1044"/>
      <c r="TTP45" s="1044"/>
      <c r="TTQ45" s="1044"/>
      <c r="TTR45" s="1044"/>
      <c r="TTS45" s="1044"/>
      <c r="TTT45" s="1044"/>
      <c r="TTU45" s="1044"/>
      <c r="TTV45" s="1044"/>
      <c r="TTW45" s="1044"/>
      <c r="TTX45" s="1044"/>
      <c r="TTY45" s="1044"/>
      <c r="TTZ45" s="1044"/>
      <c r="TUA45" s="1044"/>
      <c r="TUB45" s="1044"/>
      <c r="TUC45" s="1044"/>
      <c r="TUD45" s="1044"/>
      <c r="TUE45" s="1044"/>
      <c r="TUF45" s="1044"/>
      <c r="TUG45" s="1044"/>
      <c r="TUH45" s="1044"/>
      <c r="TUI45" s="1044"/>
      <c r="TUJ45" s="1044"/>
      <c r="TUK45" s="1044"/>
      <c r="TUL45" s="1044"/>
      <c r="TUM45" s="1044"/>
      <c r="TUN45" s="1044"/>
      <c r="TUO45" s="1044"/>
      <c r="TUP45" s="1044"/>
      <c r="TUQ45" s="1044"/>
      <c r="TUR45" s="1044"/>
      <c r="TUS45" s="1044"/>
      <c r="TUT45" s="1044"/>
      <c r="TUU45" s="1044"/>
      <c r="TUV45" s="1044"/>
      <c r="TUW45" s="1044"/>
      <c r="TUX45" s="1044"/>
      <c r="TUY45" s="1044"/>
      <c r="TUZ45" s="1044"/>
      <c r="TVA45" s="1044"/>
      <c r="TVB45" s="1044"/>
      <c r="TVC45" s="1044"/>
      <c r="TVD45" s="1044"/>
      <c r="TVE45" s="1044"/>
      <c r="TVF45" s="1044"/>
      <c r="TVG45" s="1044"/>
      <c r="TVH45" s="1044"/>
      <c r="TVI45" s="1044"/>
      <c r="TVJ45" s="1044"/>
      <c r="TVK45" s="1044"/>
      <c r="TVL45" s="1044"/>
      <c r="TVM45" s="1044"/>
      <c r="TVN45" s="1044"/>
      <c r="TVO45" s="1044"/>
      <c r="TVP45" s="1044"/>
      <c r="TVQ45" s="1044"/>
      <c r="TVR45" s="1044"/>
      <c r="TVS45" s="1044"/>
      <c r="TVT45" s="1044"/>
      <c r="TVU45" s="1044"/>
      <c r="TVV45" s="1044"/>
      <c r="TVW45" s="1044"/>
      <c r="TVX45" s="1044"/>
      <c r="TVY45" s="1044"/>
      <c r="TVZ45" s="1044"/>
      <c r="TWA45" s="1044"/>
      <c r="TWB45" s="1044"/>
      <c r="TWC45" s="1044"/>
      <c r="TWD45" s="1044"/>
      <c r="TWE45" s="1044"/>
      <c r="TWF45" s="1044"/>
      <c r="TWG45" s="1044"/>
      <c r="TWH45" s="1044"/>
      <c r="TWI45" s="1044"/>
      <c r="TWJ45" s="1044"/>
      <c r="TWK45" s="1044"/>
      <c r="TWL45" s="1044"/>
      <c r="TWM45" s="1044"/>
      <c r="TWN45" s="1044"/>
      <c r="TWO45" s="1044"/>
      <c r="TWP45" s="1044"/>
      <c r="TWQ45" s="1044"/>
      <c r="TWR45" s="1044"/>
      <c r="TWS45" s="1044"/>
      <c r="TWT45" s="1044"/>
      <c r="TWU45" s="1044"/>
      <c r="TWV45" s="1044"/>
      <c r="TWW45" s="1044"/>
      <c r="TWX45" s="1044"/>
      <c r="TWY45" s="1044"/>
      <c r="TWZ45" s="1044"/>
      <c r="TXA45" s="1044"/>
      <c r="TXB45" s="1044"/>
      <c r="TXC45" s="1044"/>
      <c r="TXD45" s="1044"/>
      <c r="TXE45" s="1044"/>
      <c r="TXF45" s="1044"/>
      <c r="TXG45" s="1044"/>
      <c r="TXH45" s="1044"/>
      <c r="TXI45" s="1044"/>
      <c r="TXJ45" s="1044"/>
      <c r="TXK45" s="1044"/>
      <c r="TXL45" s="1044"/>
      <c r="TXM45" s="1044"/>
      <c r="TXN45" s="1044"/>
      <c r="TXO45" s="1044"/>
      <c r="TXP45" s="1044"/>
      <c r="TXQ45" s="1044"/>
      <c r="TXR45" s="1044"/>
      <c r="TXS45" s="1044"/>
      <c r="TXT45" s="1044"/>
      <c r="TXU45" s="1044"/>
      <c r="TXV45" s="1044"/>
      <c r="TXW45" s="1044"/>
      <c r="TXX45" s="1044"/>
      <c r="TXY45" s="1044"/>
      <c r="TXZ45" s="1044"/>
      <c r="TYA45" s="1044"/>
      <c r="TYB45" s="1044"/>
      <c r="TYC45" s="1044"/>
      <c r="TYD45" s="1044"/>
      <c r="TYE45" s="1044"/>
      <c r="TYF45" s="1044"/>
      <c r="TYG45" s="1044"/>
      <c r="TYH45" s="1044"/>
      <c r="TYI45" s="1044"/>
      <c r="TYJ45" s="1044"/>
      <c r="TYK45" s="1044"/>
      <c r="TYL45" s="1044"/>
      <c r="TYM45" s="1044"/>
      <c r="TYN45" s="1044"/>
      <c r="TYO45" s="1044"/>
      <c r="TYP45" s="1044"/>
      <c r="TYQ45" s="1044"/>
      <c r="TYR45" s="1044"/>
      <c r="TYS45" s="1044"/>
      <c r="TYT45" s="1044"/>
      <c r="TYU45" s="1044"/>
      <c r="TYV45" s="1044"/>
      <c r="TYW45" s="1044"/>
      <c r="TYX45" s="1044"/>
      <c r="TYY45" s="1044"/>
      <c r="TYZ45" s="1044"/>
      <c r="TZA45" s="1044"/>
      <c r="TZB45" s="1044"/>
      <c r="TZC45" s="1044"/>
      <c r="TZD45" s="1044"/>
      <c r="TZE45" s="1044"/>
      <c r="TZF45" s="1044"/>
      <c r="TZG45" s="1044"/>
      <c r="TZH45" s="1044"/>
      <c r="TZI45" s="1044"/>
      <c r="TZJ45" s="1044"/>
      <c r="TZK45" s="1044"/>
      <c r="TZL45" s="1044"/>
      <c r="TZM45" s="1044"/>
      <c r="TZN45" s="1044"/>
      <c r="TZO45" s="1044"/>
      <c r="TZP45" s="1044"/>
      <c r="TZQ45" s="1044"/>
      <c r="TZR45" s="1044"/>
      <c r="TZS45" s="1044"/>
      <c r="TZT45" s="1044"/>
      <c r="TZU45" s="1044"/>
      <c r="TZV45" s="1044"/>
      <c r="TZW45" s="1044"/>
      <c r="TZX45" s="1044"/>
      <c r="TZY45" s="1044"/>
      <c r="TZZ45" s="1044"/>
      <c r="UAA45" s="1044"/>
      <c r="UAB45" s="1044"/>
      <c r="UAC45" s="1044"/>
      <c r="UAD45" s="1044"/>
      <c r="UAE45" s="1044"/>
      <c r="UAF45" s="1044"/>
      <c r="UAG45" s="1044"/>
      <c r="UAH45" s="1044"/>
      <c r="UAI45" s="1044"/>
      <c r="UAJ45" s="1044"/>
      <c r="UAK45" s="1044"/>
      <c r="UAL45" s="1044"/>
      <c r="UAM45" s="1044"/>
      <c r="UAN45" s="1044"/>
      <c r="UAO45" s="1044"/>
      <c r="UAP45" s="1044"/>
      <c r="UAQ45" s="1044"/>
      <c r="UAR45" s="1044"/>
      <c r="UAS45" s="1044"/>
      <c r="UAT45" s="1044"/>
      <c r="UAU45" s="1044"/>
      <c r="UAV45" s="1044"/>
      <c r="UAW45" s="1044"/>
      <c r="UAX45" s="1044"/>
      <c r="UAY45" s="1044"/>
      <c r="UAZ45" s="1044"/>
      <c r="UBA45" s="1044"/>
      <c r="UBB45" s="1044"/>
      <c r="UBC45" s="1044"/>
      <c r="UBD45" s="1044"/>
      <c r="UBE45" s="1044"/>
      <c r="UBF45" s="1044"/>
      <c r="UBG45" s="1044"/>
      <c r="UBH45" s="1044"/>
      <c r="UBI45" s="1044"/>
      <c r="UBJ45" s="1044"/>
      <c r="UBK45" s="1044"/>
      <c r="UBL45" s="1044"/>
      <c r="UBM45" s="1044"/>
      <c r="UBN45" s="1044"/>
      <c r="UBO45" s="1044"/>
      <c r="UBP45" s="1044"/>
      <c r="UBQ45" s="1044"/>
      <c r="UBR45" s="1044"/>
      <c r="UBS45" s="1044"/>
      <c r="UBT45" s="1044"/>
      <c r="UBU45" s="1044"/>
      <c r="UBV45" s="1044"/>
      <c r="UBW45" s="1044"/>
      <c r="UBX45" s="1044"/>
      <c r="UBY45" s="1044"/>
      <c r="UBZ45" s="1044"/>
      <c r="UCA45" s="1044"/>
      <c r="UCB45" s="1044"/>
      <c r="UCC45" s="1044"/>
      <c r="UCD45" s="1044"/>
      <c r="UCE45" s="1044"/>
      <c r="UCF45" s="1044"/>
      <c r="UCG45" s="1044"/>
      <c r="UCH45" s="1044"/>
      <c r="UCI45" s="1044"/>
      <c r="UCJ45" s="1044"/>
      <c r="UCK45" s="1044"/>
      <c r="UCL45" s="1044"/>
      <c r="UCM45" s="1044"/>
      <c r="UCN45" s="1044"/>
      <c r="UCO45" s="1044"/>
      <c r="UCP45" s="1044"/>
      <c r="UCQ45" s="1044"/>
      <c r="UCR45" s="1044"/>
      <c r="UCS45" s="1044"/>
      <c r="UCT45" s="1044"/>
      <c r="UCU45" s="1044"/>
      <c r="UCV45" s="1044"/>
      <c r="UCW45" s="1044"/>
      <c r="UCX45" s="1044"/>
      <c r="UCY45" s="1044"/>
      <c r="UCZ45" s="1044"/>
      <c r="UDA45" s="1044"/>
      <c r="UDB45" s="1044"/>
      <c r="UDC45" s="1044"/>
      <c r="UDD45" s="1044"/>
      <c r="UDE45" s="1044"/>
      <c r="UDF45" s="1044"/>
      <c r="UDG45" s="1044"/>
      <c r="UDH45" s="1044"/>
      <c r="UDI45" s="1044"/>
      <c r="UDJ45" s="1044"/>
      <c r="UDK45" s="1044"/>
      <c r="UDL45" s="1044"/>
      <c r="UDM45" s="1044"/>
      <c r="UDN45" s="1044"/>
      <c r="UDO45" s="1044"/>
      <c r="UDP45" s="1044"/>
      <c r="UDQ45" s="1044"/>
      <c r="UDR45" s="1044"/>
      <c r="UDS45" s="1044"/>
      <c r="UDT45" s="1044"/>
      <c r="UDU45" s="1044"/>
      <c r="UDV45" s="1044"/>
      <c r="UDW45" s="1044"/>
      <c r="UDX45" s="1044"/>
      <c r="UDY45" s="1044"/>
      <c r="UDZ45" s="1044"/>
      <c r="UEA45" s="1044"/>
      <c r="UEB45" s="1044"/>
      <c r="UEC45" s="1044"/>
      <c r="UED45" s="1044"/>
      <c r="UEE45" s="1044"/>
      <c r="UEF45" s="1044"/>
      <c r="UEG45" s="1044"/>
      <c r="UEH45" s="1044"/>
      <c r="UEI45" s="1044"/>
      <c r="UEJ45" s="1044"/>
      <c r="UEK45" s="1044"/>
      <c r="UEL45" s="1044"/>
      <c r="UEM45" s="1044"/>
      <c r="UEN45" s="1044"/>
      <c r="UEO45" s="1044"/>
      <c r="UEP45" s="1044"/>
      <c r="UEQ45" s="1044"/>
      <c r="UER45" s="1044"/>
      <c r="UES45" s="1044"/>
      <c r="UET45" s="1044"/>
      <c r="UEU45" s="1044"/>
      <c r="UEV45" s="1044"/>
      <c r="UEW45" s="1044"/>
      <c r="UEX45" s="1044"/>
      <c r="UEY45" s="1044"/>
      <c r="UEZ45" s="1044"/>
      <c r="UFA45" s="1044"/>
      <c r="UFB45" s="1044"/>
      <c r="UFC45" s="1044"/>
      <c r="UFD45" s="1044"/>
      <c r="UFE45" s="1044"/>
      <c r="UFF45" s="1044"/>
      <c r="UFG45" s="1044"/>
      <c r="UFH45" s="1044"/>
      <c r="UFI45" s="1044"/>
      <c r="UFJ45" s="1044"/>
      <c r="UFK45" s="1044"/>
      <c r="UFL45" s="1044"/>
      <c r="UFM45" s="1044"/>
      <c r="UFN45" s="1044"/>
      <c r="UFO45" s="1044"/>
      <c r="UFP45" s="1044"/>
      <c r="UFQ45" s="1044"/>
      <c r="UFR45" s="1044"/>
      <c r="UFS45" s="1044"/>
      <c r="UFT45" s="1044"/>
      <c r="UFU45" s="1044"/>
      <c r="UFV45" s="1044"/>
      <c r="UFW45" s="1044"/>
      <c r="UFX45" s="1044"/>
      <c r="UFY45" s="1044"/>
      <c r="UFZ45" s="1044"/>
      <c r="UGA45" s="1044"/>
      <c r="UGB45" s="1044"/>
      <c r="UGC45" s="1044"/>
      <c r="UGD45" s="1044"/>
      <c r="UGE45" s="1044"/>
      <c r="UGF45" s="1044"/>
      <c r="UGG45" s="1044"/>
      <c r="UGH45" s="1044"/>
      <c r="UGI45" s="1044"/>
      <c r="UGJ45" s="1044"/>
      <c r="UGK45" s="1044"/>
      <c r="UGL45" s="1044"/>
      <c r="UGM45" s="1044"/>
      <c r="UGN45" s="1044"/>
      <c r="UGO45" s="1044"/>
      <c r="UGP45" s="1044"/>
      <c r="UGQ45" s="1044"/>
      <c r="UGR45" s="1044"/>
      <c r="UGS45" s="1044"/>
      <c r="UGT45" s="1044"/>
      <c r="UGU45" s="1044"/>
      <c r="UGV45" s="1044"/>
      <c r="UGW45" s="1044"/>
      <c r="UGX45" s="1044"/>
      <c r="UGY45" s="1044"/>
      <c r="UGZ45" s="1044"/>
      <c r="UHA45" s="1044"/>
      <c r="UHB45" s="1044"/>
      <c r="UHC45" s="1044"/>
      <c r="UHD45" s="1044"/>
      <c r="UHE45" s="1044"/>
      <c r="UHF45" s="1044"/>
      <c r="UHG45" s="1044"/>
      <c r="UHH45" s="1044"/>
      <c r="UHI45" s="1044"/>
      <c r="UHJ45" s="1044"/>
      <c r="UHK45" s="1044"/>
      <c r="UHL45" s="1044"/>
      <c r="UHM45" s="1044"/>
      <c r="UHN45" s="1044"/>
      <c r="UHO45" s="1044"/>
      <c r="UHP45" s="1044"/>
      <c r="UHQ45" s="1044"/>
      <c r="UHR45" s="1044"/>
      <c r="UHS45" s="1044"/>
      <c r="UHT45" s="1044"/>
      <c r="UHU45" s="1044"/>
      <c r="UHV45" s="1044"/>
      <c r="UHW45" s="1044"/>
      <c r="UHX45" s="1044"/>
      <c r="UHY45" s="1044"/>
      <c r="UHZ45" s="1044"/>
      <c r="UIA45" s="1044"/>
      <c r="UIB45" s="1044"/>
      <c r="UIC45" s="1044"/>
      <c r="UID45" s="1044"/>
      <c r="UIE45" s="1044"/>
      <c r="UIF45" s="1044"/>
      <c r="UIG45" s="1044"/>
      <c r="UIH45" s="1044"/>
      <c r="UII45" s="1044"/>
      <c r="UIJ45" s="1044"/>
      <c r="UIK45" s="1044"/>
      <c r="UIL45" s="1044"/>
      <c r="UIM45" s="1044"/>
      <c r="UIN45" s="1044"/>
      <c r="UIO45" s="1044"/>
      <c r="UIP45" s="1044"/>
      <c r="UIQ45" s="1044"/>
      <c r="UIR45" s="1044"/>
      <c r="UIS45" s="1044"/>
      <c r="UIT45" s="1044"/>
      <c r="UIU45" s="1044"/>
      <c r="UIV45" s="1044"/>
      <c r="UIW45" s="1044"/>
      <c r="UIX45" s="1044"/>
      <c r="UIY45" s="1044"/>
      <c r="UIZ45" s="1044"/>
      <c r="UJA45" s="1044"/>
      <c r="UJB45" s="1044"/>
      <c r="UJC45" s="1044"/>
      <c r="UJD45" s="1044"/>
      <c r="UJE45" s="1044"/>
      <c r="UJF45" s="1044"/>
      <c r="UJG45" s="1044"/>
      <c r="UJH45" s="1044"/>
      <c r="UJI45" s="1044"/>
      <c r="UJJ45" s="1044"/>
      <c r="UJK45" s="1044"/>
      <c r="UJL45" s="1044"/>
      <c r="UJM45" s="1044"/>
      <c r="UJN45" s="1044"/>
      <c r="UJO45" s="1044"/>
      <c r="UJP45" s="1044"/>
      <c r="UJQ45" s="1044"/>
      <c r="UJR45" s="1044"/>
      <c r="UJS45" s="1044"/>
      <c r="UJT45" s="1044"/>
      <c r="UJU45" s="1044"/>
      <c r="UJV45" s="1044"/>
      <c r="UJW45" s="1044"/>
      <c r="UJX45" s="1044"/>
      <c r="UJY45" s="1044"/>
      <c r="UJZ45" s="1044"/>
      <c r="UKA45" s="1044"/>
      <c r="UKB45" s="1044"/>
      <c r="UKC45" s="1044"/>
      <c r="UKD45" s="1044"/>
      <c r="UKE45" s="1044"/>
      <c r="UKF45" s="1044"/>
      <c r="UKG45" s="1044"/>
      <c r="UKH45" s="1044"/>
      <c r="UKI45" s="1044"/>
      <c r="UKJ45" s="1044"/>
      <c r="UKK45" s="1044"/>
      <c r="UKL45" s="1044"/>
      <c r="UKM45" s="1044"/>
      <c r="UKN45" s="1044"/>
      <c r="UKO45" s="1044"/>
      <c r="UKP45" s="1044"/>
      <c r="UKQ45" s="1044"/>
      <c r="UKR45" s="1044"/>
      <c r="UKS45" s="1044"/>
      <c r="UKT45" s="1044"/>
      <c r="UKU45" s="1044"/>
      <c r="UKV45" s="1044"/>
      <c r="UKW45" s="1044"/>
      <c r="UKX45" s="1044"/>
      <c r="UKY45" s="1044"/>
      <c r="UKZ45" s="1044"/>
      <c r="ULA45" s="1044"/>
      <c r="ULB45" s="1044"/>
      <c r="ULC45" s="1044"/>
      <c r="ULD45" s="1044"/>
      <c r="ULE45" s="1044"/>
      <c r="ULF45" s="1044"/>
      <c r="ULG45" s="1044"/>
      <c r="ULH45" s="1044"/>
      <c r="ULI45" s="1044"/>
      <c r="ULJ45" s="1044"/>
      <c r="ULK45" s="1044"/>
      <c r="ULL45" s="1044"/>
      <c r="ULM45" s="1044"/>
      <c r="ULN45" s="1044"/>
      <c r="ULO45" s="1044"/>
      <c r="ULP45" s="1044"/>
      <c r="ULQ45" s="1044"/>
      <c r="ULR45" s="1044"/>
      <c r="ULS45" s="1044"/>
      <c r="ULT45" s="1044"/>
      <c r="ULU45" s="1044"/>
      <c r="ULV45" s="1044"/>
      <c r="ULW45" s="1044"/>
      <c r="ULX45" s="1044"/>
      <c r="ULY45" s="1044"/>
      <c r="ULZ45" s="1044"/>
      <c r="UMA45" s="1044"/>
      <c r="UMB45" s="1044"/>
      <c r="UMC45" s="1044"/>
      <c r="UMD45" s="1044"/>
      <c r="UME45" s="1044"/>
      <c r="UMF45" s="1044"/>
      <c r="UMG45" s="1044"/>
      <c r="UMH45" s="1044"/>
      <c r="UMI45" s="1044"/>
      <c r="UMJ45" s="1044"/>
      <c r="UMK45" s="1044"/>
      <c r="UML45" s="1044"/>
      <c r="UMM45" s="1044"/>
      <c r="UMN45" s="1044"/>
      <c r="UMO45" s="1044"/>
      <c r="UMP45" s="1044"/>
      <c r="UMQ45" s="1044"/>
      <c r="UMR45" s="1044"/>
      <c r="UMS45" s="1044"/>
      <c r="UMT45" s="1044"/>
      <c r="UMU45" s="1044"/>
      <c r="UMV45" s="1044"/>
      <c r="UMW45" s="1044"/>
      <c r="UMX45" s="1044"/>
      <c r="UMY45" s="1044"/>
      <c r="UMZ45" s="1044"/>
      <c r="UNA45" s="1044"/>
      <c r="UNB45" s="1044"/>
      <c r="UNC45" s="1044"/>
      <c r="UND45" s="1044"/>
      <c r="UNE45" s="1044"/>
      <c r="UNF45" s="1044"/>
      <c r="UNG45" s="1044"/>
      <c r="UNH45" s="1044"/>
      <c r="UNI45" s="1044"/>
      <c r="UNJ45" s="1044"/>
      <c r="UNK45" s="1044"/>
      <c r="UNL45" s="1044"/>
      <c r="UNM45" s="1044"/>
      <c r="UNN45" s="1044"/>
      <c r="UNO45" s="1044"/>
      <c r="UNP45" s="1044"/>
      <c r="UNQ45" s="1044"/>
      <c r="UNR45" s="1044"/>
      <c r="UNS45" s="1044"/>
      <c r="UNT45" s="1044"/>
      <c r="UNU45" s="1044"/>
      <c r="UNV45" s="1044"/>
      <c r="UNW45" s="1044"/>
      <c r="UNX45" s="1044"/>
      <c r="UNY45" s="1044"/>
      <c r="UNZ45" s="1044"/>
      <c r="UOA45" s="1044"/>
      <c r="UOB45" s="1044"/>
      <c r="UOC45" s="1044"/>
      <c r="UOD45" s="1044"/>
      <c r="UOE45" s="1044"/>
      <c r="UOF45" s="1044"/>
      <c r="UOG45" s="1044"/>
      <c r="UOH45" s="1044"/>
      <c r="UOI45" s="1044"/>
      <c r="UOJ45" s="1044"/>
      <c r="UOK45" s="1044"/>
      <c r="UOL45" s="1044"/>
      <c r="UOM45" s="1044"/>
      <c r="UON45" s="1044"/>
      <c r="UOO45" s="1044"/>
      <c r="UOP45" s="1044"/>
      <c r="UOQ45" s="1044"/>
      <c r="UOR45" s="1044"/>
      <c r="UOS45" s="1044"/>
      <c r="UOT45" s="1044"/>
      <c r="UOU45" s="1044"/>
      <c r="UOV45" s="1044"/>
      <c r="UOW45" s="1044"/>
      <c r="UOX45" s="1044"/>
      <c r="UOY45" s="1044"/>
      <c r="UOZ45" s="1044"/>
      <c r="UPA45" s="1044"/>
      <c r="UPB45" s="1044"/>
      <c r="UPC45" s="1044"/>
      <c r="UPD45" s="1044"/>
      <c r="UPE45" s="1044"/>
      <c r="UPF45" s="1044"/>
      <c r="UPG45" s="1044"/>
      <c r="UPH45" s="1044"/>
      <c r="UPI45" s="1044"/>
      <c r="UPJ45" s="1044"/>
      <c r="UPK45" s="1044"/>
      <c r="UPL45" s="1044"/>
      <c r="UPM45" s="1044"/>
      <c r="UPN45" s="1044"/>
      <c r="UPO45" s="1044"/>
      <c r="UPP45" s="1044"/>
      <c r="UPQ45" s="1044"/>
      <c r="UPR45" s="1044"/>
      <c r="UPS45" s="1044"/>
      <c r="UPT45" s="1044"/>
      <c r="UPU45" s="1044"/>
      <c r="UPV45" s="1044"/>
      <c r="UPW45" s="1044"/>
      <c r="UPX45" s="1044"/>
      <c r="UPY45" s="1044"/>
      <c r="UPZ45" s="1044"/>
      <c r="UQA45" s="1044"/>
      <c r="UQB45" s="1044"/>
      <c r="UQC45" s="1044"/>
      <c r="UQD45" s="1044"/>
      <c r="UQE45" s="1044"/>
      <c r="UQF45" s="1044"/>
      <c r="UQG45" s="1044"/>
      <c r="UQH45" s="1044"/>
      <c r="UQI45" s="1044"/>
      <c r="UQJ45" s="1044"/>
      <c r="UQK45" s="1044"/>
      <c r="UQL45" s="1044"/>
      <c r="UQM45" s="1044"/>
      <c r="UQN45" s="1044"/>
      <c r="UQO45" s="1044"/>
      <c r="UQP45" s="1044"/>
      <c r="UQQ45" s="1044"/>
      <c r="UQR45" s="1044"/>
      <c r="UQS45" s="1044"/>
      <c r="UQT45" s="1044"/>
      <c r="UQU45" s="1044"/>
      <c r="UQV45" s="1044"/>
      <c r="UQW45" s="1044"/>
      <c r="UQX45" s="1044"/>
      <c r="UQY45" s="1044"/>
      <c r="UQZ45" s="1044"/>
      <c r="URA45" s="1044"/>
      <c r="URB45" s="1044"/>
      <c r="URC45" s="1044"/>
      <c r="URD45" s="1044"/>
      <c r="URE45" s="1044"/>
      <c r="URF45" s="1044"/>
      <c r="URG45" s="1044"/>
      <c r="URH45" s="1044"/>
      <c r="URI45" s="1044"/>
      <c r="URJ45" s="1044"/>
      <c r="URK45" s="1044"/>
      <c r="URL45" s="1044"/>
      <c r="URM45" s="1044"/>
      <c r="URN45" s="1044"/>
      <c r="URO45" s="1044"/>
      <c r="URP45" s="1044"/>
      <c r="URQ45" s="1044"/>
      <c r="URR45" s="1044"/>
      <c r="URS45" s="1044"/>
      <c r="URT45" s="1044"/>
      <c r="URU45" s="1044"/>
      <c r="URV45" s="1044"/>
      <c r="URW45" s="1044"/>
      <c r="URX45" s="1044"/>
      <c r="URY45" s="1044"/>
      <c r="URZ45" s="1044"/>
      <c r="USA45" s="1044"/>
      <c r="USB45" s="1044"/>
      <c r="USC45" s="1044"/>
      <c r="USD45" s="1044"/>
      <c r="USE45" s="1044"/>
      <c r="USF45" s="1044"/>
      <c r="USG45" s="1044"/>
      <c r="USH45" s="1044"/>
      <c r="USI45" s="1044"/>
      <c r="USJ45" s="1044"/>
      <c r="USK45" s="1044"/>
      <c r="USL45" s="1044"/>
      <c r="USM45" s="1044"/>
      <c r="USN45" s="1044"/>
      <c r="USO45" s="1044"/>
      <c r="USP45" s="1044"/>
      <c r="USQ45" s="1044"/>
      <c r="USR45" s="1044"/>
      <c r="USS45" s="1044"/>
      <c r="UST45" s="1044"/>
      <c r="USU45" s="1044"/>
      <c r="USV45" s="1044"/>
      <c r="USW45" s="1044"/>
      <c r="USX45" s="1044"/>
      <c r="USY45" s="1044"/>
      <c r="USZ45" s="1044"/>
      <c r="UTA45" s="1044"/>
      <c r="UTB45" s="1044"/>
      <c r="UTC45" s="1044"/>
      <c r="UTD45" s="1044"/>
      <c r="UTE45" s="1044"/>
      <c r="UTF45" s="1044"/>
      <c r="UTG45" s="1044"/>
      <c r="UTH45" s="1044"/>
      <c r="UTI45" s="1044"/>
      <c r="UTJ45" s="1044"/>
      <c r="UTK45" s="1044"/>
      <c r="UTL45" s="1044"/>
      <c r="UTM45" s="1044"/>
      <c r="UTN45" s="1044"/>
      <c r="UTO45" s="1044"/>
      <c r="UTP45" s="1044"/>
      <c r="UTQ45" s="1044"/>
      <c r="UTR45" s="1044"/>
      <c r="UTS45" s="1044"/>
      <c r="UTT45" s="1044"/>
      <c r="UTU45" s="1044"/>
      <c r="UTV45" s="1044"/>
      <c r="UTW45" s="1044"/>
      <c r="UTX45" s="1044"/>
      <c r="UTY45" s="1044"/>
      <c r="UTZ45" s="1044"/>
      <c r="UUA45" s="1044"/>
      <c r="UUB45" s="1044"/>
      <c r="UUC45" s="1044"/>
      <c r="UUD45" s="1044"/>
      <c r="UUE45" s="1044"/>
      <c r="UUF45" s="1044"/>
      <c r="UUG45" s="1044"/>
      <c r="UUH45" s="1044"/>
      <c r="UUI45" s="1044"/>
      <c r="UUJ45" s="1044"/>
      <c r="UUK45" s="1044"/>
      <c r="UUL45" s="1044"/>
      <c r="UUM45" s="1044"/>
      <c r="UUN45" s="1044"/>
      <c r="UUO45" s="1044"/>
      <c r="UUP45" s="1044"/>
      <c r="UUQ45" s="1044"/>
      <c r="UUR45" s="1044"/>
      <c r="UUS45" s="1044"/>
      <c r="UUT45" s="1044"/>
      <c r="UUU45" s="1044"/>
      <c r="UUV45" s="1044"/>
      <c r="UUW45" s="1044"/>
      <c r="UUX45" s="1044"/>
      <c r="UUY45" s="1044"/>
      <c r="UUZ45" s="1044"/>
      <c r="UVA45" s="1044"/>
      <c r="UVB45" s="1044"/>
      <c r="UVC45" s="1044"/>
      <c r="UVD45" s="1044"/>
      <c r="UVE45" s="1044"/>
      <c r="UVF45" s="1044"/>
      <c r="UVG45" s="1044"/>
      <c r="UVH45" s="1044"/>
      <c r="UVI45" s="1044"/>
      <c r="UVJ45" s="1044"/>
      <c r="UVK45" s="1044"/>
      <c r="UVL45" s="1044"/>
      <c r="UVM45" s="1044"/>
      <c r="UVN45" s="1044"/>
      <c r="UVO45" s="1044"/>
      <c r="UVP45" s="1044"/>
      <c r="UVQ45" s="1044"/>
      <c r="UVR45" s="1044"/>
      <c r="UVS45" s="1044"/>
      <c r="UVT45" s="1044"/>
      <c r="UVU45" s="1044"/>
      <c r="UVV45" s="1044"/>
      <c r="UVW45" s="1044"/>
      <c r="UVX45" s="1044"/>
      <c r="UVY45" s="1044"/>
      <c r="UVZ45" s="1044"/>
      <c r="UWA45" s="1044"/>
      <c r="UWB45" s="1044"/>
      <c r="UWC45" s="1044"/>
      <c r="UWD45" s="1044"/>
      <c r="UWE45" s="1044"/>
      <c r="UWF45" s="1044"/>
      <c r="UWG45" s="1044"/>
      <c r="UWH45" s="1044"/>
      <c r="UWI45" s="1044"/>
      <c r="UWJ45" s="1044"/>
      <c r="UWK45" s="1044"/>
      <c r="UWL45" s="1044"/>
      <c r="UWM45" s="1044"/>
      <c r="UWN45" s="1044"/>
      <c r="UWO45" s="1044"/>
      <c r="UWP45" s="1044"/>
      <c r="UWQ45" s="1044"/>
      <c r="UWR45" s="1044"/>
      <c r="UWS45" s="1044"/>
      <c r="UWT45" s="1044"/>
      <c r="UWU45" s="1044"/>
      <c r="UWV45" s="1044"/>
      <c r="UWW45" s="1044"/>
      <c r="UWX45" s="1044"/>
      <c r="UWY45" s="1044"/>
      <c r="UWZ45" s="1044"/>
      <c r="UXA45" s="1044"/>
      <c r="UXB45" s="1044"/>
      <c r="UXC45" s="1044"/>
      <c r="UXD45" s="1044"/>
      <c r="UXE45" s="1044"/>
      <c r="UXF45" s="1044"/>
      <c r="UXG45" s="1044"/>
      <c r="UXH45" s="1044"/>
      <c r="UXI45" s="1044"/>
      <c r="UXJ45" s="1044"/>
      <c r="UXK45" s="1044"/>
      <c r="UXL45" s="1044"/>
      <c r="UXM45" s="1044"/>
      <c r="UXN45" s="1044"/>
      <c r="UXO45" s="1044"/>
      <c r="UXP45" s="1044"/>
      <c r="UXQ45" s="1044"/>
      <c r="UXR45" s="1044"/>
      <c r="UXS45" s="1044"/>
      <c r="UXT45" s="1044"/>
      <c r="UXU45" s="1044"/>
      <c r="UXV45" s="1044"/>
      <c r="UXW45" s="1044"/>
      <c r="UXX45" s="1044"/>
      <c r="UXY45" s="1044"/>
      <c r="UXZ45" s="1044"/>
      <c r="UYA45" s="1044"/>
      <c r="UYB45" s="1044"/>
      <c r="UYC45" s="1044"/>
      <c r="UYD45" s="1044"/>
      <c r="UYE45" s="1044"/>
      <c r="UYF45" s="1044"/>
      <c r="UYG45" s="1044"/>
      <c r="UYH45" s="1044"/>
      <c r="UYI45" s="1044"/>
      <c r="UYJ45" s="1044"/>
      <c r="UYK45" s="1044"/>
      <c r="UYL45" s="1044"/>
      <c r="UYM45" s="1044"/>
      <c r="UYN45" s="1044"/>
      <c r="UYO45" s="1044"/>
      <c r="UYP45" s="1044"/>
      <c r="UYQ45" s="1044"/>
      <c r="UYR45" s="1044"/>
      <c r="UYS45" s="1044"/>
      <c r="UYT45" s="1044"/>
      <c r="UYU45" s="1044"/>
      <c r="UYV45" s="1044"/>
      <c r="UYW45" s="1044"/>
      <c r="UYX45" s="1044"/>
      <c r="UYY45" s="1044"/>
      <c r="UYZ45" s="1044"/>
      <c r="UZA45" s="1044"/>
      <c r="UZB45" s="1044"/>
      <c r="UZC45" s="1044"/>
      <c r="UZD45" s="1044"/>
      <c r="UZE45" s="1044"/>
      <c r="UZF45" s="1044"/>
      <c r="UZG45" s="1044"/>
      <c r="UZH45" s="1044"/>
      <c r="UZI45" s="1044"/>
      <c r="UZJ45" s="1044"/>
      <c r="UZK45" s="1044"/>
      <c r="UZL45" s="1044"/>
      <c r="UZM45" s="1044"/>
      <c r="UZN45" s="1044"/>
      <c r="UZO45" s="1044"/>
      <c r="UZP45" s="1044"/>
      <c r="UZQ45" s="1044"/>
      <c r="UZR45" s="1044"/>
      <c r="UZS45" s="1044"/>
      <c r="UZT45" s="1044"/>
      <c r="UZU45" s="1044"/>
      <c r="UZV45" s="1044"/>
      <c r="UZW45" s="1044"/>
      <c r="UZX45" s="1044"/>
      <c r="UZY45" s="1044"/>
      <c r="UZZ45" s="1044"/>
      <c r="VAA45" s="1044"/>
      <c r="VAB45" s="1044"/>
      <c r="VAC45" s="1044"/>
      <c r="VAD45" s="1044"/>
      <c r="VAE45" s="1044"/>
      <c r="VAF45" s="1044"/>
      <c r="VAG45" s="1044"/>
      <c r="VAH45" s="1044"/>
      <c r="VAI45" s="1044"/>
      <c r="VAJ45" s="1044"/>
      <c r="VAK45" s="1044"/>
      <c r="VAL45" s="1044"/>
      <c r="VAM45" s="1044"/>
      <c r="VAN45" s="1044"/>
      <c r="VAO45" s="1044"/>
      <c r="VAP45" s="1044"/>
      <c r="VAQ45" s="1044"/>
      <c r="VAR45" s="1044"/>
      <c r="VAS45" s="1044"/>
      <c r="VAT45" s="1044"/>
      <c r="VAU45" s="1044"/>
      <c r="VAV45" s="1044"/>
      <c r="VAW45" s="1044"/>
      <c r="VAX45" s="1044"/>
      <c r="VAY45" s="1044"/>
      <c r="VAZ45" s="1044"/>
      <c r="VBA45" s="1044"/>
      <c r="VBB45" s="1044"/>
      <c r="VBC45" s="1044"/>
      <c r="VBD45" s="1044"/>
      <c r="VBE45" s="1044"/>
      <c r="VBF45" s="1044"/>
      <c r="VBG45" s="1044"/>
      <c r="VBH45" s="1044"/>
      <c r="VBI45" s="1044"/>
      <c r="VBJ45" s="1044"/>
      <c r="VBK45" s="1044"/>
      <c r="VBL45" s="1044"/>
      <c r="VBM45" s="1044"/>
      <c r="VBN45" s="1044"/>
      <c r="VBO45" s="1044"/>
      <c r="VBP45" s="1044"/>
      <c r="VBQ45" s="1044"/>
      <c r="VBR45" s="1044"/>
      <c r="VBS45" s="1044"/>
      <c r="VBT45" s="1044"/>
      <c r="VBU45" s="1044"/>
      <c r="VBV45" s="1044"/>
      <c r="VBW45" s="1044"/>
      <c r="VBX45" s="1044"/>
      <c r="VBY45" s="1044"/>
      <c r="VBZ45" s="1044"/>
      <c r="VCA45" s="1044"/>
      <c r="VCB45" s="1044"/>
      <c r="VCC45" s="1044"/>
      <c r="VCD45" s="1044"/>
      <c r="VCE45" s="1044"/>
      <c r="VCF45" s="1044"/>
      <c r="VCG45" s="1044"/>
      <c r="VCH45" s="1044"/>
      <c r="VCI45" s="1044"/>
      <c r="VCJ45" s="1044"/>
      <c r="VCK45" s="1044"/>
      <c r="VCL45" s="1044"/>
      <c r="VCM45" s="1044"/>
      <c r="VCN45" s="1044"/>
      <c r="VCO45" s="1044"/>
      <c r="VCP45" s="1044"/>
      <c r="VCQ45" s="1044"/>
      <c r="VCR45" s="1044"/>
      <c r="VCS45" s="1044"/>
      <c r="VCT45" s="1044"/>
      <c r="VCU45" s="1044"/>
      <c r="VCV45" s="1044"/>
      <c r="VCW45" s="1044"/>
      <c r="VCX45" s="1044"/>
      <c r="VCY45" s="1044"/>
      <c r="VCZ45" s="1044"/>
      <c r="VDA45" s="1044"/>
      <c r="VDB45" s="1044"/>
      <c r="VDC45" s="1044"/>
      <c r="VDD45" s="1044"/>
      <c r="VDE45" s="1044"/>
      <c r="VDF45" s="1044"/>
      <c r="VDG45" s="1044"/>
      <c r="VDH45" s="1044"/>
      <c r="VDI45" s="1044"/>
      <c r="VDJ45" s="1044"/>
      <c r="VDK45" s="1044"/>
      <c r="VDL45" s="1044"/>
      <c r="VDM45" s="1044"/>
      <c r="VDN45" s="1044"/>
      <c r="VDO45" s="1044"/>
      <c r="VDP45" s="1044"/>
      <c r="VDQ45" s="1044"/>
      <c r="VDR45" s="1044"/>
      <c r="VDS45" s="1044"/>
      <c r="VDT45" s="1044"/>
      <c r="VDU45" s="1044"/>
      <c r="VDV45" s="1044"/>
      <c r="VDW45" s="1044"/>
      <c r="VDX45" s="1044"/>
      <c r="VDY45" s="1044"/>
      <c r="VDZ45" s="1044"/>
      <c r="VEA45" s="1044"/>
      <c r="VEB45" s="1044"/>
      <c r="VEC45" s="1044"/>
      <c r="VED45" s="1044"/>
      <c r="VEE45" s="1044"/>
      <c r="VEF45" s="1044"/>
      <c r="VEG45" s="1044"/>
      <c r="VEH45" s="1044"/>
      <c r="VEI45" s="1044"/>
      <c r="VEJ45" s="1044"/>
      <c r="VEK45" s="1044"/>
      <c r="VEL45" s="1044"/>
      <c r="VEM45" s="1044"/>
      <c r="VEN45" s="1044"/>
      <c r="VEO45" s="1044"/>
      <c r="VEP45" s="1044"/>
      <c r="VEQ45" s="1044"/>
      <c r="VER45" s="1044"/>
      <c r="VES45" s="1044"/>
      <c r="VET45" s="1044"/>
      <c r="VEU45" s="1044"/>
      <c r="VEV45" s="1044"/>
      <c r="VEW45" s="1044"/>
      <c r="VEX45" s="1044"/>
      <c r="VEY45" s="1044"/>
      <c r="VEZ45" s="1044"/>
      <c r="VFA45" s="1044"/>
      <c r="VFB45" s="1044"/>
      <c r="VFC45" s="1044"/>
      <c r="VFD45" s="1044"/>
      <c r="VFE45" s="1044"/>
      <c r="VFF45" s="1044"/>
      <c r="VFG45" s="1044"/>
      <c r="VFH45" s="1044"/>
      <c r="VFI45" s="1044"/>
      <c r="VFJ45" s="1044"/>
      <c r="VFK45" s="1044"/>
      <c r="VFL45" s="1044"/>
      <c r="VFM45" s="1044"/>
      <c r="VFN45" s="1044"/>
      <c r="VFO45" s="1044"/>
      <c r="VFP45" s="1044"/>
      <c r="VFQ45" s="1044"/>
      <c r="VFR45" s="1044"/>
      <c r="VFS45" s="1044"/>
      <c r="VFT45" s="1044"/>
      <c r="VFU45" s="1044"/>
      <c r="VFV45" s="1044"/>
      <c r="VFW45" s="1044"/>
      <c r="VFX45" s="1044"/>
      <c r="VFY45" s="1044"/>
      <c r="VFZ45" s="1044"/>
      <c r="VGA45" s="1044"/>
      <c r="VGB45" s="1044"/>
      <c r="VGC45" s="1044"/>
      <c r="VGD45" s="1044"/>
      <c r="VGE45" s="1044"/>
      <c r="VGF45" s="1044"/>
      <c r="VGG45" s="1044"/>
      <c r="VGH45" s="1044"/>
      <c r="VGI45" s="1044"/>
      <c r="VGJ45" s="1044"/>
      <c r="VGK45" s="1044"/>
      <c r="VGL45" s="1044"/>
      <c r="VGM45" s="1044"/>
      <c r="VGN45" s="1044"/>
      <c r="VGO45" s="1044"/>
      <c r="VGP45" s="1044"/>
      <c r="VGQ45" s="1044"/>
      <c r="VGR45" s="1044"/>
      <c r="VGS45" s="1044"/>
      <c r="VGT45" s="1044"/>
      <c r="VGU45" s="1044"/>
      <c r="VGV45" s="1044"/>
      <c r="VGW45" s="1044"/>
      <c r="VGX45" s="1044"/>
      <c r="VGY45" s="1044"/>
      <c r="VGZ45" s="1044"/>
      <c r="VHA45" s="1044"/>
      <c r="VHB45" s="1044"/>
      <c r="VHC45" s="1044"/>
      <c r="VHD45" s="1044"/>
      <c r="VHE45" s="1044"/>
      <c r="VHF45" s="1044"/>
      <c r="VHG45" s="1044"/>
      <c r="VHH45" s="1044"/>
      <c r="VHI45" s="1044"/>
      <c r="VHJ45" s="1044"/>
      <c r="VHK45" s="1044"/>
      <c r="VHL45" s="1044"/>
      <c r="VHM45" s="1044"/>
      <c r="VHN45" s="1044"/>
      <c r="VHO45" s="1044"/>
      <c r="VHP45" s="1044"/>
      <c r="VHQ45" s="1044"/>
      <c r="VHR45" s="1044"/>
      <c r="VHS45" s="1044"/>
      <c r="VHT45" s="1044"/>
      <c r="VHU45" s="1044"/>
      <c r="VHV45" s="1044"/>
      <c r="VHW45" s="1044"/>
      <c r="VHX45" s="1044"/>
      <c r="VHY45" s="1044"/>
      <c r="VHZ45" s="1044"/>
      <c r="VIA45" s="1044"/>
      <c r="VIB45" s="1044"/>
      <c r="VIC45" s="1044"/>
      <c r="VID45" s="1044"/>
      <c r="VIE45" s="1044"/>
      <c r="VIF45" s="1044"/>
      <c r="VIG45" s="1044"/>
      <c r="VIH45" s="1044"/>
      <c r="VII45" s="1044"/>
      <c r="VIJ45" s="1044"/>
      <c r="VIK45" s="1044"/>
      <c r="VIL45" s="1044"/>
      <c r="VIM45" s="1044"/>
      <c r="VIN45" s="1044"/>
      <c r="VIO45" s="1044"/>
      <c r="VIP45" s="1044"/>
      <c r="VIQ45" s="1044"/>
      <c r="VIR45" s="1044"/>
      <c r="VIS45" s="1044"/>
      <c r="VIT45" s="1044"/>
      <c r="VIU45" s="1044"/>
      <c r="VIV45" s="1044"/>
      <c r="VIW45" s="1044"/>
      <c r="VIX45" s="1044"/>
      <c r="VIY45" s="1044"/>
      <c r="VIZ45" s="1044"/>
      <c r="VJA45" s="1044"/>
      <c r="VJB45" s="1044"/>
      <c r="VJC45" s="1044"/>
      <c r="VJD45" s="1044"/>
      <c r="VJE45" s="1044"/>
      <c r="VJF45" s="1044"/>
      <c r="VJG45" s="1044"/>
      <c r="VJH45" s="1044"/>
      <c r="VJI45" s="1044"/>
      <c r="VJJ45" s="1044"/>
      <c r="VJK45" s="1044"/>
      <c r="VJL45" s="1044"/>
      <c r="VJM45" s="1044"/>
      <c r="VJN45" s="1044"/>
      <c r="VJO45" s="1044"/>
      <c r="VJP45" s="1044"/>
      <c r="VJQ45" s="1044"/>
      <c r="VJR45" s="1044"/>
      <c r="VJS45" s="1044"/>
      <c r="VJT45" s="1044"/>
      <c r="VJU45" s="1044"/>
      <c r="VJV45" s="1044"/>
      <c r="VJW45" s="1044"/>
      <c r="VJX45" s="1044"/>
      <c r="VJY45" s="1044"/>
      <c r="VJZ45" s="1044"/>
      <c r="VKA45" s="1044"/>
      <c r="VKB45" s="1044"/>
      <c r="VKC45" s="1044"/>
      <c r="VKD45" s="1044"/>
      <c r="VKE45" s="1044"/>
      <c r="VKF45" s="1044"/>
      <c r="VKG45" s="1044"/>
      <c r="VKH45" s="1044"/>
      <c r="VKI45" s="1044"/>
      <c r="VKJ45" s="1044"/>
      <c r="VKK45" s="1044"/>
      <c r="VKL45" s="1044"/>
      <c r="VKM45" s="1044"/>
      <c r="VKN45" s="1044"/>
      <c r="VKO45" s="1044"/>
      <c r="VKP45" s="1044"/>
      <c r="VKQ45" s="1044"/>
      <c r="VKR45" s="1044"/>
      <c r="VKS45" s="1044"/>
      <c r="VKT45" s="1044"/>
      <c r="VKU45" s="1044"/>
      <c r="VKV45" s="1044"/>
      <c r="VKW45" s="1044"/>
      <c r="VKX45" s="1044"/>
      <c r="VKY45" s="1044"/>
      <c r="VKZ45" s="1044"/>
      <c r="VLA45" s="1044"/>
      <c r="VLB45" s="1044"/>
      <c r="VLC45" s="1044"/>
      <c r="VLD45" s="1044"/>
      <c r="VLE45" s="1044"/>
      <c r="VLF45" s="1044"/>
      <c r="VLG45" s="1044"/>
      <c r="VLH45" s="1044"/>
      <c r="VLI45" s="1044"/>
      <c r="VLJ45" s="1044"/>
      <c r="VLK45" s="1044"/>
      <c r="VLL45" s="1044"/>
      <c r="VLM45" s="1044"/>
      <c r="VLN45" s="1044"/>
      <c r="VLO45" s="1044"/>
      <c r="VLP45" s="1044"/>
      <c r="VLQ45" s="1044"/>
      <c r="VLR45" s="1044"/>
      <c r="VLS45" s="1044"/>
      <c r="VLT45" s="1044"/>
      <c r="VLU45" s="1044"/>
      <c r="VLV45" s="1044"/>
      <c r="VLW45" s="1044"/>
      <c r="VLX45" s="1044"/>
      <c r="VLY45" s="1044"/>
      <c r="VLZ45" s="1044"/>
      <c r="VMA45" s="1044"/>
      <c r="VMB45" s="1044"/>
      <c r="VMC45" s="1044"/>
      <c r="VMD45" s="1044"/>
      <c r="VME45" s="1044"/>
      <c r="VMF45" s="1044"/>
      <c r="VMG45" s="1044"/>
      <c r="VMH45" s="1044"/>
      <c r="VMI45" s="1044"/>
      <c r="VMJ45" s="1044"/>
      <c r="VMK45" s="1044"/>
      <c r="VML45" s="1044"/>
      <c r="VMM45" s="1044"/>
      <c r="VMN45" s="1044"/>
      <c r="VMO45" s="1044"/>
      <c r="VMP45" s="1044"/>
      <c r="VMQ45" s="1044"/>
      <c r="VMR45" s="1044"/>
      <c r="VMS45" s="1044"/>
      <c r="VMT45" s="1044"/>
      <c r="VMU45" s="1044"/>
      <c r="VMV45" s="1044"/>
      <c r="VMW45" s="1044"/>
      <c r="VMX45" s="1044"/>
      <c r="VMY45" s="1044"/>
      <c r="VMZ45" s="1044"/>
      <c r="VNA45" s="1044"/>
      <c r="VNB45" s="1044"/>
      <c r="VNC45" s="1044"/>
      <c r="VND45" s="1044"/>
      <c r="VNE45" s="1044"/>
      <c r="VNF45" s="1044"/>
      <c r="VNG45" s="1044"/>
      <c r="VNH45" s="1044"/>
      <c r="VNI45" s="1044"/>
      <c r="VNJ45" s="1044"/>
      <c r="VNK45" s="1044"/>
      <c r="VNL45" s="1044"/>
      <c r="VNM45" s="1044"/>
      <c r="VNN45" s="1044"/>
      <c r="VNO45" s="1044"/>
      <c r="VNP45" s="1044"/>
      <c r="VNQ45" s="1044"/>
      <c r="VNR45" s="1044"/>
      <c r="VNS45" s="1044"/>
      <c r="VNT45" s="1044"/>
      <c r="VNU45" s="1044"/>
      <c r="VNV45" s="1044"/>
      <c r="VNW45" s="1044"/>
      <c r="VNX45" s="1044"/>
      <c r="VNY45" s="1044"/>
      <c r="VNZ45" s="1044"/>
      <c r="VOA45" s="1044"/>
      <c r="VOB45" s="1044"/>
      <c r="VOC45" s="1044"/>
      <c r="VOD45" s="1044"/>
      <c r="VOE45" s="1044"/>
      <c r="VOF45" s="1044"/>
      <c r="VOG45" s="1044"/>
      <c r="VOH45" s="1044"/>
      <c r="VOI45" s="1044"/>
      <c r="VOJ45" s="1044"/>
      <c r="VOK45" s="1044"/>
      <c r="VOL45" s="1044"/>
      <c r="VOM45" s="1044"/>
      <c r="VON45" s="1044"/>
      <c r="VOO45" s="1044"/>
      <c r="VOP45" s="1044"/>
      <c r="VOQ45" s="1044"/>
      <c r="VOR45" s="1044"/>
      <c r="VOS45" s="1044"/>
      <c r="VOT45" s="1044"/>
      <c r="VOU45" s="1044"/>
      <c r="VOV45" s="1044"/>
      <c r="VOW45" s="1044"/>
      <c r="VOX45" s="1044"/>
      <c r="VOY45" s="1044"/>
      <c r="VOZ45" s="1044"/>
      <c r="VPA45" s="1044"/>
      <c r="VPB45" s="1044"/>
      <c r="VPC45" s="1044"/>
      <c r="VPD45" s="1044"/>
      <c r="VPE45" s="1044"/>
      <c r="VPF45" s="1044"/>
      <c r="VPG45" s="1044"/>
      <c r="VPH45" s="1044"/>
      <c r="VPI45" s="1044"/>
      <c r="VPJ45" s="1044"/>
      <c r="VPK45" s="1044"/>
      <c r="VPL45" s="1044"/>
      <c r="VPM45" s="1044"/>
      <c r="VPN45" s="1044"/>
      <c r="VPO45" s="1044"/>
      <c r="VPP45" s="1044"/>
      <c r="VPQ45" s="1044"/>
      <c r="VPR45" s="1044"/>
      <c r="VPS45" s="1044"/>
      <c r="VPT45" s="1044"/>
      <c r="VPU45" s="1044"/>
      <c r="VPV45" s="1044"/>
      <c r="VPW45" s="1044"/>
      <c r="VPX45" s="1044"/>
      <c r="VPY45" s="1044"/>
      <c r="VPZ45" s="1044"/>
      <c r="VQA45" s="1044"/>
      <c r="VQB45" s="1044"/>
      <c r="VQC45" s="1044"/>
      <c r="VQD45" s="1044"/>
      <c r="VQE45" s="1044"/>
      <c r="VQF45" s="1044"/>
      <c r="VQG45" s="1044"/>
      <c r="VQH45" s="1044"/>
      <c r="VQI45" s="1044"/>
      <c r="VQJ45" s="1044"/>
      <c r="VQK45" s="1044"/>
      <c r="VQL45" s="1044"/>
      <c r="VQM45" s="1044"/>
      <c r="VQN45" s="1044"/>
      <c r="VQO45" s="1044"/>
      <c r="VQP45" s="1044"/>
      <c r="VQQ45" s="1044"/>
      <c r="VQR45" s="1044"/>
      <c r="VQS45" s="1044"/>
      <c r="VQT45" s="1044"/>
      <c r="VQU45" s="1044"/>
      <c r="VQV45" s="1044"/>
      <c r="VQW45" s="1044"/>
      <c r="VQX45" s="1044"/>
      <c r="VQY45" s="1044"/>
      <c r="VQZ45" s="1044"/>
      <c r="VRA45" s="1044"/>
      <c r="VRB45" s="1044"/>
      <c r="VRC45" s="1044"/>
      <c r="VRD45" s="1044"/>
      <c r="VRE45" s="1044"/>
      <c r="VRF45" s="1044"/>
      <c r="VRG45" s="1044"/>
      <c r="VRH45" s="1044"/>
      <c r="VRI45" s="1044"/>
      <c r="VRJ45" s="1044"/>
      <c r="VRK45" s="1044"/>
      <c r="VRL45" s="1044"/>
      <c r="VRM45" s="1044"/>
      <c r="VRN45" s="1044"/>
      <c r="VRO45" s="1044"/>
      <c r="VRP45" s="1044"/>
      <c r="VRQ45" s="1044"/>
      <c r="VRR45" s="1044"/>
      <c r="VRS45" s="1044"/>
      <c r="VRT45" s="1044"/>
      <c r="VRU45" s="1044"/>
      <c r="VRV45" s="1044"/>
      <c r="VRW45" s="1044"/>
      <c r="VRX45" s="1044"/>
      <c r="VRY45" s="1044"/>
      <c r="VRZ45" s="1044"/>
      <c r="VSA45" s="1044"/>
      <c r="VSB45" s="1044"/>
      <c r="VSC45" s="1044"/>
      <c r="VSD45" s="1044"/>
      <c r="VSE45" s="1044"/>
      <c r="VSF45" s="1044"/>
      <c r="VSG45" s="1044"/>
      <c r="VSH45" s="1044"/>
      <c r="VSI45" s="1044"/>
      <c r="VSJ45" s="1044"/>
      <c r="VSK45" s="1044"/>
      <c r="VSL45" s="1044"/>
      <c r="VSM45" s="1044"/>
      <c r="VSN45" s="1044"/>
      <c r="VSO45" s="1044"/>
      <c r="VSP45" s="1044"/>
      <c r="VSQ45" s="1044"/>
      <c r="VSR45" s="1044"/>
      <c r="VSS45" s="1044"/>
      <c r="VST45" s="1044"/>
      <c r="VSU45" s="1044"/>
      <c r="VSV45" s="1044"/>
      <c r="VSW45" s="1044"/>
      <c r="VSX45" s="1044"/>
      <c r="VSY45" s="1044"/>
      <c r="VSZ45" s="1044"/>
      <c r="VTA45" s="1044"/>
      <c r="VTB45" s="1044"/>
      <c r="VTC45" s="1044"/>
      <c r="VTD45" s="1044"/>
      <c r="VTE45" s="1044"/>
      <c r="VTF45" s="1044"/>
      <c r="VTG45" s="1044"/>
      <c r="VTH45" s="1044"/>
      <c r="VTI45" s="1044"/>
      <c r="VTJ45" s="1044"/>
      <c r="VTK45" s="1044"/>
      <c r="VTL45" s="1044"/>
      <c r="VTM45" s="1044"/>
      <c r="VTN45" s="1044"/>
      <c r="VTO45" s="1044"/>
      <c r="VTP45" s="1044"/>
      <c r="VTQ45" s="1044"/>
      <c r="VTR45" s="1044"/>
      <c r="VTS45" s="1044"/>
      <c r="VTT45" s="1044"/>
      <c r="VTU45" s="1044"/>
      <c r="VTV45" s="1044"/>
      <c r="VTW45" s="1044"/>
      <c r="VTX45" s="1044"/>
      <c r="VTY45" s="1044"/>
      <c r="VTZ45" s="1044"/>
      <c r="VUA45" s="1044"/>
      <c r="VUB45" s="1044"/>
      <c r="VUC45" s="1044"/>
      <c r="VUD45" s="1044"/>
      <c r="VUE45" s="1044"/>
      <c r="VUF45" s="1044"/>
      <c r="VUG45" s="1044"/>
      <c r="VUH45" s="1044"/>
      <c r="VUI45" s="1044"/>
      <c r="VUJ45" s="1044"/>
      <c r="VUK45" s="1044"/>
      <c r="VUL45" s="1044"/>
      <c r="VUM45" s="1044"/>
      <c r="VUN45" s="1044"/>
      <c r="VUO45" s="1044"/>
      <c r="VUP45" s="1044"/>
      <c r="VUQ45" s="1044"/>
      <c r="VUR45" s="1044"/>
      <c r="VUS45" s="1044"/>
      <c r="VUT45" s="1044"/>
      <c r="VUU45" s="1044"/>
      <c r="VUV45" s="1044"/>
      <c r="VUW45" s="1044"/>
      <c r="VUX45" s="1044"/>
      <c r="VUY45" s="1044"/>
      <c r="VUZ45" s="1044"/>
      <c r="VVA45" s="1044"/>
      <c r="VVB45" s="1044"/>
      <c r="VVC45" s="1044"/>
      <c r="VVD45" s="1044"/>
      <c r="VVE45" s="1044"/>
      <c r="VVF45" s="1044"/>
      <c r="VVG45" s="1044"/>
      <c r="VVH45" s="1044"/>
      <c r="VVI45" s="1044"/>
      <c r="VVJ45" s="1044"/>
      <c r="VVK45" s="1044"/>
      <c r="VVL45" s="1044"/>
      <c r="VVM45" s="1044"/>
      <c r="VVN45" s="1044"/>
      <c r="VVO45" s="1044"/>
      <c r="VVP45" s="1044"/>
      <c r="VVQ45" s="1044"/>
      <c r="VVR45" s="1044"/>
      <c r="VVS45" s="1044"/>
      <c r="VVT45" s="1044"/>
      <c r="VVU45" s="1044"/>
      <c r="VVV45" s="1044"/>
      <c r="VVW45" s="1044"/>
      <c r="VVX45" s="1044"/>
      <c r="VVY45" s="1044"/>
      <c r="VVZ45" s="1044"/>
      <c r="VWA45" s="1044"/>
      <c r="VWB45" s="1044"/>
      <c r="VWC45" s="1044"/>
      <c r="VWD45" s="1044"/>
      <c r="VWE45" s="1044"/>
      <c r="VWF45" s="1044"/>
      <c r="VWG45" s="1044"/>
      <c r="VWH45" s="1044"/>
      <c r="VWI45" s="1044"/>
      <c r="VWJ45" s="1044"/>
      <c r="VWK45" s="1044"/>
      <c r="VWL45" s="1044"/>
      <c r="VWM45" s="1044"/>
      <c r="VWN45" s="1044"/>
      <c r="VWO45" s="1044"/>
      <c r="VWP45" s="1044"/>
      <c r="VWQ45" s="1044"/>
      <c r="VWR45" s="1044"/>
      <c r="VWS45" s="1044"/>
      <c r="VWT45" s="1044"/>
      <c r="VWU45" s="1044"/>
      <c r="VWV45" s="1044"/>
      <c r="VWW45" s="1044"/>
      <c r="VWX45" s="1044"/>
      <c r="VWY45" s="1044"/>
      <c r="VWZ45" s="1044"/>
      <c r="VXA45" s="1044"/>
      <c r="VXB45" s="1044"/>
      <c r="VXC45" s="1044"/>
      <c r="VXD45" s="1044"/>
      <c r="VXE45" s="1044"/>
      <c r="VXF45" s="1044"/>
      <c r="VXG45" s="1044"/>
      <c r="VXH45" s="1044"/>
      <c r="VXI45" s="1044"/>
      <c r="VXJ45" s="1044"/>
      <c r="VXK45" s="1044"/>
      <c r="VXL45" s="1044"/>
      <c r="VXM45" s="1044"/>
      <c r="VXN45" s="1044"/>
      <c r="VXO45" s="1044"/>
      <c r="VXP45" s="1044"/>
      <c r="VXQ45" s="1044"/>
      <c r="VXR45" s="1044"/>
      <c r="VXS45" s="1044"/>
      <c r="VXT45" s="1044"/>
      <c r="VXU45" s="1044"/>
      <c r="VXV45" s="1044"/>
      <c r="VXW45" s="1044"/>
      <c r="VXX45" s="1044"/>
      <c r="VXY45" s="1044"/>
      <c r="VXZ45" s="1044"/>
      <c r="VYA45" s="1044"/>
      <c r="VYB45" s="1044"/>
      <c r="VYC45" s="1044"/>
      <c r="VYD45" s="1044"/>
      <c r="VYE45" s="1044"/>
      <c r="VYF45" s="1044"/>
      <c r="VYG45" s="1044"/>
      <c r="VYH45" s="1044"/>
      <c r="VYI45" s="1044"/>
      <c r="VYJ45" s="1044"/>
      <c r="VYK45" s="1044"/>
      <c r="VYL45" s="1044"/>
      <c r="VYM45" s="1044"/>
      <c r="VYN45" s="1044"/>
      <c r="VYO45" s="1044"/>
      <c r="VYP45" s="1044"/>
      <c r="VYQ45" s="1044"/>
      <c r="VYR45" s="1044"/>
      <c r="VYS45" s="1044"/>
      <c r="VYT45" s="1044"/>
      <c r="VYU45" s="1044"/>
      <c r="VYV45" s="1044"/>
      <c r="VYW45" s="1044"/>
      <c r="VYX45" s="1044"/>
      <c r="VYY45" s="1044"/>
      <c r="VYZ45" s="1044"/>
      <c r="VZA45" s="1044"/>
      <c r="VZB45" s="1044"/>
      <c r="VZC45" s="1044"/>
      <c r="VZD45" s="1044"/>
      <c r="VZE45" s="1044"/>
      <c r="VZF45" s="1044"/>
      <c r="VZG45" s="1044"/>
      <c r="VZH45" s="1044"/>
      <c r="VZI45" s="1044"/>
      <c r="VZJ45" s="1044"/>
      <c r="VZK45" s="1044"/>
      <c r="VZL45" s="1044"/>
      <c r="VZM45" s="1044"/>
      <c r="VZN45" s="1044"/>
      <c r="VZO45" s="1044"/>
      <c r="VZP45" s="1044"/>
      <c r="VZQ45" s="1044"/>
      <c r="VZR45" s="1044"/>
      <c r="VZS45" s="1044"/>
      <c r="VZT45" s="1044"/>
      <c r="VZU45" s="1044"/>
      <c r="VZV45" s="1044"/>
      <c r="VZW45" s="1044"/>
      <c r="VZX45" s="1044"/>
      <c r="VZY45" s="1044"/>
      <c r="VZZ45" s="1044"/>
      <c r="WAA45" s="1044"/>
      <c r="WAB45" s="1044"/>
      <c r="WAC45" s="1044"/>
      <c r="WAD45" s="1044"/>
      <c r="WAE45" s="1044"/>
      <c r="WAF45" s="1044"/>
      <c r="WAG45" s="1044"/>
      <c r="WAH45" s="1044"/>
      <c r="WAI45" s="1044"/>
      <c r="WAJ45" s="1044"/>
      <c r="WAK45" s="1044"/>
      <c r="WAL45" s="1044"/>
      <c r="WAM45" s="1044"/>
      <c r="WAN45" s="1044"/>
      <c r="WAO45" s="1044"/>
      <c r="WAP45" s="1044"/>
      <c r="WAQ45" s="1044"/>
      <c r="WAR45" s="1044"/>
      <c r="WAS45" s="1044"/>
      <c r="WAT45" s="1044"/>
      <c r="WAU45" s="1044"/>
      <c r="WAV45" s="1044"/>
      <c r="WAW45" s="1044"/>
      <c r="WAX45" s="1044"/>
      <c r="WAY45" s="1044"/>
      <c r="WAZ45" s="1044"/>
      <c r="WBA45" s="1044"/>
      <c r="WBB45" s="1044"/>
      <c r="WBC45" s="1044"/>
      <c r="WBD45" s="1044"/>
      <c r="WBE45" s="1044"/>
      <c r="WBF45" s="1044"/>
      <c r="WBG45" s="1044"/>
      <c r="WBH45" s="1044"/>
      <c r="WBI45" s="1044"/>
      <c r="WBJ45" s="1044"/>
      <c r="WBK45" s="1044"/>
      <c r="WBL45" s="1044"/>
      <c r="WBM45" s="1044"/>
      <c r="WBN45" s="1044"/>
      <c r="WBO45" s="1044"/>
      <c r="WBP45" s="1044"/>
      <c r="WBQ45" s="1044"/>
      <c r="WBR45" s="1044"/>
      <c r="WBS45" s="1044"/>
      <c r="WBT45" s="1044"/>
      <c r="WBU45" s="1044"/>
      <c r="WBV45" s="1044"/>
      <c r="WBW45" s="1044"/>
      <c r="WBX45" s="1044"/>
      <c r="WBY45" s="1044"/>
      <c r="WBZ45" s="1044"/>
      <c r="WCA45" s="1044"/>
      <c r="WCB45" s="1044"/>
      <c r="WCC45" s="1044"/>
      <c r="WCD45" s="1044"/>
      <c r="WCE45" s="1044"/>
      <c r="WCF45" s="1044"/>
      <c r="WCG45" s="1044"/>
      <c r="WCH45" s="1044"/>
      <c r="WCI45" s="1044"/>
      <c r="WCJ45" s="1044"/>
      <c r="WCK45" s="1044"/>
      <c r="WCL45" s="1044"/>
      <c r="WCM45" s="1044"/>
      <c r="WCN45" s="1044"/>
      <c r="WCO45" s="1044"/>
      <c r="WCP45" s="1044"/>
      <c r="WCQ45" s="1044"/>
      <c r="WCR45" s="1044"/>
      <c r="WCS45" s="1044"/>
      <c r="WCT45" s="1044"/>
      <c r="WCU45" s="1044"/>
      <c r="WCV45" s="1044"/>
      <c r="WCW45" s="1044"/>
      <c r="WCX45" s="1044"/>
      <c r="WCY45" s="1044"/>
      <c r="WCZ45" s="1044"/>
      <c r="WDA45" s="1044"/>
      <c r="WDB45" s="1044"/>
      <c r="WDC45" s="1044"/>
      <c r="WDD45" s="1044"/>
      <c r="WDE45" s="1044"/>
      <c r="WDF45" s="1044"/>
      <c r="WDG45" s="1044"/>
      <c r="WDH45" s="1044"/>
      <c r="WDI45" s="1044"/>
      <c r="WDJ45" s="1044"/>
      <c r="WDK45" s="1044"/>
      <c r="WDL45" s="1044"/>
      <c r="WDM45" s="1044"/>
      <c r="WDN45" s="1044"/>
      <c r="WDO45" s="1044"/>
      <c r="WDP45" s="1044"/>
      <c r="WDQ45" s="1044"/>
      <c r="WDR45" s="1044"/>
      <c r="WDS45" s="1044"/>
      <c r="WDT45" s="1044"/>
      <c r="WDU45" s="1044"/>
      <c r="WDV45" s="1044"/>
      <c r="WDW45" s="1044"/>
      <c r="WDX45" s="1044"/>
      <c r="WDY45" s="1044"/>
      <c r="WDZ45" s="1044"/>
      <c r="WEA45" s="1044"/>
      <c r="WEB45" s="1044"/>
      <c r="WEC45" s="1044"/>
      <c r="WED45" s="1044"/>
      <c r="WEE45" s="1044"/>
      <c r="WEF45" s="1044"/>
      <c r="WEG45" s="1044"/>
      <c r="WEH45" s="1044"/>
      <c r="WEI45" s="1044"/>
      <c r="WEJ45" s="1044"/>
      <c r="WEK45" s="1044"/>
      <c r="WEL45" s="1044"/>
      <c r="WEM45" s="1044"/>
      <c r="WEN45" s="1044"/>
      <c r="WEO45" s="1044"/>
      <c r="WEP45" s="1044"/>
      <c r="WEQ45" s="1044"/>
      <c r="WER45" s="1044"/>
      <c r="WES45" s="1044"/>
      <c r="WET45" s="1044"/>
      <c r="WEU45" s="1044"/>
      <c r="WEV45" s="1044"/>
      <c r="WEW45" s="1044"/>
      <c r="WEX45" s="1044"/>
      <c r="WEY45" s="1044"/>
      <c r="WEZ45" s="1044"/>
      <c r="WFA45" s="1044"/>
      <c r="WFB45" s="1044"/>
      <c r="WFC45" s="1044"/>
      <c r="WFD45" s="1044"/>
      <c r="WFE45" s="1044"/>
      <c r="WFF45" s="1044"/>
      <c r="WFG45" s="1044"/>
      <c r="WFH45" s="1044"/>
      <c r="WFI45" s="1044"/>
      <c r="WFJ45" s="1044"/>
      <c r="WFK45" s="1044"/>
      <c r="WFL45" s="1044"/>
      <c r="WFM45" s="1044"/>
      <c r="WFN45" s="1044"/>
      <c r="WFO45" s="1044"/>
      <c r="WFP45" s="1044"/>
      <c r="WFQ45" s="1044"/>
      <c r="WFR45" s="1044"/>
      <c r="WFS45" s="1044"/>
      <c r="WFT45" s="1044"/>
      <c r="WFU45" s="1044"/>
      <c r="WFV45" s="1044"/>
      <c r="WFW45" s="1044"/>
      <c r="WFX45" s="1044"/>
      <c r="WFY45" s="1044"/>
      <c r="WFZ45" s="1044"/>
      <c r="WGA45" s="1044"/>
      <c r="WGB45" s="1044"/>
      <c r="WGC45" s="1044"/>
      <c r="WGD45" s="1044"/>
      <c r="WGE45" s="1044"/>
      <c r="WGF45" s="1044"/>
      <c r="WGG45" s="1044"/>
      <c r="WGH45" s="1044"/>
      <c r="WGI45" s="1044"/>
      <c r="WGJ45" s="1044"/>
      <c r="WGK45" s="1044"/>
      <c r="WGL45" s="1044"/>
      <c r="WGM45" s="1044"/>
      <c r="WGN45" s="1044"/>
      <c r="WGO45" s="1044"/>
      <c r="WGP45" s="1044"/>
      <c r="WGQ45" s="1044"/>
      <c r="WGR45" s="1044"/>
      <c r="WGS45" s="1044"/>
      <c r="WGT45" s="1044"/>
      <c r="WGU45" s="1044"/>
      <c r="WGV45" s="1044"/>
      <c r="WGW45" s="1044"/>
      <c r="WGX45" s="1044"/>
      <c r="WGY45" s="1044"/>
      <c r="WGZ45" s="1044"/>
      <c r="WHA45" s="1044"/>
      <c r="WHB45" s="1044"/>
      <c r="WHC45" s="1044"/>
      <c r="WHD45" s="1044"/>
      <c r="WHE45" s="1044"/>
      <c r="WHF45" s="1044"/>
      <c r="WHG45" s="1044"/>
      <c r="WHH45" s="1044"/>
      <c r="WHI45" s="1044"/>
      <c r="WHJ45" s="1044"/>
      <c r="WHK45" s="1044"/>
      <c r="WHL45" s="1044"/>
      <c r="WHM45" s="1044"/>
      <c r="WHN45" s="1044"/>
      <c r="WHO45" s="1044"/>
      <c r="WHP45" s="1044"/>
      <c r="WHQ45" s="1044"/>
      <c r="WHR45" s="1044"/>
      <c r="WHS45" s="1044"/>
      <c r="WHT45" s="1044"/>
      <c r="WHU45" s="1044"/>
      <c r="WHV45" s="1044"/>
      <c r="WHW45" s="1044"/>
      <c r="WHX45" s="1044"/>
      <c r="WHY45" s="1044"/>
      <c r="WHZ45" s="1044"/>
      <c r="WIA45" s="1044"/>
      <c r="WIB45" s="1044"/>
      <c r="WIC45" s="1044"/>
      <c r="WID45" s="1044"/>
      <c r="WIE45" s="1044"/>
      <c r="WIF45" s="1044"/>
      <c r="WIG45" s="1044"/>
      <c r="WIH45" s="1044"/>
      <c r="WII45" s="1044"/>
      <c r="WIJ45" s="1044"/>
      <c r="WIK45" s="1044"/>
      <c r="WIL45" s="1044"/>
      <c r="WIM45" s="1044"/>
      <c r="WIN45" s="1044"/>
      <c r="WIO45" s="1044"/>
      <c r="WIP45" s="1044"/>
      <c r="WIQ45" s="1044"/>
      <c r="WIR45" s="1044"/>
      <c r="WIS45" s="1044"/>
      <c r="WIT45" s="1044"/>
      <c r="WIU45" s="1044"/>
      <c r="WIV45" s="1044"/>
      <c r="WIW45" s="1044"/>
      <c r="WIX45" s="1044"/>
      <c r="WIY45" s="1044"/>
      <c r="WIZ45" s="1044"/>
      <c r="WJA45" s="1044"/>
      <c r="WJB45" s="1044"/>
      <c r="WJC45" s="1044"/>
      <c r="WJD45" s="1044"/>
      <c r="WJE45" s="1044"/>
      <c r="WJF45" s="1044"/>
      <c r="WJG45" s="1044"/>
      <c r="WJH45" s="1044"/>
      <c r="WJI45" s="1044"/>
      <c r="WJJ45" s="1044"/>
      <c r="WJK45" s="1044"/>
      <c r="WJL45" s="1044"/>
      <c r="WJM45" s="1044"/>
      <c r="WJN45" s="1044"/>
      <c r="WJO45" s="1044"/>
      <c r="WJP45" s="1044"/>
      <c r="WJQ45" s="1044"/>
      <c r="WJR45" s="1044"/>
      <c r="WJS45" s="1044"/>
      <c r="WJT45" s="1044"/>
      <c r="WJU45" s="1044"/>
      <c r="WJV45" s="1044"/>
      <c r="WJW45" s="1044"/>
      <c r="WJX45" s="1044"/>
      <c r="WJY45" s="1044"/>
      <c r="WJZ45" s="1044"/>
      <c r="WKA45" s="1044"/>
      <c r="WKB45" s="1044"/>
      <c r="WKC45" s="1044"/>
      <c r="WKD45" s="1044"/>
      <c r="WKE45" s="1044"/>
      <c r="WKF45" s="1044"/>
      <c r="WKG45" s="1044"/>
      <c r="WKH45" s="1044"/>
      <c r="WKI45" s="1044"/>
      <c r="WKJ45" s="1044"/>
      <c r="WKK45" s="1044"/>
      <c r="WKL45" s="1044"/>
      <c r="WKM45" s="1044"/>
      <c r="WKN45" s="1044"/>
      <c r="WKO45" s="1044"/>
      <c r="WKP45" s="1044"/>
      <c r="WKQ45" s="1044"/>
      <c r="WKR45" s="1044"/>
      <c r="WKS45" s="1044"/>
      <c r="WKT45" s="1044"/>
      <c r="WKU45" s="1044"/>
      <c r="WKV45" s="1044"/>
      <c r="WKW45" s="1044"/>
      <c r="WKX45" s="1044"/>
      <c r="WKY45" s="1044"/>
      <c r="WKZ45" s="1044"/>
      <c r="WLA45" s="1044"/>
      <c r="WLB45" s="1044"/>
      <c r="WLC45" s="1044"/>
      <c r="WLD45" s="1044"/>
      <c r="WLE45" s="1044"/>
      <c r="WLF45" s="1044"/>
      <c r="WLG45" s="1044"/>
      <c r="WLH45" s="1044"/>
      <c r="WLI45" s="1044"/>
      <c r="WLJ45" s="1044"/>
      <c r="WLK45" s="1044"/>
      <c r="WLL45" s="1044"/>
      <c r="WLM45" s="1044"/>
      <c r="WLN45" s="1044"/>
      <c r="WLO45" s="1044"/>
      <c r="WLP45" s="1044"/>
      <c r="WLQ45" s="1044"/>
      <c r="WLR45" s="1044"/>
      <c r="WLS45" s="1044"/>
      <c r="WLT45" s="1044"/>
      <c r="WLU45" s="1044"/>
      <c r="WLV45" s="1044"/>
      <c r="WLW45" s="1044"/>
      <c r="WLX45" s="1044"/>
      <c r="WLY45" s="1044"/>
      <c r="WLZ45" s="1044"/>
      <c r="WMA45" s="1044"/>
      <c r="WMB45" s="1044"/>
      <c r="WMC45" s="1044"/>
      <c r="WMD45" s="1044"/>
      <c r="WME45" s="1044"/>
      <c r="WMF45" s="1044"/>
      <c r="WMG45" s="1044"/>
      <c r="WMH45" s="1044"/>
      <c r="WMI45" s="1044"/>
      <c r="WMJ45" s="1044"/>
      <c r="WMK45" s="1044"/>
      <c r="WML45" s="1044"/>
      <c r="WMM45" s="1044"/>
      <c r="WMN45" s="1044"/>
      <c r="WMO45" s="1044"/>
      <c r="WMP45" s="1044"/>
      <c r="WMQ45" s="1044"/>
      <c r="WMR45" s="1044"/>
      <c r="WMS45" s="1044"/>
      <c r="WMT45" s="1044"/>
      <c r="WMU45" s="1044"/>
      <c r="WMV45" s="1044"/>
      <c r="WMW45" s="1044"/>
      <c r="WMX45" s="1044"/>
      <c r="WMY45" s="1044"/>
      <c r="WMZ45" s="1044"/>
      <c r="WNA45" s="1044"/>
      <c r="WNB45" s="1044"/>
      <c r="WNC45" s="1044"/>
      <c r="WND45" s="1044"/>
      <c r="WNE45" s="1044"/>
      <c r="WNF45" s="1044"/>
      <c r="WNG45" s="1044"/>
      <c r="WNH45" s="1044"/>
      <c r="WNI45" s="1044"/>
      <c r="WNJ45" s="1044"/>
      <c r="WNK45" s="1044"/>
      <c r="WNL45" s="1044"/>
      <c r="WNM45" s="1044"/>
      <c r="WNN45" s="1044"/>
      <c r="WNO45" s="1044"/>
      <c r="WNP45" s="1044"/>
      <c r="WNQ45" s="1044"/>
      <c r="WNR45" s="1044"/>
      <c r="WNS45" s="1044"/>
      <c r="WNT45" s="1044"/>
      <c r="WNU45" s="1044"/>
      <c r="WNV45" s="1044"/>
      <c r="WNW45" s="1044"/>
      <c r="WNX45" s="1044"/>
      <c r="WNY45" s="1044"/>
      <c r="WNZ45" s="1044"/>
      <c r="WOA45" s="1044"/>
      <c r="WOB45" s="1044"/>
      <c r="WOC45" s="1044"/>
      <c r="WOD45" s="1044"/>
      <c r="WOE45" s="1044"/>
      <c r="WOF45" s="1044"/>
      <c r="WOG45" s="1044"/>
      <c r="WOH45" s="1044"/>
      <c r="WOI45" s="1044"/>
      <c r="WOJ45" s="1044"/>
      <c r="WOK45" s="1044"/>
      <c r="WOL45" s="1044"/>
      <c r="WOM45" s="1044"/>
      <c r="WON45" s="1044"/>
      <c r="WOO45" s="1044"/>
      <c r="WOP45" s="1044"/>
      <c r="WOQ45" s="1044"/>
      <c r="WOR45" s="1044"/>
      <c r="WOS45" s="1044"/>
      <c r="WOT45" s="1044"/>
      <c r="WOU45" s="1044"/>
      <c r="WOV45" s="1044"/>
      <c r="WOW45" s="1044"/>
      <c r="WOX45" s="1044"/>
      <c r="WOY45" s="1044"/>
      <c r="WOZ45" s="1044"/>
      <c r="WPA45" s="1044"/>
      <c r="WPB45" s="1044"/>
      <c r="WPC45" s="1044"/>
      <c r="WPD45" s="1044"/>
      <c r="WPE45" s="1044"/>
      <c r="WPF45" s="1044"/>
      <c r="WPG45" s="1044"/>
      <c r="WPH45" s="1044"/>
      <c r="WPI45" s="1044"/>
      <c r="WPJ45" s="1044"/>
      <c r="WPK45" s="1044"/>
      <c r="WPL45" s="1044"/>
      <c r="WPM45" s="1044"/>
      <c r="WPN45" s="1044"/>
      <c r="WPO45" s="1044"/>
      <c r="WPP45" s="1044"/>
      <c r="WPQ45" s="1044"/>
      <c r="WPR45" s="1044"/>
      <c r="WPS45" s="1044"/>
      <c r="WPT45" s="1044"/>
      <c r="WPU45" s="1044"/>
      <c r="WPV45" s="1044"/>
      <c r="WPW45" s="1044"/>
      <c r="WPX45" s="1044"/>
      <c r="WPY45" s="1044"/>
      <c r="WPZ45" s="1044"/>
      <c r="WQA45" s="1044"/>
      <c r="WQB45" s="1044"/>
      <c r="WQC45" s="1044"/>
      <c r="WQD45" s="1044"/>
      <c r="WQE45" s="1044"/>
      <c r="WQF45" s="1044"/>
      <c r="WQG45" s="1044"/>
      <c r="WQH45" s="1044"/>
      <c r="WQI45" s="1044"/>
      <c r="WQJ45" s="1044"/>
      <c r="WQK45" s="1044"/>
      <c r="WQL45" s="1044"/>
      <c r="WQM45" s="1044"/>
      <c r="WQN45" s="1044"/>
      <c r="WQO45" s="1044"/>
      <c r="WQP45" s="1044"/>
      <c r="WQQ45" s="1044"/>
      <c r="WQR45" s="1044"/>
      <c r="WQS45" s="1044"/>
      <c r="WQT45" s="1044"/>
      <c r="WQU45" s="1044"/>
      <c r="WQV45" s="1044"/>
      <c r="WQW45" s="1044"/>
      <c r="WQX45" s="1044"/>
      <c r="WQY45" s="1044"/>
      <c r="WQZ45" s="1044"/>
      <c r="WRA45" s="1044"/>
      <c r="WRB45" s="1044"/>
      <c r="WRC45" s="1044"/>
      <c r="WRD45" s="1044"/>
      <c r="WRE45" s="1044"/>
      <c r="WRF45" s="1044"/>
      <c r="WRG45" s="1044"/>
      <c r="WRH45" s="1044"/>
      <c r="WRI45" s="1044"/>
      <c r="WRJ45" s="1044"/>
      <c r="WRK45" s="1044"/>
      <c r="WRL45" s="1044"/>
      <c r="WRM45" s="1044"/>
      <c r="WRN45" s="1044"/>
      <c r="WRO45" s="1044"/>
      <c r="WRP45" s="1044"/>
      <c r="WRQ45" s="1044"/>
      <c r="WRR45" s="1044"/>
      <c r="WRS45" s="1044"/>
      <c r="WRT45" s="1044"/>
      <c r="WRU45" s="1044"/>
      <c r="WRV45" s="1044"/>
      <c r="WRW45" s="1044"/>
      <c r="WRX45" s="1044"/>
      <c r="WRY45" s="1044"/>
      <c r="WRZ45" s="1044"/>
      <c r="WSA45" s="1044"/>
      <c r="WSB45" s="1044"/>
      <c r="WSC45" s="1044"/>
      <c r="WSD45" s="1044"/>
      <c r="WSE45" s="1044"/>
      <c r="WSF45" s="1044"/>
      <c r="WSG45" s="1044"/>
      <c r="WSH45" s="1044"/>
      <c r="WSI45" s="1044"/>
      <c r="WSJ45" s="1044"/>
      <c r="WSK45" s="1044"/>
      <c r="WSL45" s="1044"/>
      <c r="WSM45" s="1044"/>
      <c r="WSN45" s="1044"/>
      <c r="WSO45" s="1044"/>
      <c r="WSP45" s="1044"/>
      <c r="WSQ45" s="1044"/>
      <c r="WSR45" s="1044"/>
      <c r="WSS45" s="1044"/>
      <c r="WST45" s="1044"/>
      <c r="WSU45" s="1044"/>
      <c r="WSV45" s="1044"/>
      <c r="WSW45" s="1044"/>
      <c r="WSX45" s="1044"/>
      <c r="WSY45" s="1044"/>
      <c r="WSZ45" s="1044"/>
      <c r="WTA45" s="1044"/>
      <c r="WTB45" s="1044"/>
      <c r="WTC45" s="1044"/>
      <c r="WTD45" s="1044"/>
      <c r="WTE45" s="1044"/>
      <c r="WTF45" s="1044"/>
      <c r="WTG45" s="1044"/>
      <c r="WTH45" s="1044"/>
      <c r="WTI45" s="1044"/>
      <c r="WTJ45" s="1044"/>
      <c r="WTK45" s="1044"/>
      <c r="WTL45" s="1044"/>
      <c r="WTM45" s="1044"/>
      <c r="WTN45" s="1044"/>
      <c r="WTO45" s="1044"/>
      <c r="WTP45" s="1044"/>
      <c r="WTQ45" s="1044"/>
      <c r="WTR45" s="1044"/>
      <c r="WTS45" s="1044"/>
      <c r="WTT45" s="1044"/>
      <c r="WTU45" s="1044"/>
      <c r="WTV45" s="1044"/>
      <c r="WTW45" s="1044"/>
      <c r="WTX45" s="1044"/>
      <c r="WTY45" s="1044"/>
      <c r="WTZ45" s="1044"/>
      <c r="WUA45" s="1044"/>
      <c r="WUB45" s="1044"/>
      <c r="WUC45" s="1044"/>
      <c r="WUD45" s="1044"/>
      <c r="WUE45" s="1044"/>
      <c r="WUF45" s="1044"/>
      <c r="WUG45" s="1044"/>
      <c r="WUH45" s="1044"/>
      <c r="WUI45" s="1044"/>
      <c r="WUJ45" s="1044"/>
      <c r="WUK45" s="1044"/>
      <c r="WUL45" s="1044"/>
      <c r="WUM45" s="1044"/>
      <c r="WUN45" s="1044"/>
      <c r="WUO45" s="1044"/>
      <c r="WUP45" s="1044"/>
      <c r="WUQ45" s="1044"/>
      <c r="WUR45" s="1044"/>
      <c r="WUS45" s="1044"/>
      <c r="WUT45" s="1044"/>
      <c r="WUU45" s="1044"/>
      <c r="WUV45" s="1044"/>
      <c r="WUW45" s="1044"/>
      <c r="WUX45" s="1044"/>
      <c r="WUY45" s="1044"/>
      <c r="WUZ45" s="1044"/>
      <c r="WVA45" s="1044"/>
      <c r="WVB45" s="1044"/>
      <c r="WVC45" s="1044"/>
      <c r="WVD45" s="1044"/>
      <c r="WVE45" s="1044"/>
      <c r="WVF45" s="1044"/>
      <c r="WVG45" s="1044"/>
      <c r="WVH45" s="1044"/>
      <c r="WVI45" s="1044"/>
      <c r="WVJ45" s="1044"/>
      <c r="WVK45" s="1044"/>
      <c r="WVL45" s="1044"/>
      <c r="WVM45" s="1044"/>
      <c r="WVN45" s="1044"/>
      <c r="WVO45" s="1044"/>
      <c r="WVP45" s="1044"/>
      <c r="WVQ45" s="1044"/>
      <c r="WVR45" s="1044"/>
      <c r="WVS45" s="1044"/>
      <c r="WVT45" s="1044"/>
      <c r="WVU45" s="1044"/>
      <c r="WVV45" s="1044"/>
      <c r="WVW45" s="1044"/>
      <c r="WVX45" s="1044"/>
      <c r="WVY45" s="1044"/>
      <c r="WVZ45" s="1044"/>
      <c r="WWA45" s="1044"/>
      <c r="WWB45" s="1044"/>
      <c r="WWC45" s="1044"/>
      <c r="WWD45" s="1044"/>
      <c r="WWE45" s="1044"/>
      <c r="WWF45" s="1044"/>
      <c r="WWG45" s="1044"/>
      <c r="WWH45" s="1044"/>
      <c r="WWI45" s="1044"/>
      <c r="WWJ45" s="1044"/>
      <c r="WWK45" s="1044"/>
      <c r="WWL45" s="1044"/>
      <c r="WWM45" s="1044"/>
      <c r="WWN45" s="1044"/>
      <c r="WWO45" s="1044"/>
      <c r="WWP45" s="1044"/>
      <c r="WWQ45" s="1044"/>
      <c r="WWR45" s="1044"/>
      <c r="WWS45" s="1044"/>
      <c r="WWT45" s="1044"/>
      <c r="WWU45" s="1044"/>
      <c r="WWV45" s="1044"/>
      <c r="WWW45" s="1044"/>
      <c r="WWX45" s="1044"/>
      <c r="WWY45" s="1044"/>
      <c r="WWZ45" s="1044"/>
      <c r="WXA45" s="1044"/>
      <c r="WXB45" s="1044"/>
      <c r="WXC45" s="1044"/>
      <c r="WXD45" s="1044"/>
      <c r="WXE45" s="1044"/>
      <c r="WXF45" s="1044"/>
      <c r="WXG45" s="1044"/>
      <c r="WXH45" s="1044"/>
      <c r="WXI45" s="1044"/>
      <c r="WXJ45" s="1044"/>
      <c r="WXK45" s="1044"/>
      <c r="WXL45" s="1044"/>
      <c r="WXM45" s="1044"/>
      <c r="WXN45" s="1044"/>
      <c r="WXO45" s="1044"/>
      <c r="WXP45" s="1044"/>
      <c r="WXQ45" s="1044"/>
      <c r="WXR45" s="1044"/>
      <c r="WXS45" s="1044"/>
      <c r="WXT45" s="1044"/>
      <c r="WXU45" s="1044"/>
      <c r="WXV45" s="1044"/>
      <c r="WXW45" s="1044"/>
      <c r="WXX45" s="1044"/>
      <c r="WXY45" s="1044"/>
      <c r="WXZ45" s="1044"/>
      <c r="WYA45" s="1044"/>
      <c r="WYB45" s="1044"/>
      <c r="WYC45" s="1044"/>
      <c r="WYD45" s="1044"/>
      <c r="WYE45" s="1044"/>
      <c r="WYF45" s="1044"/>
      <c r="WYG45" s="1044"/>
      <c r="WYH45" s="1044"/>
      <c r="WYI45" s="1044"/>
      <c r="WYJ45" s="1044"/>
      <c r="WYK45" s="1044"/>
      <c r="WYL45" s="1044"/>
      <c r="WYM45" s="1044"/>
      <c r="WYN45" s="1044"/>
      <c r="WYO45" s="1044"/>
      <c r="WYP45" s="1044"/>
      <c r="WYQ45" s="1044"/>
      <c r="WYR45" s="1044"/>
      <c r="WYS45" s="1044"/>
      <c r="WYT45" s="1044"/>
      <c r="WYU45" s="1044"/>
      <c r="WYV45" s="1044"/>
      <c r="WYW45" s="1044"/>
      <c r="WYX45" s="1044"/>
      <c r="WYY45" s="1044"/>
      <c r="WYZ45" s="1044"/>
      <c r="WZA45" s="1044"/>
      <c r="WZB45" s="1044"/>
      <c r="WZC45" s="1044"/>
      <c r="WZD45" s="1044"/>
      <c r="WZE45" s="1044"/>
      <c r="WZF45" s="1044"/>
      <c r="WZG45" s="1044"/>
      <c r="WZH45" s="1044"/>
      <c r="WZI45" s="1044"/>
      <c r="WZJ45" s="1044"/>
      <c r="WZK45" s="1044"/>
      <c r="WZL45" s="1044"/>
      <c r="WZM45" s="1044"/>
      <c r="WZN45" s="1044"/>
      <c r="WZO45" s="1044"/>
      <c r="WZP45" s="1044"/>
      <c r="WZQ45" s="1044"/>
      <c r="WZR45" s="1044"/>
      <c r="WZS45" s="1044"/>
      <c r="WZT45" s="1044"/>
      <c r="WZU45" s="1044"/>
      <c r="WZV45" s="1044"/>
      <c r="WZW45" s="1044"/>
      <c r="WZX45" s="1044"/>
      <c r="WZY45" s="1044"/>
      <c r="WZZ45" s="1044"/>
      <c r="XAA45" s="1044"/>
      <c r="XAB45" s="1044"/>
      <c r="XAC45" s="1044"/>
      <c r="XAD45" s="1044"/>
      <c r="XAE45" s="1044"/>
      <c r="XAF45" s="1044"/>
      <c r="XAG45" s="1044"/>
      <c r="XAH45" s="1044"/>
      <c r="XAI45" s="1044"/>
      <c r="XAJ45" s="1044"/>
      <c r="XAK45" s="1044"/>
      <c r="XAL45" s="1044"/>
      <c r="XAM45" s="1044"/>
      <c r="XAN45" s="1044"/>
      <c r="XAO45" s="1044"/>
      <c r="XAP45" s="1044"/>
      <c r="XAQ45" s="1044"/>
      <c r="XAR45" s="1044"/>
      <c r="XAS45" s="1044"/>
      <c r="XAT45" s="1044"/>
      <c r="XAU45" s="1044"/>
      <c r="XAV45" s="1044"/>
      <c r="XAW45" s="1044"/>
      <c r="XAX45" s="1044"/>
      <c r="XAY45" s="1044"/>
      <c r="XAZ45" s="1044"/>
      <c r="XBA45" s="1044"/>
      <c r="XBB45" s="1044"/>
      <c r="XBC45" s="1044"/>
      <c r="XBD45" s="1044"/>
      <c r="XBE45" s="1044"/>
      <c r="XBF45" s="1044"/>
      <c r="XBG45" s="1044"/>
      <c r="XBH45" s="1044"/>
      <c r="XBI45" s="1044"/>
      <c r="XBJ45" s="1044"/>
      <c r="XBK45" s="1044"/>
      <c r="XBL45" s="1044"/>
      <c r="XBM45" s="1044"/>
      <c r="XBN45" s="1044"/>
      <c r="XBO45" s="1044"/>
      <c r="XBP45" s="1044"/>
      <c r="XBQ45" s="1044"/>
      <c r="XBR45" s="1044"/>
      <c r="XBS45" s="1044"/>
      <c r="XBT45" s="1044"/>
      <c r="XBU45" s="1044"/>
      <c r="XBV45" s="1044"/>
      <c r="XBW45" s="1044"/>
      <c r="XBX45" s="1044"/>
      <c r="XBY45" s="1044"/>
      <c r="XBZ45" s="1044"/>
      <c r="XCA45" s="1044"/>
      <c r="XCB45" s="1044"/>
      <c r="XCC45" s="1044"/>
      <c r="XCD45" s="1044"/>
      <c r="XCE45" s="1044"/>
      <c r="XCF45" s="1044"/>
      <c r="XCG45" s="1044"/>
      <c r="XCH45" s="1044"/>
      <c r="XCI45" s="1044"/>
      <c r="XCJ45" s="1044"/>
      <c r="XCK45" s="1044"/>
      <c r="XCL45" s="1044"/>
      <c r="XCM45" s="1044"/>
      <c r="XCN45" s="1044"/>
      <c r="XCO45" s="1044"/>
      <c r="XCP45" s="1044"/>
      <c r="XCQ45" s="1044"/>
      <c r="XCR45" s="1044"/>
      <c r="XCS45" s="1044"/>
      <c r="XCT45" s="1044"/>
      <c r="XCU45" s="1044"/>
      <c r="XCV45" s="1044"/>
      <c r="XCW45" s="1044"/>
      <c r="XCX45" s="1044"/>
      <c r="XCY45" s="1044"/>
      <c r="XCZ45" s="1044"/>
      <c r="XDA45" s="1044"/>
      <c r="XDB45" s="1044"/>
      <c r="XDC45" s="1044"/>
      <c r="XDD45" s="1044"/>
      <c r="XDE45" s="1044"/>
      <c r="XDF45" s="1044"/>
      <c r="XDG45" s="1044"/>
      <c r="XDH45" s="1044"/>
      <c r="XDI45" s="1044"/>
      <c r="XDJ45" s="1044"/>
      <c r="XDK45" s="1044"/>
      <c r="XDL45" s="1044"/>
      <c r="XDM45" s="1044"/>
      <c r="XDN45" s="1044"/>
      <c r="XDO45" s="1044"/>
      <c r="XDP45" s="1044"/>
      <c r="XDQ45" s="1044"/>
      <c r="XDR45" s="1044"/>
      <c r="XDS45" s="1044"/>
      <c r="XDT45" s="1044"/>
      <c r="XDU45" s="1044"/>
      <c r="XDV45" s="1044"/>
      <c r="XDW45" s="1044"/>
      <c r="XDX45" s="1044"/>
      <c r="XDY45" s="1044"/>
      <c r="XDZ45" s="1044"/>
      <c r="XEA45" s="1044"/>
      <c r="XEB45" s="1044"/>
      <c r="XEC45" s="1044"/>
    </row>
    <row r="46" spans="1:16357" ht="30" customHeight="1">
      <c r="A46" s="117" t="s">
        <v>101</v>
      </c>
      <c r="B46" s="121" t="s">
        <v>102</v>
      </c>
      <c r="C46" s="120"/>
      <c r="D46" s="120"/>
      <c r="E46" s="120"/>
      <c r="F46" s="120"/>
      <c r="G46" s="120"/>
      <c r="H46" s="120"/>
      <c r="I46" s="120"/>
      <c r="J46" s="120"/>
      <c r="K46" s="120"/>
      <c r="L46" s="120"/>
      <c r="M46" s="120"/>
      <c r="N46" s="120"/>
      <c r="O46" s="5"/>
      <c r="P46" s="5"/>
      <c r="Q46" s="5"/>
      <c r="R46" s="5"/>
      <c r="S46" s="5"/>
      <c r="T46" s="5"/>
      <c r="U46" s="7"/>
      <c r="V46" s="7"/>
      <c r="W46" s="7"/>
      <c r="X46" s="7"/>
      <c r="Y46" s="35"/>
      <c r="Z46" s="7"/>
      <c r="AA46" s="7"/>
      <c r="AB46" s="7"/>
      <c r="AC46" s="7"/>
      <c r="AD46" s="35"/>
      <c r="AE46" s="7"/>
      <c r="AF46" s="7"/>
      <c r="AG46" s="7"/>
      <c r="AH46" s="7"/>
      <c r="AI46" s="35"/>
      <c r="AJ46" s="7"/>
      <c r="AK46" s="99"/>
      <c r="AL46" s="5"/>
      <c r="AM46" s="190"/>
      <c r="AN46" s="190"/>
      <c r="AO46" s="190"/>
      <c r="AP46" s="190"/>
      <c r="AQ46" s="190"/>
      <c r="AR46" s="190"/>
      <c r="AS46" s="190"/>
      <c r="AT46" s="190"/>
      <c r="AU46" s="190"/>
      <c r="AV46" s="190"/>
      <c r="AW46" s="190"/>
      <c r="AX46" s="190"/>
      <c r="AY46" s="190"/>
      <c r="AZ46" s="190"/>
      <c r="BA46" s="190"/>
      <c r="BB46" s="190"/>
      <c r="BC46" s="190"/>
      <c r="BD46" s="190"/>
      <c r="BE46" s="190"/>
      <c r="BF46" s="703"/>
      <c r="BG46" s="190"/>
      <c r="BH46" s="190"/>
      <c r="BI46" s="190"/>
      <c r="BJ46" s="190"/>
      <c r="BK46" s="698"/>
      <c r="BL46" s="190"/>
      <c r="BM46" s="190"/>
      <c r="BN46" s="190"/>
      <c r="BO46" s="190"/>
      <c r="BP46" s="698"/>
      <c r="BQ46" s="190"/>
      <c r="BR46" s="190"/>
      <c r="BS46" s="190"/>
      <c r="BT46" s="190"/>
      <c r="BV46" s="987"/>
      <c r="BW46" s="987"/>
      <c r="BX46" s="904"/>
    </row>
    <row r="47" spans="1:16357" ht="45.75" customHeight="1">
      <c r="A47" s="134"/>
      <c r="B47" s="134"/>
      <c r="U47" s="6"/>
      <c r="V47" s="6"/>
      <c r="W47" s="6"/>
      <c r="X47" s="6"/>
      <c r="Y47" s="38"/>
      <c r="Z47" s="6"/>
      <c r="AA47" s="6"/>
      <c r="AB47" s="6"/>
      <c r="AC47" s="6"/>
      <c r="AD47" s="38"/>
      <c r="AE47" s="6"/>
      <c r="AF47" s="6"/>
      <c r="AG47" s="6"/>
      <c r="AH47" s="6"/>
      <c r="AI47" s="38"/>
      <c r="AJ47" s="6"/>
      <c r="AK47" s="98"/>
      <c r="AL47" s="5"/>
      <c r="AM47" s="6"/>
      <c r="AN47" s="6"/>
      <c r="AO47" s="38"/>
      <c r="AP47" s="6"/>
      <c r="AQ47" s="6"/>
      <c r="AR47" s="6"/>
      <c r="AS47" s="6"/>
      <c r="AT47" s="38"/>
      <c r="AU47" s="6"/>
      <c r="AV47" s="6"/>
      <c r="AW47" s="6"/>
      <c r="AX47" s="6"/>
      <c r="AY47" s="38"/>
      <c r="AZ47" s="6"/>
      <c r="BA47" s="6"/>
      <c r="BB47" s="6"/>
      <c r="BC47" s="6"/>
      <c r="BD47" s="38"/>
      <c r="BE47" s="6"/>
      <c r="BF47" s="704"/>
      <c r="BG47" s="6"/>
      <c r="BH47" s="6"/>
      <c r="BI47" s="38"/>
      <c r="BJ47" s="6"/>
      <c r="BK47" s="699"/>
      <c r="BL47" s="6"/>
      <c r="BM47" s="6"/>
      <c r="BN47" s="38"/>
      <c r="BO47" s="6"/>
      <c r="BP47" s="699"/>
      <c r="BQ47" s="6"/>
      <c r="BR47" s="6"/>
      <c r="BS47" s="38"/>
      <c r="BT47" s="6"/>
    </row>
    <row r="48" spans="1:16357" ht="13">
      <c r="A48" s="1050"/>
      <c r="B48" s="1050"/>
      <c r="C48" s="1050"/>
      <c r="D48" s="1050"/>
      <c r="E48" s="1050"/>
      <c r="F48" s="1050"/>
      <c r="G48" s="1050"/>
      <c r="H48" s="1050"/>
      <c r="I48" s="1050"/>
      <c r="J48" s="1050"/>
      <c r="K48" s="1050"/>
      <c r="L48" s="1050"/>
      <c r="M48" s="1050"/>
      <c r="N48" s="1050"/>
      <c r="O48" s="5"/>
      <c r="P48" s="5"/>
      <c r="Q48" s="5"/>
      <c r="R48" s="5"/>
      <c r="S48" s="5"/>
      <c r="T48" s="5"/>
      <c r="U48" s="7"/>
      <c r="V48" s="7"/>
      <c r="W48" s="7"/>
      <c r="X48" s="7"/>
      <c r="Y48" s="35"/>
      <c r="Z48" s="7"/>
      <c r="AA48" s="7"/>
      <c r="AB48" s="7"/>
      <c r="AC48" s="7"/>
      <c r="AD48" s="35"/>
      <c r="AE48" s="7"/>
      <c r="AF48" s="7"/>
      <c r="AG48" s="7"/>
      <c r="AH48" s="7"/>
      <c r="AI48" s="35"/>
      <c r="AJ48" s="7"/>
      <c r="AK48" s="99"/>
      <c r="AL48" s="5"/>
      <c r="AM48" s="7"/>
      <c r="AN48" s="7"/>
      <c r="AO48" s="35"/>
      <c r="AP48" s="7"/>
      <c r="AQ48" s="7"/>
      <c r="AR48" s="7"/>
      <c r="AS48" s="7"/>
      <c r="AT48" s="35"/>
      <c r="AU48" s="7"/>
      <c r="AV48" s="7"/>
      <c r="AW48" s="7"/>
      <c r="AX48" s="7"/>
      <c r="AY48" s="35"/>
      <c r="AZ48" s="7"/>
      <c r="BA48" s="7"/>
      <c r="BB48" s="7"/>
      <c r="BC48" s="7"/>
      <c r="BD48" s="35"/>
      <c r="BE48" s="7"/>
      <c r="BF48" s="705"/>
      <c r="BG48" s="7"/>
      <c r="BH48" s="7"/>
      <c r="BI48" s="35"/>
      <c r="BJ48" s="7"/>
      <c r="BK48" s="8"/>
      <c r="BL48" s="7"/>
      <c r="BM48" s="7"/>
      <c r="BN48" s="35"/>
      <c r="BO48" s="7"/>
      <c r="BP48" s="8"/>
      <c r="BQ48" s="7"/>
      <c r="BR48" s="7"/>
      <c r="BS48" s="35"/>
      <c r="BT48" s="7"/>
    </row>
    <row r="49" spans="21:72" ht="15" customHeight="1">
      <c r="U49" s="6"/>
      <c r="V49" s="6"/>
      <c r="W49" s="6"/>
      <c r="X49" s="6"/>
      <c r="Y49" s="38"/>
      <c r="Z49" s="6"/>
      <c r="AA49" s="6"/>
      <c r="AB49" s="6"/>
      <c r="AC49" s="6"/>
      <c r="AD49" s="38"/>
      <c r="AE49" s="6"/>
      <c r="AF49" s="6"/>
      <c r="AG49" s="6"/>
      <c r="AH49" s="6"/>
      <c r="AI49" s="38"/>
      <c r="AJ49" s="6"/>
      <c r="AK49" s="98"/>
      <c r="AL49" s="5"/>
      <c r="AM49" s="6"/>
      <c r="AN49" s="6"/>
      <c r="AO49" s="38"/>
      <c r="AP49" s="6"/>
      <c r="AQ49" s="6"/>
      <c r="AR49" s="6"/>
      <c r="AS49" s="6"/>
      <c r="AT49" s="38"/>
      <c r="AU49" s="6"/>
      <c r="AV49" s="6"/>
      <c r="AW49" s="6"/>
      <c r="AX49" s="6"/>
      <c r="AY49" s="38"/>
      <c r="AZ49" s="6"/>
      <c r="BA49" s="6"/>
      <c r="BB49" s="6"/>
      <c r="BC49" s="6"/>
      <c r="BD49" s="38"/>
      <c r="BE49" s="6"/>
      <c r="BF49" s="704"/>
      <c r="BG49" s="6"/>
      <c r="BH49" s="6"/>
      <c r="BI49" s="38"/>
      <c r="BJ49" s="6"/>
      <c r="BK49" s="699"/>
      <c r="BL49" s="6"/>
      <c r="BM49" s="6"/>
      <c r="BN49" s="38"/>
      <c r="BO49" s="6"/>
      <c r="BP49" s="699"/>
      <c r="BQ49" s="6"/>
      <c r="BR49" s="6"/>
      <c r="BS49" s="38"/>
      <c r="BT49" s="6"/>
    </row>
    <row r="50" spans="21:72" ht="28.5" customHeight="1">
      <c r="U50" s="6"/>
      <c r="V50" s="6"/>
      <c r="W50" s="6"/>
      <c r="X50" s="6"/>
      <c r="Y50" s="38"/>
      <c r="Z50" s="6"/>
      <c r="AA50" s="6"/>
      <c r="AB50" s="6"/>
      <c r="AC50" s="6"/>
      <c r="AD50" s="38"/>
      <c r="AE50" s="6"/>
      <c r="AF50" s="6"/>
      <c r="AG50" s="6"/>
      <c r="AH50" s="6"/>
      <c r="AI50" s="38"/>
      <c r="AJ50" s="6"/>
      <c r="AK50" s="98"/>
      <c r="AL50" s="5"/>
      <c r="AM50" s="6"/>
      <c r="AN50" s="6"/>
      <c r="AO50" s="38"/>
      <c r="AP50" s="6"/>
      <c r="AQ50" s="6"/>
      <c r="AR50" s="6"/>
      <c r="AS50" s="6"/>
      <c r="AT50" s="38"/>
      <c r="AU50" s="6"/>
      <c r="AV50" s="6"/>
      <c r="AW50" s="6"/>
      <c r="AX50" s="6"/>
      <c r="AY50" s="38"/>
      <c r="AZ50" s="6"/>
      <c r="BA50" s="6"/>
      <c r="BB50" s="6"/>
      <c r="BC50" s="6"/>
      <c r="BD50" s="38"/>
      <c r="BE50" s="6"/>
      <c r="BF50" s="704"/>
      <c r="BG50" s="6"/>
      <c r="BH50" s="6"/>
      <c r="BI50" s="38"/>
      <c r="BJ50" s="6"/>
      <c r="BK50" s="699"/>
      <c r="BL50" s="6"/>
      <c r="BM50" s="6"/>
      <c r="BN50" s="38"/>
      <c r="BO50" s="6"/>
      <c r="BP50" s="699"/>
      <c r="BQ50" s="6"/>
      <c r="BR50" s="6"/>
      <c r="BS50" s="38"/>
      <c r="BT50" s="6"/>
    </row>
    <row r="51" spans="21:72" ht="28.5" customHeight="1">
      <c r="U51" s="6"/>
      <c r="V51" s="6"/>
      <c r="W51" s="6"/>
      <c r="X51" s="6"/>
      <c r="Y51" s="38"/>
      <c r="Z51" s="6"/>
      <c r="AA51" s="6"/>
      <c r="AB51" s="6"/>
      <c r="AC51" s="6"/>
      <c r="AD51" s="38"/>
      <c r="AE51" s="6"/>
      <c r="AF51" s="6"/>
      <c r="AG51" s="6"/>
      <c r="AH51" s="6"/>
      <c r="AI51" s="38"/>
      <c r="AJ51" s="6"/>
      <c r="AK51" s="98"/>
      <c r="AL51" s="5"/>
      <c r="AM51" s="6"/>
      <c r="AN51" s="6"/>
      <c r="AO51" s="38"/>
      <c r="AP51" s="6"/>
      <c r="AQ51" s="6"/>
      <c r="AR51" s="6"/>
      <c r="AS51" s="6"/>
      <c r="AT51" s="38"/>
      <c r="AU51" s="6"/>
      <c r="AV51" s="6"/>
      <c r="AW51" s="6"/>
      <c r="AX51" s="6"/>
      <c r="AY51" s="38"/>
      <c r="AZ51" s="6"/>
      <c r="BA51" s="6"/>
      <c r="BB51" s="6"/>
      <c r="BC51" s="6"/>
      <c r="BD51" s="38"/>
      <c r="BE51" s="6"/>
      <c r="BF51" s="704"/>
      <c r="BG51" s="6"/>
      <c r="BH51" s="6"/>
      <c r="BI51" s="38"/>
      <c r="BJ51" s="6"/>
      <c r="BK51" s="699"/>
      <c r="BL51" s="6"/>
      <c r="BM51" s="6"/>
      <c r="BN51" s="38"/>
      <c r="BO51" s="6"/>
      <c r="BP51" s="699"/>
      <c r="BQ51" s="6"/>
      <c r="BR51" s="6"/>
      <c r="BS51" s="38"/>
      <c r="BT51" s="6"/>
    </row>
    <row r="52" spans="21:72" ht="28.5" customHeight="1">
      <c r="U52" s="6"/>
      <c r="V52" s="6"/>
      <c r="W52" s="6"/>
      <c r="X52" s="6"/>
      <c r="Y52" s="38"/>
      <c r="Z52" s="6"/>
      <c r="AA52" s="6"/>
      <c r="AB52" s="6"/>
      <c r="AC52" s="6"/>
      <c r="AD52" s="38"/>
      <c r="AE52" s="6"/>
      <c r="AF52" s="6"/>
      <c r="AG52" s="6"/>
      <c r="AH52" s="6"/>
      <c r="AI52" s="38"/>
      <c r="AJ52" s="6"/>
      <c r="AK52" s="98"/>
      <c r="AL52" s="5"/>
      <c r="AM52" s="6"/>
      <c r="AN52" s="6"/>
      <c r="AO52" s="38"/>
      <c r="AP52" s="6"/>
      <c r="AQ52" s="6"/>
      <c r="AR52" s="6"/>
      <c r="AS52" s="6"/>
      <c r="AT52" s="38"/>
      <c r="AU52" s="6"/>
      <c r="AV52" s="6"/>
      <c r="AW52" s="6"/>
      <c r="AX52" s="6"/>
      <c r="AY52" s="38"/>
      <c r="AZ52" s="6"/>
      <c r="BA52" s="6"/>
      <c r="BB52" s="6"/>
      <c r="BC52" s="6"/>
      <c r="BD52" s="38"/>
      <c r="BE52" s="6"/>
      <c r="BF52" s="704"/>
      <c r="BG52" s="6"/>
      <c r="BH52" s="6"/>
      <c r="BI52" s="38"/>
      <c r="BJ52" s="6"/>
      <c r="BK52" s="699"/>
      <c r="BL52" s="6"/>
      <c r="BM52" s="6"/>
      <c r="BN52" s="38"/>
      <c r="BO52" s="6"/>
      <c r="BP52" s="699"/>
      <c r="BQ52" s="6"/>
      <c r="BR52" s="6"/>
      <c r="BS52" s="38"/>
      <c r="BT52" s="6"/>
    </row>
    <row r="53" spans="21:72" ht="28.5" customHeight="1">
      <c r="U53" s="6"/>
      <c r="V53" s="6"/>
      <c r="W53" s="6"/>
      <c r="X53" s="6"/>
      <c r="Y53" s="38"/>
      <c r="Z53" s="6"/>
      <c r="AA53" s="6"/>
      <c r="AB53" s="6"/>
      <c r="AC53" s="6"/>
      <c r="AD53" s="38"/>
      <c r="AE53" s="6"/>
      <c r="AF53" s="6"/>
      <c r="AG53" s="6"/>
      <c r="AH53" s="6"/>
      <c r="AI53" s="38"/>
      <c r="AJ53" s="6"/>
      <c r="AK53" s="98"/>
      <c r="AL53" s="5"/>
      <c r="AM53" s="6"/>
      <c r="AN53" s="6"/>
      <c r="AO53" s="38"/>
      <c r="AP53" s="6"/>
      <c r="AQ53" s="6"/>
      <c r="AR53" s="6"/>
      <c r="AS53" s="6"/>
      <c r="AT53" s="38"/>
      <c r="AU53" s="6"/>
      <c r="AV53" s="6"/>
      <c r="AW53" s="6"/>
      <c r="AX53" s="6"/>
      <c r="AY53" s="38"/>
      <c r="AZ53" s="6"/>
      <c r="BA53" s="6"/>
      <c r="BB53" s="6"/>
      <c r="BC53" s="6"/>
      <c r="BD53" s="38"/>
      <c r="BE53" s="6"/>
      <c r="BF53" s="704"/>
      <c r="BG53" s="6"/>
      <c r="BH53" s="6"/>
      <c r="BI53" s="38"/>
      <c r="BJ53" s="6"/>
      <c r="BK53" s="699"/>
      <c r="BL53" s="6"/>
      <c r="BM53" s="6"/>
      <c r="BN53" s="38"/>
      <c r="BO53" s="6"/>
      <c r="BP53" s="699"/>
      <c r="BQ53" s="6"/>
      <c r="BR53" s="6"/>
      <c r="BS53" s="38"/>
      <c r="BT53" s="6"/>
    </row>
    <row r="54" spans="21:72" ht="28.5" customHeight="1">
      <c r="U54" s="6"/>
      <c r="V54" s="6"/>
      <c r="W54" s="6"/>
      <c r="X54" s="6"/>
      <c r="Y54" s="38"/>
      <c r="Z54" s="6"/>
      <c r="AA54" s="6"/>
      <c r="AB54" s="6"/>
      <c r="AC54" s="6"/>
      <c r="AD54" s="38"/>
      <c r="AE54" s="6"/>
      <c r="AF54" s="6"/>
      <c r="AG54" s="6"/>
      <c r="AH54" s="6"/>
      <c r="AI54" s="38"/>
      <c r="AJ54" s="6"/>
      <c r="AK54" s="98"/>
      <c r="AL54" s="5"/>
      <c r="AM54" s="6"/>
      <c r="AN54" s="6"/>
      <c r="AO54" s="38"/>
      <c r="AP54" s="6"/>
      <c r="AQ54" s="6"/>
      <c r="AR54" s="6"/>
      <c r="AS54" s="6"/>
      <c r="AT54" s="38"/>
      <c r="AU54" s="6"/>
      <c r="AV54" s="6"/>
      <c r="AW54" s="6"/>
      <c r="AX54" s="6"/>
      <c r="AY54" s="38"/>
      <c r="AZ54" s="6"/>
      <c r="BA54" s="6"/>
      <c r="BB54" s="6"/>
      <c r="BC54" s="6"/>
      <c r="BD54" s="38"/>
      <c r="BE54" s="6"/>
      <c r="BF54" s="704"/>
      <c r="BG54" s="6"/>
      <c r="BH54" s="6"/>
      <c r="BI54" s="38"/>
      <c r="BJ54" s="6"/>
      <c r="BK54" s="699"/>
      <c r="BL54" s="6"/>
      <c r="BM54" s="6"/>
      <c r="BN54" s="38"/>
      <c r="BO54" s="6"/>
      <c r="BP54" s="699"/>
      <c r="BQ54" s="6"/>
      <c r="BR54" s="6"/>
      <c r="BS54" s="38"/>
      <c r="BT54" s="6"/>
    </row>
    <row r="55" spans="21:72" ht="28.5" customHeight="1">
      <c r="U55" s="6"/>
      <c r="V55" s="6"/>
      <c r="W55" s="6"/>
      <c r="X55" s="6"/>
      <c r="Y55" s="38"/>
      <c r="Z55" s="6"/>
      <c r="AA55" s="6"/>
      <c r="AB55" s="6"/>
      <c r="AC55" s="6"/>
      <c r="AD55" s="38"/>
      <c r="AE55" s="6"/>
      <c r="AF55" s="6"/>
      <c r="AG55" s="6"/>
      <c r="AH55" s="6"/>
      <c r="AI55" s="38"/>
      <c r="AJ55" s="6"/>
      <c r="AK55" s="98"/>
      <c r="AL55" s="5"/>
      <c r="AM55" s="6"/>
      <c r="AN55" s="6"/>
      <c r="AO55" s="38"/>
      <c r="AP55" s="6"/>
      <c r="AQ55" s="6"/>
      <c r="AR55" s="6"/>
      <c r="AS55" s="6"/>
      <c r="AT55" s="38"/>
      <c r="AU55" s="6"/>
      <c r="AV55" s="6"/>
      <c r="AW55" s="6"/>
      <c r="AX55" s="6"/>
      <c r="AY55" s="38"/>
      <c r="AZ55" s="6"/>
      <c r="BA55" s="6"/>
      <c r="BB55" s="6"/>
      <c r="BC55" s="6"/>
      <c r="BD55" s="38"/>
      <c r="BE55" s="6"/>
      <c r="BF55" s="704"/>
      <c r="BG55" s="6"/>
      <c r="BH55" s="6"/>
      <c r="BI55" s="38"/>
      <c r="BJ55" s="6"/>
      <c r="BK55" s="699"/>
      <c r="BL55" s="6"/>
      <c r="BM55" s="6"/>
      <c r="BN55" s="38"/>
      <c r="BO55" s="6"/>
      <c r="BP55" s="699"/>
      <c r="BQ55" s="6"/>
      <c r="BR55" s="6"/>
      <c r="BS55" s="38"/>
      <c r="BT55" s="6"/>
    </row>
    <row r="56" spans="21:72" ht="28.5" customHeight="1">
      <c r="U56" s="6"/>
      <c r="V56" s="6"/>
      <c r="W56" s="6"/>
      <c r="X56" s="6"/>
      <c r="Y56" s="38"/>
      <c r="Z56" s="6"/>
      <c r="AA56" s="6"/>
      <c r="AB56" s="6"/>
      <c r="AC56" s="6"/>
      <c r="AD56" s="38"/>
      <c r="AE56" s="6"/>
      <c r="AF56" s="6"/>
      <c r="AG56" s="6"/>
      <c r="AH56" s="6"/>
      <c r="AI56" s="38"/>
      <c r="AJ56" s="6"/>
      <c r="AK56" s="98"/>
      <c r="AL56" s="5"/>
      <c r="AM56" s="6"/>
      <c r="AN56" s="6"/>
      <c r="AO56" s="38"/>
      <c r="AP56" s="6"/>
      <c r="AQ56" s="6"/>
      <c r="AR56" s="6"/>
      <c r="AS56" s="6"/>
      <c r="AT56" s="38"/>
      <c r="AU56" s="6"/>
      <c r="AV56" s="6"/>
      <c r="AW56" s="6"/>
      <c r="AX56" s="6"/>
      <c r="AY56" s="38"/>
      <c r="AZ56" s="6"/>
      <c r="BA56" s="6"/>
      <c r="BB56" s="6"/>
      <c r="BC56" s="6"/>
      <c r="BD56" s="38"/>
      <c r="BE56" s="6"/>
      <c r="BF56" s="704"/>
      <c r="BG56" s="6"/>
      <c r="BH56" s="6"/>
      <c r="BI56" s="38"/>
      <c r="BJ56" s="6"/>
      <c r="BK56" s="699"/>
      <c r="BL56" s="6"/>
      <c r="BM56" s="6"/>
      <c r="BN56" s="38"/>
      <c r="BO56" s="6"/>
      <c r="BP56" s="699"/>
      <c r="BQ56" s="6"/>
      <c r="BR56" s="6"/>
      <c r="BS56" s="38"/>
      <c r="BT56" s="6"/>
    </row>
    <row r="57" spans="21:72" ht="28.5" customHeight="1">
      <c r="U57" s="6"/>
      <c r="V57" s="6"/>
      <c r="W57" s="6"/>
      <c r="X57" s="6"/>
      <c r="Y57" s="38"/>
      <c r="Z57" s="6"/>
      <c r="AA57" s="6"/>
      <c r="AB57" s="6"/>
      <c r="AC57" s="6"/>
      <c r="AD57" s="38"/>
      <c r="AE57" s="6"/>
      <c r="AF57" s="6"/>
      <c r="AG57" s="6"/>
      <c r="AH57" s="6"/>
      <c r="AI57" s="38"/>
      <c r="AJ57" s="6"/>
      <c r="AK57" s="98"/>
      <c r="AL57" s="5"/>
      <c r="AM57" s="6"/>
      <c r="AN57" s="6"/>
      <c r="AO57" s="38"/>
      <c r="AP57" s="6"/>
      <c r="AQ57" s="6"/>
      <c r="AR57" s="6"/>
      <c r="AS57" s="6"/>
      <c r="AT57" s="38"/>
      <c r="AU57" s="6"/>
      <c r="AV57" s="6"/>
      <c r="AW57" s="6"/>
      <c r="AX57" s="6"/>
      <c r="AY57" s="38"/>
      <c r="AZ57" s="6"/>
      <c r="BA57" s="6"/>
      <c r="BB57" s="6"/>
      <c r="BC57" s="6"/>
      <c r="BD57" s="38"/>
      <c r="BE57" s="6"/>
      <c r="BF57" s="704"/>
      <c r="BG57" s="6"/>
      <c r="BH57" s="6"/>
      <c r="BI57" s="38"/>
      <c r="BJ57" s="6"/>
      <c r="BK57" s="699"/>
      <c r="BL57" s="6"/>
      <c r="BM57" s="6"/>
      <c r="BN57" s="38"/>
      <c r="BO57" s="6"/>
      <c r="BP57" s="699"/>
      <c r="BQ57" s="6"/>
      <c r="BR57" s="6"/>
      <c r="BS57" s="38"/>
      <c r="BT57" s="6"/>
    </row>
    <row r="58" spans="21:72" ht="28.5" customHeight="1">
      <c r="U58" s="6"/>
      <c r="V58" s="6"/>
      <c r="W58" s="6"/>
      <c r="X58" s="6"/>
      <c r="Y58" s="38"/>
      <c r="Z58" s="6"/>
      <c r="AA58" s="6"/>
      <c r="AB58" s="6"/>
      <c r="AC58" s="6"/>
      <c r="AD58" s="38"/>
      <c r="AE58" s="6"/>
      <c r="AF58" s="6"/>
      <c r="AG58" s="6"/>
      <c r="AH58" s="6"/>
      <c r="AI58" s="38"/>
      <c r="AJ58" s="6"/>
      <c r="AK58" s="98"/>
      <c r="AL58" s="5"/>
      <c r="AM58" s="6"/>
      <c r="AN58" s="6"/>
      <c r="AO58" s="38"/>
      <c r="AP58" s="6"/>
      <c r="AQ58" s="6"/>
      <c r="AR58" s="6"/>
      <c r="AS58" s="6"/>
      <c r="AT58" s="38"/>
      <c r="AU58" s="6"/>
      <c r="AV58" s="6"/>
      <c r="AW58" s="6"/>
      <c r="AX58" s="6"/>
      <c r="AY58" s="38"/>
      <c r="AZ58" s="6"/>
      <c r="BA58" s="6"/>
      <c r="BB58" s="6"/>
      <c r="BC58" s="6"/>
      <c r="BD58" s="38"/>
      <c r="BE58" s="6"/>
      <c r="BF58" s="704"/>
      <c r="BG58" s="6"/>
      <c r="BH58" s="6"/>
      <c r="BI58" s="38"/>
      <c r="BJ58" s="6"/>
      <c r="BK58" s="699"/>
      <c r="BL58" s="6"/>
      <c r="BM58" s="6"/>
      <c r="BN58" s="38"/>
      <c r="BO58" s="6"/>
      <c r="BP58" s="699"/>
      <c r="BQ58" s="6"/>
      <c r="BR58" s="6"/>
      <c r="BS58" s="38"/>
      <c r="BT58" s="6"/>
    </row>
    <row r="59" spans="21:72" ht="28.5" customHeight="1">
      <c r="AL59" s="5"/>
    </row>
    <row r="60" spans="21:72" ht="28.5" customHeight="1">
      <c r="AL60" s="5"/>
    </row>
    <row r="61" spans="21:72" ht="28.5" customHeight="1">
      <c r="AL61" s="5"/>
    </row>
    <row r="62" spans="21:72" ht="28.5" customHeight="1">
      <c r="AL62" s="5"/>
    </row>
  </sheetData>
  <customSheetViews>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1"/>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2"/>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115" showPageBreaks="1" showGridLines="0" fitToPage="1" printArea="1" topLeftCell="A22">
      <selection activeCell="J37" sqref="J37"/>
      <pageMargins left="0" right="0" top="0" bottom="0" header="0" footer="0"/>
      <pageSetup paperSize="9" scale="47" orientation="landscape" r:id="rId4"/>
    </customSheetView>
  </customSheetViews>
  <mergeCells count="2909">
    <mergeCell ref="BG2:BK2"/>
    <mergeCell ref="BG3:BK3"/>
    <mergeCell ref="BL2:BP2"/>
    <mergeCell ref="BL3:BP3"/>
    <mergeCell ref="BQ3:BU3"/>
    <mergeCell ref="AM2:AQ2"/>
    <mergeCell ref="AG2:AK2"/>
    <mergeCell ref="A48:N48"/>
    <mergeCell ref="C2:G2"/>
    <mergeCell ref="H2:L2"/>
    <mergeCell ref="M2:Q2"/>
    <mergeCell ref="AB2:AF2"/>
    <mergeCell ref="R2:V2"/>
    <mergeCell ref="W2:AA2"/>
    <mergeCell ref="S44:AG44"/>
    <mergeCell ref="AR2:AV2"/>
    <mergeCell ref="AW2:BA2"/>
    <mergeCell ref="BB2:BF2"/>
    <mergeCell ref="AG3:AK3"/>
    <mergeCell ref="AM3:AQ3"/>
    <mergeCell ref="AR3:AV3"/>
    <mergeCell ref="AW3:BA3"/>
    <mergeCell ref="BB3:BF3"/>
    <mergeCell ref="AX44:BM44"/>
    <mergeCell ref="BN44:BP44"/>
    <mergeCell ref="BQ44:BU44"/>
    <mergeCell ref="BQ2:BU2"/>
    <mergeCell ref="HD43:HT43"/>
    <mergeCell ref="HU43:IK43"/>
    <mergeCell ref="IL43:JB43"/>
    <mergeCell ref="JC43:JS43"/>
    <mergeCell ref="JT43:KJ43"/>
    <mergeCell ref="DW43:EM43"/>
    <mergeCell ref="EN43:FD43"/>
    <mergeCell ref="FE43:FU43"/>
    <mergeCell ref="FV43:GL43"/>
    <mergeCell ref="GM43:HC43"/>
    <mergeCell ref="BN43:BP43"/>
    <mergeCell ref="BQ43:BU43"/>
    <mergeCell ref="BY43:CN43"/>
    <mergeCell ref="CO43:DE43"/>
    <mergeCell ref="DF43:DV43"/>
    <mergeCell ref="S43:AG43"/>
    <mergeCell ref="AX43:BM43"/>
    <mergeCell ref="UF43:UV43"/>
    <mergeCell ref="UW43:VM43"/>
    <mergeCell ref="VN43:WD43"/>
    <mergeCell ref="WE43:WU43"/>
    <mergeCell ref="WV43:XL43"/>
    <mergeCell ref="QY43:RO43"/>
    <mergeCell ref="RP43:SF43"/>
    <mergeCell ref="SG43:SW43"/>
    <mergeCell ref="SX43:TN43"/>
    <mergeCell ref="TO43:UE43"/>
    <mergeCell ref="NR43:OH43"/>
    <mergeCell ref="OI43:OY43"/>
    <mergeCell ref="OZ43:PP43"/>
    <mergeCell ref="PQ43:QG43"/>
    <mergeCell ref="QH43:QX43"/>
    <mergeCell ref="KK43:LA43"/>
    <mergeCell ref="LB43:LR43"/>
    <mergeCell ref="LS43:MI43"/>
    <mergeCell ref="MJ43:MZ43"/>
    <mergeCell ref="NA43:NQ43"/>
    <mergeCell ref="AHH43:AHX43"/>
    <mergeCell ref="AHY43:AIO43"/>
    <mergeCell ref="AIP43:AJF43"/>
    <mergeCell ref="AJG43:AJW43"/>
    <mergeCell ref="AJX43:AKN43"/>
    <mergeCell ref="AEA43:AEQ43"/>
    <mergeCell ref="AER43:AFH43"/>
    <mergeCell ref="AFI43:AFY43"/>
    <mergeCell ref="AFZ43:AGP43"/>
    <mergeCell ref="AGQ43:AHG43"/>
    <mergeCell ref="AAT43:ABJ43"/>
    <mergeCell ref="ABK43:ACA43"/>
    <mergeCell ref="ACB43:ACR43"/>
    <mergeCell ref="ACS43:ADI43"/>
    <mergeCell ref="ADJ43:ADZ43"/>
    <mergeCell ref="XM43:YC43"/>
    <mergeCell ref="YD43:YT43"/>
    <mergeCell ref="YU43:ZK43"/>
    <mergeCell ref="ZL43:AAB43"/>
    <mergeCell ref="AAC43:AAS43"/>
    <mergeCell ref="AUJ43:AUZ43"/>
    <mergeCell ref="AVA43:AVQ43"/>
    <mergeCell ref="AVR43:AWH43"/>
    <mergeCell ref="AWI43:AWY43"/>
    <mergeCell ref="AWZ43:AXP43"/>
    <mergeCell ref="ARC43:ARS43"/>
    <mergeCell ref="ART43:ASJ43"/>
    <mergeCell ref="ASK43:ATA43"/>
    <mergeCell ref="ATB43:ATR43"/>
    <mergeCell ref="ATS43:AUI43"/>
    <mergeCell ref="ANV43:AOL43"/>
    <mergeCell ref="AOM43:APC43"/>
    <mergeCell ref="APD43:APT43"/>
    <mergeCell ref="APU43:AQK43"/>
    <mergeCell ref="AQL43:ARB43"/>
    <mergeCell ref="AKO43:ALE43"/>
    <mergeCell ref="ALF43:ALV43"/>
    <mergeCell ref="ALW43:AMM43"/>
    <mergeCell ref="AMN43:AND43"/>
    <mergeCell ref="ANE43:ANU43"/>
    <mergeCell ref="BHL43:BIB43"/>
    <mergeCell ref="BIC43:BIS43"/>
    <mergeCell ref="BIT43:BJJ43"/>
    <mergeCell ref="BJK43:BKA43"/>
    <mergeCell ref="BKB43:BKR43"/>
    <mergeCell ref="BEE43:BEU43"/>
    <mergeCell ref="BEV43:BFL43"/>
    <mergeCell ref="BFM43:BGC43"/>
    <mergeCell ref="BGD43:BGT43"/>
    <mergeCell ref="BGU43:BHK43"/>
    <mergeCell ref="BAX43:BBN43"/>
    <mergeCell ref="BBO43:BCE43"/>
    <mergeCell ref="BCF43:BCV43"/>
    <mergeCell ref="BCW43:BDM43"/>
    <mergeCell ref="BDN43:BED43"/>
    <mergeCell ref="AXQ43:AYG43"/>
    <mergeCell ref="AYH43:AYX43"/>
    <mergeCell ref="AYY43:AZO43"/>
    <mergeCell ref="AZP43:BAF43"/>
    <mergeCell ref="BAG43:BAW43"/>
    <mergeCell ref="BUN43:BVD43"/>
    <mergeCell ref="BVE43:BVU43"/>
    <mergeCell ref="BVV43:BWL43"/>
    <mergeCell ref="BWM43:BXC43"/>
    <mergeCell ref="BXD43:BXT43"/>
    <mergeCell ref="BRG43:BRW43"/>
    <mergeCell ref="BRX43:BSN43"/>
    <mergeCell ref="BSO43:BTE43"/>
    <mergeCell ref="BTF43:BTV43"/>
    <mergeCell ref="BTW43:BUM43"/>
    <mergeCell ref="BNZ43:BOP43"/>
    <mergeCell ref="BOQ43:BPG43"/>
    <mergeCell ref="BPH43:BPX43"/>
    <mergeCell ref="BPY43:BQO43"/>
    <mergeCell ref="BQP43:BRF43"/>
    <mergeCell ref="BKS43:BLI43"/>
    <mergeCell ref="BLJ43:BLZ43"/>
    <mergeCell ref="BMA43:BMQ43"/>
    <mergeCell ref="BMR43:BNH43"/>
    <mergeCell ref="BNI43:BNY43"/>
    <mergeCell ref="CHP43:CIF43"/>
    <mergeCell ref="CIG43:CIW43"/>
    <mergeCell ref="CIX43:CJN43"/>
    <mergeCell ref="CJO43:CKE43"/>
    <mergeCell ref="CKF43:CKV43"/>
    <mergeCell ref="CEI43:CEY43"/>
    <mergeCell ref="CEZ43:CFP43"/>
    <mergeCell ref="CFQ43:CGG43"/>
    <mergeCell ref="CGH43:CGX43"/>
    <mergeCell ref="CGY43:CHO43"/>
    <mergeCell ref="CBB43:CBR43"/>
    <mergeCell ref="CBS43:CCI43"/>
    <mergeCell ref="CCJ43:CCZ43"/>
    <mergeCell ref="CDA43:CDQ43"/>
    <mergeCell ref="CDR43:CEH43"/>
    <mergeCell ref="BXU43:BYK43"/>
    <mergeCell ref="BYL43:BZB43"/>
    <mergeCell ref="BZC43:BZS43"/>
    <mergeCell ref="BZT43:CAJ43"/>
    <mergeCell ref="CAK43:CBA43"/>
    <mergeCell ref="CUR43:CVH43"/>
    <mergeCell ref="CVI43:CVY43"/>
    <mergeCell ref="CVZ43:CWP43"/>
    <mergeCell ref="CWQ43:CXG43"/>
    <mergeCell ref="CXH43:CXX43"/>
    <mergeCell ref="CRK43:CSA43"/>
    <mergeCell ref="CSB43:CSR43"/>
    <mergeCell ref="CSS43:CTI43"/>
    <mergeCell ref="CTJ43:CTZ43"/>
    <mergeCell ref="CUA43:CUQ43"/>
    <mergeCell ref="COD43:COT43"/>
    <mergeCell ref="COU43:CPK43"/>
    <mergeCell ref="CPL43:CQB43"/>
    <mergeCell ref="CQC43:CQS43"/>
    <mergeCell ref="CQT43:CRJ43"/>
    <mergeCell ref="CKW43:CLM43"/>
    <mergeCell ref="CLN43:CMD43"/>
    <mergeCell ref="CME43:CMU43"/>
    <mergeCell ref="CMV43:CNL43"/>
    <mergeCell ref="CNM43:COC43"/>
    <mergeCell ref="DHT43:DIJ43"/>
    <mergeCell ref="DIK43:DJA43"/>
    <mergeCell ref="DJB43:DJR43"/>
    <mergeCell ref="DJS43:DKI43"/>
    <mergeCell ref="DKJ43:DKZ43"/>
    <mergeCell ref="DEM43:DFC43"/>
    <mergeCell ref="DFD43:DFT43"/>
    <mergeCell ref="DFU43:DGK43"/>
    <mergeCell ref="DGL43:DHB43"/>
    <mergeCell ref="DHC43:DHS43"/>
    <mergeCell ref="DBF43:DBV43"/>
    <mergeCell ref="DBW43:DCM43"/>
    <mergeCell ref="DCN43:DDD43"/>
    <mergeCell ref="DDE43:DDU43"/>
    <mergeCell ref="DDV43:DEL43"/>
    <mergeCell ref="CXY43:CYO43"/>
    <mergeCell ref="CYP43:CZF43"/>
    <mergeCell ref="CZG43:CZW43"/>
    <mergeCell ref="CZX43:DAN43"/>
    <mergeCell ref="DAO43:DBE43"/>
    <mergeCell ref="DUV43:DVL43"/>
    <mergeCell ref="DVM43:DWC43"/>
    <mergeCell ref="DWD43:DWT43"/>
    <mergeCell ref="DWU43:DXK43"/>
    <mergeCell ref="DXL43:DYB43"/>
    <mergeCell ref="DRO43:DSE43"/>
    <mergeCell ref="DSF43:DSV43"/>
    <mergeCell ref="DSW43:DTM43"/>
    <mergeCell ref="DTN43:DUD43"/>
    <mergeCell ref="DUE43:DUU43"/>
    <mergeCell ref="DOH43:DOX43"/>
    <mergeCell ref="DOY43:DPO43"/>
    <mergeCell ref="DPP43:DQF43"/>
    <mergeCell ref="DQG43:DQW43"/>
    <mergeCell ref="DQX43:DRN43"/>
    <mergeCell ref="DLA43:DLQ43"/>
    <mergeCell ref="DLR43:DMH43"/>
    <mergeCell ref="DMI43:DMY43"/>
    <mergeCell ref="DMZ43:DNP43"/>
    <mergeCell ref="DNQ43:DOG43"/>
    <mergeCell ref="EHX43:EIN43"/>
    <mergeCell ref="EIO43:EJE43"/>
    <mergeCell ref="EJF43:EJV43"/>
    <mergeCell ref="EJW43:EKM43"/>
    <mergeCell ref="EKN43:ELD43"/>
    <mergeCell ref="EEQ43:EFG43"/>
    <mergeCell ref="EFH43:EFX43"/>
    <mergeCell ref="EFY43:EGO43"/>
    <mergeCell ref="EGP43:EHF43"/>
    <mergeCell ref="EHG43:EHW43"/>
    <mergeCell ref="EBJ43:EBZ43"/>
    <mergeCell ref="ECA43:ECQ43"/>
    <mergeCell ref="ECR43:EDH43"/>
    <mergeCell ref="EDI43:EDY43"/>
    <mergeCell ref="EDZ43:EEP43"/>
    <mergeCell ref="DYC43:DYS43"/>
    <mergeCell ref="DYT43:DZJ43"/>
    <mergeCell ref="DZK43:EAA43"/>
    <mergeCell ref="EAB43:EAR43"/>
    <mergeCell ref="EAS43:EBI43"/>
    <mergeCell ref="EUZ43:EVP43"/>
    <mergeCell ref="EVQ43:EWG43"/>
    <mergeCell ref="EWH43:EWX43"/>
    <mergeCell ref="EWY43:EXO43"/>
    <mergeCell ref="EXP43:EYF43"/>
    <mergeCell ref="ERS43:ESI43"/>
    <mergeCell ref="ESJ43:ESZ43"/>
    <mergeCell ref="ETA43:ETQ43"/>
    <mergeCell ref="ETR43:EUH43"/>
    <mergeCell ref="EUI43:EUY43"/>
    <mergeCell ref="EOL43:EPB43"/>
    <mergeCell ref="EPC43:EPS43"/>
    <mergeCell ref="EPT43:EQJ43"/>
    <mergeCell ref="EQK43:ERA43"/>
    <mergeCell ref="ERB43:ERR43"/>
    <mergeCell ref="ELE43:ELU43"/>
    <mergeCell ref="ELV43:EML43"/>
    <mergeCell ref="EMM43:ENC43"/>
    <mergeCell ref="END43:ENT43"/>
    <mergeCell ref="ENU43:EOK43"/>
    <mergeCell ref="FIB43:FIR43"/>
    <mergeCell ref="FIS43:FJI43"/>
    <mergeCell ref="FJJ43:FJZ43"/>
    <mergeCell ref="FKA43:FKQ43"/>
    <mergeCell ref="FKR43:FLH43"/>
    <mergeCell ref="FEU43:FFK43"/>
    <mergeCell ref="FFL43:FGB43"/>
    <mergeCell ref="FGC43:FGS43"/>
    <mergeCell ref="FGT43:FHJ43"/>
    <mergeCell ref="FHK43:FIA43"/>
    <mergeCell ref="FBN43:FCD43"/>
    <mergeCell ref="FCE43:FCU43"/>
    <mergeCell ref="FCV43:FDL43"/>
    <mergeCell ref="FDM43:FEC43"/>
    <mergeCell ref="FED43:FET43"/>
    <mergeCell ref="EYG43:EYW43"/>
    <mergeCell ref="EYX43:EZN43"/>
    <mergeCell ref="EZO43:FAE43"/>
    <mergeCell ref="FAF43:FAV43"/>
    <mergeCell ref="FAW43:FBM43"/>
    <mergeCell ref="FVD43:FVT43"/>
    <mergeCell ref="FVU43:FWK43"/>
    <mergeCell ref="FWL43:FXB43"/>
    <mergeCell ref="FXC43:FXS43"/>
    <mergeCell ref="FXT43:FYJ43"/>
    <mergeCell ref="FRW43:FSM43"/>
    <mergeCell ref="FSN43:FTD43"/>
    <mergeCell ref="FTE43:FTU43"/>
    <mergeCell ref="FTV43:FUL43"/>
    <mergeCell ref="FUM43:FVC43"/>
    <mergeCell ref="FOP43:FPF43"/>
    <mergeCell ref="FPG43:FPW43"/>
    <mergeCell ref="FPX43:FQN43"/>
    <mergeCell ref="FQO43:FRE43"/>
    <mergeCell ref="FRF43:FRV43"/>
    <mergeCell ref="FLI43:FLY43"/>
    <mergeCell ref="FLZ43:FMP43"/>
    <mergeCell ref="FMQ43:FNG43"/>
    <mergeCell ref="FNH43:FNX43"/>
    <mergeCell ref="FNY43:FOO43"/>
    <mergeCell ref="GIF43:GIV43"/>
    <mergeCell ref="GIW43:GJM43"/>
    <mergeCell ref="GJN43:GKD43"/>
    <mergeCell ref="GKE43:GKU43"/>
    <mergeCell ref="GKV43:GLL43"/>
    <mergeCell ref="GEY43:GFO43"/>
    <mergeCell ref="GFP43:GGF43"/>
    <mergeCell ref="GGG43:GGW43"/>
    <mergeCell ref="GGX43:GHN43"/>
    <mergeCell ref="GHO43:GIE43"/>
    <mergeCell ref="GBR43:GCH43"/>
    <mergeCell ref="GCI43:GCY43"/>
    <mergeCell ref="GCZ43:GDP43"/>
    <mergeCell ref="GDQ43:GEG43"/>
    <mergeCell ref="GEH43:GEX43"/>
    <mergeCell ref="FYK43:FZA43"/>
    <mergeCell ref="FZB43:FZR43"/>
    <mergeCell ref="FZS43:GAI43"/>
    <mergeCell ref="GAJ43:GAZ43"/>
    <mergeCell ref="GBA43:GBQ43"/>
    <mergeCell ref="GVH43:GVX43"/>
    <mergeCell ref="GVY43:GWO43"/>
    <mergeCell ref="GWP43:GXF43"/>
    <mergeCell ref="GXG43:GXW43"/>
    <mergeCell ref="GXX43:GYN43"/>
    <mergeCell ref="GSA43:GSQ43"/>
    <mergeCell ref="GSR43:GTH43"/>
    <mergeCell ref="GTI43:GTY43"/>
    <mergeCell ref="GTZ43:GUP43"/>
    <mergeCell ref="GUQ43:GVG43"/>
    <mergeCell ref="GOT43:GPJ43"/>
    <mergeCell ref="GPK43:GQA43"/>
    <mergeCell ref="GQB43:GQR43"/>
    <mergeCell ref="GQS43:GRI43"/>
    <mergeCell ref="GRJ43:GRZ43"/>
    <mergeCell ref="GLM43:GMC43"/>
    <mergeCell ref="GMD43:GMT43"/>
    <mergeCell ref="GMU43:GNK43"/>
    <mergeCell ref="GNL43:GOB43"/>
    <mergeCell ref="GOC43:GOS43"/>
    <mergeCell ref="HIJ43:HIZ43"/>
    <mergeCell ref="HJA43:HJQ43"/>
    <mergeCell ref="HJR43:HKH43"/>
    <mergeCell ref="HKI43:HKY43"/>
    <mergeCell ref="HKZ43:HLP43"/>
    <mergeCell ref="HFC43:HFS43"/>
    <mergeCell ref="HFT43:HGJ43"/>
    <mergeCell ref="HGK43:HHA43"/>
    <mergeCell ref="HHB43:HHR43"/>
    <mergeCell ref="HHS43:HII43"/>
    <mergeCell ref="HBV43:HCL43"/>
    <mergeCell ref="HCM43:HDC43"/>
    <mergeCell ref="HDD43:HDT43"/>
    <mergeCell ref="HDU43:HEK43"/>
    <mergeCell ref="HEL43:HFB43"/>
    <mergeCell ref="GYO43:GZE43"/>
    <mergeCell ref="GZF43:GZV43"/>
    <mergeCell ref="GZW43:HAM43"/>
    <mergeCell ref="HAN43:HBD43"/>
    <mergeCell ref="HBE43:HBU43"/>
    <mergeCell ref="HVL43:HWB43"/>
    <mergeCell ref="HWC43:HWS43"/>
    <mergeCell ref="HWT43:HXJ43"/>
    <mergeCell ref="HXK43:HYA43"/>
    <mergeCell ref="HYB43:HYR43"/>
    <mergeCell ref="HSE43:HSU43"/>
    <mergeCell ref="HSV43:HTL43"/>
    <mergeCell ref="HTM43:HUC43"/>
    <mergeCell ref="HUD43:HUT43"/>
    <mergeCell ref="HUU43:HVK43"/>
    <mergeCell ref="HOX43:HPN43"/>
    <mergeCell ref="HPO43:HQE43"/>
    <mergeCell ref="HQF43:HQV43"/>
    <mergeCell ref="HQW43:HRM43"/>
    <mergeCell ref="HRN43:HSD43"/>
    <mergeCell ref="HLQ43:HMG43"/>
    <mergeCell ref="HMH43:HMX43"/>
    <mergeCell ref="HMY43:HNO43"/>
    <mergeCell ref="HNP43:HOF43"/>
    <mergeCell ref="HOG43:HOW43"/>
    <mergeCell ref="IIN43:IJD43"/>
    <mergeCell ref="IJE43:IJU43"/>
    <mergeCell ref="IJV43:IKL43"/>
    <mergeCell ref="IKM43:ILC43"/>
    <mergeCell ref="ILD43:ILT43"/>
    <mergeCell ref="IFG43:IFW43"/>
    <mergeCell ref="IFX43:IGN43"/>
    <mergeCell ref="IGO43:IHE43"/>
    <mergeCell ref="IHF43:IHV43"/>
    <mergeCell ref="IHW43:IIM43"/>
    <mergeCell ref="IBZ43:ICP43"/>
    <mergeCell ref="ICQ43:IDG43"/>
    <mergeCell ref="IDH43:IDX43"/>
    <mergeCell ref="IDY43:IEO43"/>
    <mergeCell ref="IEP43:IFF43"/>
    <mergeCell ref="HYS43:HZI43"/>
    <mergeCell ref="HZJ43:HZZ43"/>
    <mergeCell ref="IAA43:IAQ43"/>
    <mergeCell ref="IAR43:IBH43"/>
    <mergeCell ref="IBI43:IBY43"/>
    <mergeCell ref="IVP43:IWF43"/>
    <mergeCell ref="IWG43:IWW43"/>
    <mergeCell ref="IWX43:IXN43"/>
    <mergeCell ref="IXO43:IYE43"/>
    <mergeCell ref="IYF43:IYV43"/>
    <mergeCell ref="ISI43:ISY43"/>
    <mergeCell ref="ISZ43:ITP43"/>
    <mergeCell ref="ITQ43:IUG43"/>
    <mergeCell ref="IUH43:IUX43"/>
    <mergeCell ref="IUY43:IVO43"/>
    <mergeCell ref="IPB43:IPR43"/>
    <mergeCell ref="IPS43:IQI43"/>
    <mergeCell ref="IQJ43:IQZ43"/>
    <mergeCell ref="IRA43:IRQ43"/>
    <mergeCell ref="IRR43:ISH43"/>
    <mergeCell ref="ILU43:IMK43"/>
    <mergeCell ref="IML43:INB43"/>
    <mergeCell ref="INC43:INS43"/>
    <mergeCell ref="INT43:IOJ43"/>
    <mergeCell ref="IOK43:IPA43"/>
    <mergeCell ref="JIR43:JJH43"/>
    <mergeCell ref="JJI43:JJY43"/>
    <mergeCell ref="JJZ43:JKP43"/>
    <mergeCell ref="JKQ43:JLG43"/>
    <mergeCell ref="JLH43:JLX43"/>
    <mergeCell ref="JFK43:JGA43"/>
    <mergeCell ref="JGB43:JGR43"/>
    <mergeCell ref="JGS43:JHI43"/>
    <mergeCell ref="JHJ43:JHZ43"/>
    <mergeCell ref="JIA43:JIQ43"/>
    <mergeCell ref="JCD43:JCT43"/>
    <mergeCell ref="JCU43:JDK43"/>
    <mergeCell ref="JDL43:JEB43"/>
    <mergeCell ref="JEC43:JES43"/>
    <mergeCell ref="JET43:JFJ43"/>
    <mergeCell ref="IYW43:IZM43"/>
    <mergeCell ref="IZN43:JAD43"/>
    <mergeCell ref="JAE43:JAU43"/>
    <mergeCell ref="JAV43:JBL43"/>
    <mergeCell ref="JBM43:JCC43"/>
    <mergeCell ref="JVT43:JWJ43"/>
    <mergeCell ref="JWK43:JXA43"/>
    <mergeCell ref="JXB43:JXR43"/>
    <mergeCell ref="JXS43:JYI43"/>
    <mergeCell ref="JYJ43:JYZ43"/>
    <mergeCell ref="JSM43:JTC43"/>
    <mergeCell ref="JTD43:JTT43"/>
    <mergeCell ref="JTU43:JUK43"/>
    <mergeCell ref="JUL43:JVB43"/>
    <mergeCell ref="JVC43:JVS43"/>
    <mergeCell ref="JPF43:JPV43"/>
    <mergeCell ref="JPW43:JQM43"/>
    <mergeCell ref="JQN43:JRD43"/>
    <mergeCell ref="JRE43:JRU43"/>
    <mergeCell ref="JRV43:JSL43"/>
    <mergeCell ref="JLY43:JMO43"/>
    <mergeCell ref="JMP43:JNF43"/>
    <mergeCell ref="JNG43:JNW43"/>
    <mergeCell ref="JNX43:JON43"/>
    <mergeCell ref="JOO43:JPE43"/>
    <mergeCell ref="KIV43:KJL43"/>
    <mergeCell ref="KJM43:KKC43"/>
    <mergeCell ref="KKD43:KKT43"/>
    <mergeCell ref="KKU43:KLK43"/>
    <mergeCell ref="KLL43:KMB43"/>
    <mergeCell ref="KFO43:KGE43"/>
    <mergeCell ref="KGF43:KGV43"/>
    <mergeCell ref="KGW43:KHM43"/>
    <mergeCell ref="KHN43:KID43"/>
    <mergeCell ref="KIE43:KIU43"/>
    <mergeCell ref="KCH43:KCX43"/>
    <mergeCell ref="KCY43:KDO43"/>
    <mergeCell ref="KDP43:KEF43"/>
    <mergeCell ref="KEG43:KEW43"/>
    <mergeCell ref="KEX43:KFN43"/>
    <mergeCell ref="JZA43:JZQ43"/>
    <mergeCell ref="JZR43:KAH43"/>
    <mergeCell ref="KAI43:KAY43"/>
    <mergeCell ref="KAZ43:KBP43"/>
    <mergeCell ref="KBQ43:KCG43"/>
    <mergeCell ref="KVX43:KWN43"/>
    <mergeCell ref="KWO43:KXE43"/>
    <mergeCell ref="KXF43:KXV43"/>
    <mergeCell ref="KXW43:KYM43"/>
    <mergeCell ref="KYN43:KZD43"/>
    <mergeCell ref="KSQ43:KTG43"/>
    <mergeCell ref="KTH43:KTX43"/>
    <mergeCell ref="KTY43:KUO43"/>
    <mergeCell ref="KUP43:KVF43"/>
    <mergeCell ref="KVG43:KVW43"/>
    <mergeCell ref="KPJ43:KPZ43"/>
    <mergeCell ref="KQA43:KQQ43"/>
    <mergeCell ref="KQR43:KRH43"/>
    <mergeCell ref="KRI43:KRY43"/>
    <mergeCell ref="KRZ43:KSP43"/>
    <mergeCell ref="KMC43:KMS43"/>
    <mergeCell ref="KMT43:KNJ43"/>
    <mergeCell ref="KNK43:KOA43"/>
    <mergeCell ref="KOB43:KOR43"/>
    <mergeCell ref="KOS43:KPI43"/>
    <mergeCell ref="LIZ43:LJP43"/>
    <mergeCell ref="LJQ43:LKG43"/>
    <mergeCell ref="LKH43:LKX43"/>
    <mergeCell ref="LKY43:LLO43"/>
    <mergeCell ref="LLP43:LMF43"/>
    <mergeCell ref="LFS43:LGI43"/>
    <mergeCell ref="LGJ43:LGZ43"/>
    <mergeCell ref="LHA43:LHQ43"/>
    <mergeCell ref="LHR43:LIH43"/>
    <mergeCell ref="LII43:LIY43"/>
    <mergeCell ref="LCL43:LDB43"/>
    <mergeCell ref="LDC43:LDS43"/>
    <mergeCell ref="LDT43:LEJ43"/>
    <mergeCell ref="LEK43:LFA43"/>
    <mergeCell ref="LFB43:LFR43"/>
    <mergeCell ref="KZE43:KZU43"/>
    <mergeCell ref="KZV43:LAL43"/>
    <mergeCell ref="LAM43:LBC43"/>
    <mergeCell ref="LBD43:LBT43"/>
    <mergeCell ref="LBU43:LCK43"/>
    <mergeCell ref="LWB43:LWR43"/>
    <mergeCell ref="LWS43:LXI43"/>
    <mergeCell ref="LXJ43:LXZ43"/>
    <mergeCell ref="LYA43:LYQ43"/>
    <mergeCell ref="LYR43:LZH43"/>
    <mergeCell ref="LSU43:LTK43"/>
    <mergeCell ref="LTL43:LUB43"/>
    <mergeCell ref="LUC43:LUS43"/>
    <mergeCell ref="LUT43:LVJ43"/>
    <mergeCell ref="LVK43:LWA43"/>
    <mergeCell ref="LPN43:LQD43"/>
    <mergeCell ref="LQE43:LQU43"/>
    <mergeCell ref="LQV43:LRL43"/>
    <mergeCell ref="LRM43:LSC43"/>
    <mergeCell ref="LSD43:LST43"/>
    <mergeCell ref="LMG43:LMW43"/>
    <mergeCell ref="LMX43:LNN43"/>
    <mergeCell ref="LNO43:LOE43"/>
    <mergeCell ref="LOF43:LOV43"/>
    <mergeCell ref="LOW43:LPM43"/>
    <mergeCell ref="MJD43:MJT43"/>
    <mergeCell ref="MJU43:MKK43"/>
    <mergeCell ref="MKL43:MLB43"/>
    <mergeCell ref="MLC43:MLS43"/>
    <mergeCell ref="MLT43:MMJ43"/>
    <mergeCell ref="MFW43:MGM43"/>
    <mergeCell ref="MGN43:MHD43"/>
    <mergeCell ref="MHE43:MHU43"/>
    <mergeCell ref="MHV43:MIL43"/>
    <mergeCell ref="MIM43:MJC43"/>
    <mergeCell ref="MCP43:MDF43"/>
    <mergeCell ref="MDG43:MDW43"/>
    <mergeCell ref="MDX43:MEN43"/>
    <mergeCell ref="MEO43:MFE43"/>
    <mergeCell ref="MFF43:MFV43"/>
    <mergeCell ref="LZI43:LZY43"/>
    <mergeCell ref="LZZ43:MAP43"/>
    <mergeCell ref="MAQ43:MBG43"/>
    <mergeCell ref="MBH43:MBX43"/>
    <mergeCell ref="MBY43:MCO43"/>
    <mergeCell ref="MWF43:MWV43"/>
    <mergeCell ref="MWW43:MXM43"/>
    <mergeCell ref="MXN43:MYD43"/>
    <mergeCell ref="MYE43:MYU43"/>
    <mergeCell ref="MYV43:MZL43"/>
    <mergeCell ref="MSY43:MTO43"/>
    <mergeCell ref="MTP43:MUF43"/>
    <mergeCell ref="MUG43:MUW43"/>
    <mergeCell ref="MUX43:MVN43"/>
    <mergeCell ref="MVO43:MWE43"/>
    <mergeCell ref="MPR43:MQH43"/>
    <mergeCell ref="MQI43:MQY43"/>
    <mergeCell ref="MQZ43:MRP43"/>
    <mergeCell ref="MRQ43:MSG43"/>
    <mergeCell ref="MSH43:MSX43"/>
    <mergeCell ref="MMK43:MNA43"/>
    <mergeCell ref="MNB43:MNR43"/>
    <mergeCell ref="MNS43:MOI43"/>
    <mergeCell ref="MOJ43:MOZ43"/>
    <mergeCell ref="MPA43:MPQ43"/>
    <mergeCell ref="NJH43:NJX43"/>
    <mergeCell ref="NJY43:NKO43"/>
    <mergeCell ref="NKP43:NLF43"/>
    <mergeCell ref="NLG43:NLW43"/>
    <mergeCell ref="NLX43:NMN43"/>
    <mergeCell ref="NGA43:NGQ43"/>
    <mergeCell ref="NGR43:NHH43"/>
    <mergeCell ref="NHI43:NHY43"/>
    <mergeCell ref="NHZ43:NIP43"/>
    <mergeCell ref="NIQ43:NJG43"/>
    <mergeCell ref="NCT43:NDJ43"/>
    <mergeCell ref="NDK43:NEA43"/>
    <mergeCell ref="NEB43:NER43"/>
    <mergeCell ref="NES43:NFI43"/>
    <mergeCell ref="NFJ43:NFZ43"/>
    <mergeCell ref="MZM43:NAC43"/>
    <mergeCell ref="NAD43:NAT43"/>
    <mergeCell ref="NAU43:NBK43"/>
    <mergeCell ref="NBL43:NCB43"/>
    <mergeCell ref="NCC43:NCS43"/>
    <mergeCell ref="NWJ43:NWZ43"/>
    <mergeCell ref="NXA43:NXQ43"/>
    <mergeCell ref="NXR43:NYH43"/>
    <mergeCell ref="NYI43:NYY43"/>
    <mergeCell ref="NYZ43:NZP43"/>
    <mergeCell ref="NTC43:NTS43"/>
    <mergeCell ref="NTT43:NUJ43"/>
    <mergeCell ref="NUK43:NVA43"/>
    <mergeCell ref="NVB43:NVR43"/>
    <mergeCell ref="NVS43:NWI43"/>
    <mergeCell ref="NPV43:NQL43"/>
    <mergeCell ref="NQM43:NRC43"/>
    <mergeCell ref="NRD43:NRT43"/>
    <mergeCell ref="NRU43:NSK43"/>
    <mergeCell ref="NSL43:NTB43"/>
    <mergeCell ref="NMO43:NNE43"/>
    <mergeCell ref="NNF43:NNV43"/>
    <mergeCell ref="NNW43:NOM43"/>
    <mergeCell ref="NON43:NPD43"/>
    <mergeCell ref="NPE43:NPU43"/>
    <mergeCell ref="OJL43:OKB43"/>
    <mergeCell ref="OKC43:OKS43"/>
    <mergeCell ref="OKT43:OLJ43"/>
    <mergeCell ref="OLK43:OMA43"/>
    <mergeCell ref="OMB43:OMR43"/>
    <mergeCell ref="OGE43:OGU43"/>
    <mergeCell ref="OGV43:OHL43"/>
    <mergeCell ref="OHM43:OIC43"/>
    <mergeCell ref="OID43:OIT43"/>
    <mergeCell ref="OIU43:OJK43"/>
    <mergeCell ref="OCX43:ODN43"/>
    <mergeCell ref="ODO43:OEE43"/>
    <mergeCell ref="OEF43:OEV43"/>
    <mergeCell ref="OEW43:OFM43"/>
    <mergeCell ref="OFN43:OGD43"/>
    <mergeCell ref="NZQ43:OAG43"/>
    <mergeCell ref="OAH43:OAX43"/>
    <mergeCell ref="OAY43:OBO43"/>
    <mergeCell ref="OBP43:OCF43"/>
    <mergeCell ref="OCG43:OCW43"/>
    <mergeCell ref="OWN43:OXD43"/>
    <mergeCell ref="OXE43:OXU43"/>
    <mergeCell ref="OXV43:OYL43"/>
    <mergeCell ref="OYM43:OZC43"/>
    <mergeCell ref="OZD43:OZT43"/>
    <mergeCell ref="OTG43:OTW43"/>
    <mergeCell ref="OTX43:OUN43"/>
    <mergeCell ref="OUO43:OVE43"/>
    <mergeCell ref="OVF43:OVV43"/>
    <mergeCell ref="OVW43:OWM43"/>
    <mergeCell ref="OPZ43:OQP43"/>
    <mergeCell ref="OQQ43:ORG43"/>
    <mergeCell ref="ORH43:ORX43"/>
    <mergeCell ref="ORY43:OSO43"/>
    <mergeCell ref="OSP43:OTF43"/>
    <mergeCell ref="OMS43:ONI43"/>
    <mergeCell ref="ONJ43:ONZ43"/>
    <mergeCell ref="OOA43:OOQ43"/>
    <mergeCell ref="OOR43:OPH43"/>
    <mergeCell ref="OPI43:OPY43"/>
    <mergeCell ref="PJP43:PKF43"/>
    <mergeCell ref="PKG43:PKW43"/>
    <mergeCell ref="PKX43:PLN43"/>
    <mergeCell ref="PLO43:PME43"/>
    <mergeCell ref="PMF43:PMV43"/>
    <mergeCell ref="PGI43:PGY43"/>
    <mergeCell ref="PGZ43:PHP43"/>
    <mergeCell ref="PHQ43:PIG43"/>
    <mergeCell ref="PIH43:PIX43"/>
    <mergeCell ref="PIY43:PJO43"/>
    <mergeCell ref="PDB43:PDR43"/>
    <mergeCell ref="PDS43:PEI43"/>
    <mergeCell ref="PEJ43:PEZ43"/>
    <mergeCell ref="PFA43:PFQ43"/>
    <mergeCell ref="PFR43:PGH43"/>
    <mergeCell ref="OZU43:PAK43"/>
    <mergeCell ref="PAL43:PBB43"/>
    <mergeCell ref="PBC43:PBS43"/>
    <mergeCell ref="PBT43:PCJ43"/>
    <mergeCell ref="PCK43:PDA43"/>
    <mergeCell ref="PWR43:PXH43"/>
    <mergeCell ref="PXI43:PXY43"/>
    <mergeCell ref="PXZ43:PYP43"/>
    <mergeCell ref="PYQ43:PZG43"/>
    <mergeCell ref="PZH43:PZX43"/>
    <mergeCell ref="PTK43:PUA43"/>
    <mergeCell ref="PUB43:PUR43"/>
    <mergeCell ref="PUS43:PVI43"/>
    <mergeCell ref="PVJ43:PVZ43"/>
    <mergeCell ref="PWA43:PWQ43"/>
    <mergeCell ref="PQD43:PQT43"/>
    <mergeCell ref="PQU43:PRK43"/>
    <mergeCell ref="PRL43:PSB43"/>
    <mergeCell ref="PSC43:PSS43"/>
    <mergeCell ref="PST43:PTJ43"/>
    <mergeCell ref="PMW43:PNM43"/>
    <mergeCell ref="PNN43:POD43"/>
    <mergeCell ref="POE43:POU43"/>
    <mergeCell ref="POV43:PPL43"/>
    <mergeCell ref="PPM43:PQC43"/>
    <mergeCell ref="QJT43:QKJ43"/>
    <mergeCell ref="QKK43:QLA43"/>
    <mergeCell ref="QLB43:QLR43"/>
    <mergeCell ref="QLS43:QMI43"/>
    <mergeCell ref="QMJ43:QMZ43"/>
    <mergeCell ref="QGM43:QHC43"/>
    <mergeCell ref="QHD43:QHT43"/>
    <mergeCell ref="QHU43:QIK43"/>
    <mergeCell ref="QIL43:QJB43"/>
    <mergeCell ref="QJC43:QJS43"/>
    <mergeCell ref="QDF43:QDV43"/>
    <mergeCell ref="QDW43:QEM43"/>
    <mergeCell ref="QEN43:QFD43"/>
    <mergeCell ref="QFE43:QFU43"/>
    <mergeCell ref="QFV43:QGL43"/>
    <mergeCell ref="PZY43:QAO43"/>
    <mergeCell ref="QAP43:QBF43"/>
    <mergeCell ref="QBG43:QBW43"/>
    <mergeCell ref="QBX43:QCN43"/>
    <mergeCell ref="QCO43:QDE43"/>
    <mergeCell ref="QWV43:QXL43"/>
    <mergeCell ref="QXM43:QYC43"/>
    <mergeCell ref="QYD43:QYT43"/>
    <mergeCell ref="QYU43:QZK43"/>
    <mergeCell ref="QZL43:RAB43"/>
    <mergeCell ref="QTO43:QUE43"/>
    <mergeCell ref="QUF43:QUV43"/>
    <mergeCell ref="QUW43:QVM43"/>
    <mergeCell ref="QVN43:QWD43"/>
    <mergeCell ref="QWE43:QWU43"/>
    <mergeCell ref="QQH43:QQX43"/>
    <mergeCell ref="QQY43:QRO43"/>
    <mergeCell ref="QRP43:QSF43"/>
    <mergeCell ref="QSG43:QSW43"/>
    <mergeCell ref="QSX43:QTN43"/>
    <mergeCell ref="QNA43:QNQ43"/>
    <mergeCell ref="QNR43:QOH43"/>
    <mergeCell ref="QOI43:QOY43"/>
    <mergeCell ref="QOZ43:QPP43"/>
    <mergeCell ref="QPQ43:QQG43"/>
    <mergeCell ref="RJX43:RKN43"/>
    <mergeCell ref="RKO43:RLE43"/>
    <mergeCell ref="RLF43:RLV43"/>
    <mergeCell ref="RLW43:RMM43"/>
    <mergeCell ref="RMN43:RND43"/>
    <mergeCell ref="RGQ43:RHG43"/>
    <mergeCell ref="RHH43:RHX43"/>
    <mergeCell ref="RHY43:RIO43"/>
    <mergeCell ref="RIP43:RJF43"/>
    <mergeCell ref="RJG43:RJW43"/>
    <mergeCell ref="RDJ43:RDZ43"/>
    <mergeCell ref="REA43:REQ43"/>
    <mergeCell ref="RER43:RFH43"/>
    <mergeCell ref="RFI43:RFY43"/>
    <mergeCell ref="RFZ43:RGP43"/>
    <mergeCell ref="RAC43:RAS43"/>
    <mergeCell ref="RAT43:RBJ43"/>
    <mergeCell ref="RBK43:RCA43"/>
    <mergeCell ref="RCB43:RCR43"/>
    <mergeCell ref="RCS43:RDI43"/>
    <mergeCell ref="RWZ43:RXP43"/>
    <mergeCell ref="RXQ43:RYG43"/>
    <mergeCell ref="RYH43:RYX43"/>
    <mergeCell ref="RYY43:RZO43"/>
    <mergeCell ref="RZP43:SAF43"/>
    <mergeCell ref="RTS43:RUI43"/>
    <mergeCell ref="RUJ43:RUZ43"/>
    <mergeCell ref="RVA43:RVQ43"/>
    <mergeCell ref="RVR43:RWH43"/>
    <mergeCell ref="RWI43:RWY43"/>
    <mergeCell ref="RQL43:RRB43"/>
    <mergeCell ref="RRC43:RRS43"/>
    <mergeCell ref="RRT43:RSJ43"/>
    <mergeCell ref="RSK43:RTA43"/>
    <mergeCell ref="RTB43:RTR43"/>
    <mergeCell ref="RNE43:RNU43"/>
    <mergeCell ref="RNV43:ROL43"/>
    <mergeCell ref="ROM43:RPC43"/>
    <mergeCell ref="RPD43:RPT43"/>
    <mergeCell ref="RPU43:RQK43"/>
    <mergeCell ref="SKB43:SKR43"/>
    <mergeCell ref="SKS43:SLI43"/>
    <mergeCell ref="SLJ43:SLZ43"/>
    <mergeCell ref="SMA43:SMQ43"/>
    <mergeCell ref="SMR43:SNH43"/>
    <mergeCell ref="SGU43:SHK43"/>
    <mergeCell ref="SHL43:SIB43"/>
    <mergeCell ref="SIC43:SIS43"/>
    <mergeCell ref="SIT43:SJJ43"/>
    <mergeCell ref="SJK43:SKA43"/>
    <mergeCell ref="SDN43:SED43"/>
    <mergeCell ref="SEE43:SEU43"/>
    <mergeCell ref="SEV43:SFL43"/>
    <mergeCell ref="SFM43:SGC43"/>
    <mergeCell ref="SGD43:SGT43"/>
    <mergeCell ref="SAG43:SAW43"/>
    <mergeCell ref="SAX43:SBN43"/>
    <mergeCell ref="SBO43:SCE43"/>
    <mergeCell ref="SCF43:SCV43"/>
    <mergeCell ref="SCW43:SDM43"/>
    <mergeCell ref="SXD43:SXT43"/>
    <mergeCell ref="SXU43:SYK43"/>
    <mergeCell ref="SYL43:SZB43"/>
    <mergeCell ref="SZC43:SZS43"/>
    <mergeCell ref="SZT43:TAJ43"/>
    <mergeCell ref="STW43:SUM43"/>
    <mergeCell ref="SUN43:SVD43"/>
    <mergeCell ref="SVE43:SVU43"/>
    <mergeCell ref="SVV43:SWL43"/>
    <mergeCell ref="SWM43:SXC43"/>
    <mergeCell ref="SQP43:SRF43"/>
    <mergeCell ref="SRG43:SRW43"/>
    <mergeCell ref="SRX43:SSN43"/>
    <mergeCell ref="SSO43:STE43"/>
    <mergeCell ref="STF43:STV43"/>
    <mergeCell ref="SNI43:SNY43"/>
    <mergeCell ref="SNZ43:SOP43"/>
    <mergeCell ref="SOQ43:SPG43"/>
    <mergeCell ref="SPH43:SPX43"/>
    <mergeCell ref="SPY43:SQO43"/>
    <mergeCell ref="TKF43:TKV43"/>
    <mergeCell ref="TKW43:TLM43"/>
    <mergeCell ref="TLN43:TMD43"/>
    <mergeCell ref="TME43:TMU43"/>
    <mergeCell ref="TMV43:TNL43"/>
    <mergeCell ref="TGY43:THO43"/>
    <mergeCell ref="THP43:TIF43"/>
    <mergeCell ref="TIG43:TIW43"/>
    <mergeCell ref="TIX43:TJN43"/>
    <mergeCell ref="TJO43:TKE43"/>
    <mergeCell ref="TDR43:TEH43"/>
    <mergeCell ref="TEI43:TEY43"/>
    <mergeCell ref="TEZ43:TFP43"/>
    <mergeCell ref="TFQ43:TGG43"/>
    <mergeCell ref="TGH43:TGX43"/>
    <mergeCell ref="TAK43:TBA43"/>
    <mergeCell ref="TBB43:TBR43"/>
    <mergeCell ref="TBS43:TCI43"/>
    <mergeCell ref="TCJ43:TCZ43"/>
    <mergeCell ref="TDA43:TDQ43"/>
    <mergeCell ref="TXH43:TXX43"/>
    <mergeCell ref="TXY43:TYO43"/>
    <mergeCell ref="TYP43:TZF43"/>
    <mergeCell ref="TZG43:TZW43"/>
    <mergeCell ref="TZX43:UAN43"/>
    <mergeCell ref="TUA43:TUQ43"/>
    <mergeCell ref="TUR43:TVH43"/>
    <mergeCell ref="TVI43:TVY43"/>
    <mergeCell ref="TVZ43:TWP43"/>
    <mergeCell ref="TWQ43:TXG43"/>
    <mergeCell ref="TQT43:TRJ43"/>
    <mergeCell ref="TRK43:TSA43"/>
    <mergeCell ref="TSB43:TSR43"/>
    <mergeCell ref="TSS43:TTI43"/>
    <mergeCell ref="TTJ43:TTZ43"/>
    <mergeCell ref="TNM43:TOC43"/>
    <mergeCell ref="TOD43:TOT43"/>
    <mergeCell ref="TOU43:TPK43"/>
    <mergeCell ref="TPL43:TQB43"/>
    <mergeCell ref="TQC43:TQS43"/>
    <mergeCell ref="UKJ43:UKZ43"/>
    <mergeCell ref="ULA43:ULQ43"/>
    <mergeCell ref="ULR43:UMH43"/>
    <mergeCell ref="UMI43:UMY43"/>
    <mergeCell ref="UMZ43:UNP43"/>
    <mergeCell ref="UHC43:UHS43"/>
    <mergeCell ref="UHT43:UIJ43"/>
    <mergeCell ref="UIK43:UJA43"/>
    <mergeCell ref="UJB43:UJR43"/>
    <mergeCell ref="UJS43:UKI43"/>
    <mergeCell ref="UDV43:UEL43"/>
    <mergeCell ref="UEM43:UFC43"/>
    <mergeCell ref="UFD43:UFT43"/>
    <mergeCell ref="UFU43:UGK43"/>
    <mergeCell ref="UGL43:UHB43"/>
    <mergeCell ref="UAO43:UBE43"/>
    <mergeCell ref="UBF43:UBV43"/>
    <mergeCell ref="UBW43:UCM43"/>
    <mergeCell ref="UCN43:UDD43"/>
    <mergeCell ref="UDE43:UDU43"/>
    <mergeCell ref="UXL43:UYB43"/>
    <mergeCell ref="UYC43:UYS43"/>
    <mergeCell ref="UYT43:UZJ43"/>
    <mergeCell ref="UZK43:VAA43"/>
    <mergeCell ref="VAB43:VAR43"/>
    <mergeCell ref="UUE43:UUU43"/>
    <mergeCell ref="UUV43:UVL43"/>
    <mergeCell ref="UVM43:UWC43"/>
    <mergeCell ref="UWD43:UWT43"/>
    <mergeCell ref="UWU43:UXK43"/>
    <mergeCell ref="UQX43:URN43"/>
    <mergeCell ref="URO43:USE43"/>
    <mergeCell ref="USF43:USV43"/>
    <mergeCell ref="USW43:UTM43"/>
    <mergeCell ref="UTN43:UUD43"/>
    <mergeCell ref="UNQ43:UOG43"/>
    <mergeCell ref="UOH43:UOX43"/>
    <mergeCell ref="UOY43:UPO43"/>
    <mergeCell ref="UPP43:UQF43"/>
    <mergeCell ref="UQG43:UQW43"/>
    <mergeCell ref="VKN43:VLD43"/>
    <mergeCell ref="VLE43:VLU43"/>
    <mergeCell ref="VLV43:VML43"/>
    <mergeCell ref="VMM43:VNC43"/>
    <mergeCell ref="VND43:VNT43"/>
    <mergeCell ref="VHG43:VHW43"/>
    <mergeCell ref="VHX43:VIN43"/>
    <mergeCell ref="VIO43:VJE43"/>
    <mergeCell ref="VJF43:VJV43"/>
    <mergeCell ref="VJW43:VKM43"/>
    <mergeCell ref="VDZ43:VEP43"/>
    <mergeCell ref="VEQ43:VFG43"/>
    <mergeCell ref="VFH43:VFX43"/>
    <mergeCell ref="VFY43:VGO43"/>
    <mergeCell ref="VGP43:VHF43"/>
    <mergeCell ref="VAS43:VBI43"/>
    <mergeCell ref="VBJ43:VBZ43"/>
    <mergeCell ref="VCA43:VCQ43"/>
    <mergeCell ref="VCR43:VDH43"/>
    <mergeCell ref="VDI43:VDY43"/>
    <mergeCell ref="VXP43:VYF43"/>
    <mergeCell ref="VYG43:VYW43"/>
    <mergeCell ref="VYX43:VZN43"/>
    <mergeCell ref="VZO43:WAE43"/>
    <mergeCell ref="WAF43:WAV43"/>
    <mergeCell ref="VUI43:VUY43"/>
    <mergeCell ref="VUZ43:VVP43"/>
    <mergeCell ref="VVQ43:VWG43"/>
    <mergeCell ref="VWH43:VWX43"/>
    <mergeCell ref="VWY43:VXO43"/>
    <mergeCell ref="VRB43:VRR43"/>
    <mergeCell ref="VRS43:VSI43"/>
    <mergeCell ref="VSJ43:VSZ43"/>
    <mergeCell ref="VTA43:VTQ43"/>
    <mergeCell ref="VTR43:VUH43"/>
    <mergeCell ref="VNU43:VOK43"/>
    <mergeCell ref="VOL43:VPB43"/>
    <mergeCell ref="VPC43:VPS43"/>
    <mergeCell ref="VPT43:VQJ43"/>
    <mergeCell ref="VQK43:VRA43"/>
    <mergeCell ref="XCZ43:XDP43"/>
    <mergeCell ref="XDQ43:XEC43"/>
    <mergeCell ref="WXT43:WYJ43"/>
    <mergeCell ref="WYK43:WZA43"/>
    <mergeCell ref="WZB43:WZR43"/>
    <mergeCell ref="WZS43:XAI43"/>
    <mergeCell ref="XAJ43:XAZ43"/>
    <mergeCell ref="WUM43:WVC43"/>
    <mergeCell ref="WVD43:WVT43"/>
    <mergeCell ref="WVU43:WWK43"/>
    <mergeCell ref="WWL43:WXB43"/>
    <mergeCell ref="WXC43:WXS43"/>
    <mergeCell ref="WRF43:WRV43"/>
    <mergeCell ref="WRW43:WSM43"/>
    <mergeCell ref="WSN43:WTD43"/>
    <mergeCell ref="WTE43:WTU43"/>
    <mergeCell ref="WTV43:WUL43"/>
    <mergeCell ref="BY44:CN44"/>
    <mergeCell ref="XBA43:XBQ43"/>
    <mergeCell ref="XBR43:XCH43"/>
    <mergeCell ref="XCI43:XCY43"/>
    <mergeCell ref="WNY43:WOO43"/>
    <mergeCell ref="WOP43:WPF43"/>
    <mergeCell ref="WPG43:WPW43"/>
    <mergeCell ref="WPX43:WQN43"/>
    <mergeCell ref="WQO43:WRE43"/>
    <mergeCell ref="WKR43:WLH43"/>
    <mergeCell ref="WLI43:WLY43"/>
    <mergeCell ref="WLZ43:WMP43"/>
    <mergeCell ref="WMQ43:WNG43"/>
    <mergeCell ref="WNH43:WNX43"/>
    <mergeCell ref="WHK43:WIA43"/>
    <mergeCell ref="WIB43:WIR43"/>
    <mergeCell ref="WIS43:WJI43"/>
    <mergeCell ref="WJJ43:WJZ43"/>
    <mergeCell ref="WKA43:WKQ43"/>
    <mergeCell ref="WED43:WET43"/>
    <mergeCell ref="WEU43:WFK43"/>
    <mergeCell ref="WFL43:WGB43"/>
    <mergeCell ref="WGC43:WGS43"/>
    <mergeCell ref="WGT43:WHJ43"/>
    <mergeCell ref="WAW43:WBM43"/>
    <mergeCell ref="WBN43:WCD43"/>
    <mergeCell ref="WCE43:WCU43"/>
    <mergeCell ref="WCV43:WDL43"/>
    <mergeCell ref="WDM43:WEC43"/>
    <mergeCell ref="MJ44:MZ44"/>
    <mergeCell ref="NA44:NQ44"/>
    <mergeCell ref="NR44:OH44"/>
    <mergeCell ref="OI44:OY44"/>
    <mergeCell ref="OZ44:PP44"/>
    <mergeCell ref="JC44:JS44"/>
    <mergeCell ref="JT44:KJ44"/>
    <mergeCell ref="KK44:LA44"/>
    <mergeCell ref="LB44:LR44"/>
    <mergeCell ref="LS44:MI44"/>
    <mergeCell ref="FV44:GL44"/>
    <mergeCell ref="GM44:HC44"/>
    <mergeCell ref="HD44:HT44"/>
    <mergeCell ref="HU44:IK44"/>
    <mergeCell ref="IL44:JB44"/>
    <mergeCell ref="CO44:DE44"/>
    <mergeCell ref="DF44:DV44"/>
    <mergeCell ref="DW44:EM44"/>
    <mergeCell ref="EN44:FD44"/>
    <mergeCell ref="FE44:FU44"/>
    <mergeCell ref="ZL44:AAB44"/>
    <mergeCell ref="AAC44:AAS44"/>
    <mergeCell ref="AAT44:ABJ44"/>
    <mergeCell ref="ABK44:ACA44"/>
    <mergeCell ref="ACB44:ACR44"/>
    <mergeCell ref="WE44:WU44"/>
    <mergeCell ref="WV44:XL44"/>
    <mergeCell ref="XM44:YC44"/>
    <mergeCell ref="YD44:YT44"/>
    <mergeCell ref="YU44:ZK44"/>
    <mergeCell ref="SX44:TN44"/>
    <mergeCell ref="TO44:UE44"/>
    <mergeCell ref="UF44:UV44"/>
    <mergeCell ref="UW44:VM44"/>
    <mergeCell ref="VN44:WD44"/>
    <mergeCell ref="PQ44:QG44"/>
    <mergeCell ref="QH44:QX44"/>
    <mergeCell ref="QY44:RO44"/>
    <mergeCell ref="RP44:SF44"/>
    <mergeCell ref="SG44:SW44"/>
    <mergeCell ref="AMN44:AND44"/>
    <mergeCell ref="ANE44:ANU44"/>
    <mergeCell ref="ANV44:AOL44"/>
    <mergeCell ref="AOM44:APC44"/>
    <mergeCell ref="APD44:APT44"/>
    <mergeCell ref="AJG44:AJW44"/>
    <mergeCell ref="AJX44:AKN44"/>
    <mergeCell ref="AKO44:ALE44"/>
    <mergeCell ref="ALF44:ALV44"/>
    <mergeCell ref="ALW44:AMM44"/>
    <mergeCell ref="AFZ44:AGP44"/>
    <mergeCell ref="AGQ44:AHG44"/>
    <mergeCell ref="AHH44:AHX44"/>
    <mergeCell ref="AHY44:AIO44"/>
    <mergeCell ref="AIP44:AJF44"/>
    <mergeCell ref="ACS44:ADI44"/>
    <mergeCell ref="ADJ44:ADZ44"/>
    <mergeCell ref="AEA44:AEQ44"/>
    <mergeCell ref="AER44:AFH44"/>
    <mergeCell ref="AFI44:AFY44"/>
    <mergeCell ref="AZP44:BAF44"/>
    <mergeCell ref="BAG44:BAW44"/>
    <mergeCell ref="BAX44:BBN44"/>
    <mergeCell ref="BBO44:BCE44"/>
    <mergeCell ref="BCF44:BCV44"/>
    <mergeCell ref="AWI44:AWY44"/>
    <mergeCell ref="AWZ44:AXP44"/>
    <mergeCell ref="AXQ44:AYG44"/>
    <mergeCell ref="AYH44:AYX44"/>
    <mergeCell ref="AYY44:AZO44"/>
    <mergeCell ref="ATB44:ATR44"/>
    <mergeCell ref="ATS44:AUI44"/>
    <mergeCell ref="AUJ44:AUZ44"/>
    <mergeCell ref="AVA44:AVQ44"/>
    <mergeCell ref="AVR44:AWH44"/>
    <mergeCell ref="APU44:AQK44"/>
    <mergeCell ref="AQL44:ARB44"/>
    <mergeCell ref="ARC44:ARS44"/>
    <mergeCell ref="ART44:ASJ44"/>
    <mergeCell ref="ASK44:ATA44"/>
    <mergeCell ref="BMR44:BNH44"/>
    <mergeCell ref="BNI44:BNY44"/>
    <mergeCell ref="BNZ44:BOP44"/>
    <mergeCell ref="BOQ44:BPG44"/>
    <mergeCell ref="BPH44:BPX44"/>
    <mergeCell ref="BJK44:BKA44"/>
    <mergeCell ref="BKB44:BKR44"/>
    <mergeCell ref="BKS44:BLI44"/>
    <mergeCell ref="BLJ44:BLZ44"/>
    <mergeCell ref="BMA44:BMQ44"/>
    <mergeCell ref="BGD44:BGT44"/>
    <mergeCell ref="BGU44:BHK44"/>
    <mergeCell ref="BHL44:BIB44"/>
    <mergeCell ref="BIC44:BIS44"/>
    <mergeCell ref="BIT44:BJJ44"/>
    <mergeCell ref="BCW44:BDM44"/>
    <mergeCell ref="BDN44:BED44"/>
    <mergeCell ref="BEE44:BEU44"/>
    <mergeCell ref="BEV44:BFL44"/>
    <mergeCell ref="BFM44:BGC44"/>
    <mergeCell ref="BZT44:CAJ44"/>
    <mergeCell ref="CAK44:CBA44"/>
    <mergeCell ref="CBB44:CBR44"/>
    <mergeCell ref="CBS44:CCI44"/>
    <mergeCell ref="CCJ44:CCZ44"/>
    <mergeCell ref="BWM44:BXC44"/>
    <mergeCell ref="BXD44:BXT44"/>
    <mergeCell ref="BXU44:BYK44"/>
    <mergeCell ref="BYL44:BZB44"/>
    <mergeCell ref="BZC44:BZS44"/>
    <mergeCell ref="BTF44:BTV44"/>
    <mergeCell ref="BTW44:BUM44"/>
    <mergeCell ref="BUN44:BVD44"/>
    <mergeCell ref="BVE44:BVU44"/>
    <mergeCell ref="BVV44:BWL44"/>
    <mergeCell ref="BPY44:BQO44"/>
    <mergeCell ref="BQP44:BRF44"/>
    <mergeCell ref="BRG44:BRW44"/>
    <mergeCell ref="BRX44:BSN44"/>
    <mergeCell ref="BSO44:BTE44"/>
    <mergeCell ref="CMV44:CNL44"/>
    <mergeCell ref="CNM44:COC44"/>
    <mergeCell ref="COD44:COT44"/>
    <mergeCell ref="COU44:CPK44"/>
    <mergeCell ref="CPL44:CQB44"/>
    <mergeCell ref="CJO44:CKE44"/>
    <mergeCell ref="CKF44:CKV44"/>
    <mergeCell ref="CKW44:CLM44"/>
    <mergeCell ref="CLN44:CMD44"/>
    <mergeCell ref="CME44:CMU44"/>
    <mergeCell ref="CGH44:CGX44"/>
    <mergeCell ref="CGY44:CHO44"/>
    <mergeCell ref="CHP44:CIF44"/>
    <mergeCell ref="CIG44:CIW44"/>
    <mergeCell ref="CIX44:CJN44"/>
    <mergeCell ref="CDA44:CDQ44"/>
    <mergeCell ref="CDR44:CEH44"/>
    <mergeCell ref="CEI44:CEY44"/>
    <mergeCell ref="CEZ44:CFP44"/>
    <mergeCell ref="CFQ44:CGG44"/>
    <mergeCell ref="CZX44:DAN44"/>
    <mergeCell ref="DAO44:DBE44"/>
    <mergeCell ref="DBF44:DBV44"/>
    <mergeCell ref="DBW44:DCM44"/>
    <mergeCell ref="DCN44:DDD44"/>
    <mergeCell ref="CWQ44:CXG44"/>
    <mergeCell ref="CXH44:CXX44"/>
    <mergeCell ref="CXY44:CYO44"/>
    <mergeCell ref="CYP44:CZF44"/>
    <mergeCell ref="CZG44:CZW44"/>
    <mergeCell ref="CTJ44:CTZ44"/>
    <mergeCell ref="CUA44:CUQ44"/>
    <mergeCell ref="CUR44:CVH44"/>
    <mergeCell ref="CVI44:CVY44"/>
    <mergeCell ref="CVZ44:CWP44"/>
    <mergeCell ref="CQC44:CQS44"/>
    <mergeCell ref="CQT44:CRJ44"/>
    <mergeCell ref="CRK44:CSA44"/>
    <mergeCell ref="CSB44:CSR44"/>
    <mergeCell ref="CSS44:CTI44"/>
    <mergeCell ref="DMZ44:DNP44"/>
    <mergeCell ref="DNQ44:DOG44"/>
    <mergeCell ref="DOH44:DOX44"/>
    <mergeCell ref="DOY44:DPO44"/>
    <mergeCell ref="DPP44:DQF44"/>
    <mergeCell ref="DJS44:DKI44"/>
    <mergeCell ref="DKJ44:DKZ44"/>
    <mergeCell ref="DLA44:DLQ44"/>
    <mergeCell ref="DLR44:DMH44"/>
    <mergeCell ref="DMI44:DMY44"/>
    <mergeCell ref="DGL44:DHB44"/>
    <mergeCell ref="DHC44:DHS44"/>
    <mergeCell ref="DHT44:DIJ44"/>
    <mergeCell ref="DIK44:DJA44"/>
    <mergeCell ref="DJB44:DJR44"/>
    <mergeCell ref="DDE44:DDU44"/>
    <mergeCell ref="DDV44:DEL44"/>
    <mergeCell ref="DEM44:DFC44"/>
    <mergeCell ref="DFD44:DFT44"/>
    <mergeCell ref="DFU44:DGK44"/>
    <mergeCell ref="EAB44:EAR44"/>
    <mergeCell ref="EAS44:EBI44"/>
    <mergeCell ref="EBJ44:EBZ44"/>
    <mergeCell ref="ECA44:ECQ44"/>
    <mergeCell ref="ECR44:EDH44"/>
    <mergeCell ref="DWU44:DXK44"/>
    <mergeCell ref="DXL44:DYB44"/>
    <mergeCell ref="DYC44:DYS44"/>
    <mergeCell ref="DYT44:DZJ44"/>
    <mergeCell ref="DZK44:EAA44"/>
    <mergeCell ref="DTN44:DUD44"/>
    <mergeCell ref="DUE44:DUU44"/>
    <mergeCell ref="DUV44:DVL44"/>
    <mergeCell ref="DVM44:DWC44"/>
    <mergeCell ref="DWD44:DWT44"/>
    <mergeCell ref="DQG44:DQW44"/>
    <mergeCell ref="DQX44:DRN44"/>
    <mergeCell ref="DRO44:DSE44"/>
    <mergeCell ref="DSF44:DSV44"/>
    <mergeCell ref="DSW44:DTM44"/>
    <mergeCell ref="END44:ENT44"/>
    <mergeCell ref="ENU44:EOK44"/>
    <mergeCell ref="EOL44:EPB44"/>
    <mergeCell ref="EPC44:EPS44"/>
    <mergeCell ref="EPT44:EQJ44"/>
    <mergeCell ref="EJW44:EKM44"/>
    <mergeCell ref="EKN44:ELD44"/>
    <mergeCell ref="ELE44:ELU44"/>
    <mergeCell ref="ELV44:EML44"/>
    <mergeCell ref="EMM44:ENC44"/>
    <mergeCell ref="EGP44:EHF44"/>
    <mergeCell ref="EHG44:EHW44"/>
    <mergeCell ref="EHX44:EIN44"/>
    <mergeCell ref="EIO44:EJE44"/>
    <mergeCell ref="EJF44:EJV44"/>
    <mergeCell ref="EDI44:EDY44"/>
    <mergeCell ref="EDZ44:EEP44"/>
    <mergeCell ref="EEQ44:EFG44"/>
    <mergeCell ref="EFH44:EFX44"/>
    <mergeCell ref="EFY44:EGO44"/>
    <mergeCell ref="FAF44:FAV44"/>
    <mergeCell ref="FAW44:FBM44"/>
    <mergeCell ref="FBN44:FCD44"/>
    <mergeCell ref="FCE44:FCU44"/>
    <mergeCell ref="FCV44:FDL44"/>
    <mergeCell ref="EWY44:EXO44"/>
    <mergeCell ref="EXP44:EYF44"/>
    <mergeCell ref="EYG44:EYW44"/>
    <mergeCell ref="EYX44:EZN44"/>
    <mergeCell ref="EZO44:FAE44"/>
    <mergeCell ref="ETR44:EUH44"/>
    <mergeCell ref="EUI44:EUY44"/>
    <mergeCell ref="EUZ44:EVP44"/>
    <mergeCell ref="EVQ44:EWG44"/>
    <mergeCell ref="EWH44:EWX44"/>
    <mergeCell ref="EQK44:ERA44"/>
    <mergeCell ref="ERB44:ERR44"/>
    <mergeCell ref="ERS44:ESI44"/>
    <mergeCell ref="ESJ44:ESZ44"/>
    <mergeCell ref="ETA44:ETQ44"/>
    <mergeCell ref="FNH44:FNX44"/>
    <mergeCell ref="FNY44:FOO44"/>
    <mergeCell ref="FOP44:FPF44"/>
    <mergeCell ref="FPG44:FPW44"/>
    <mergeCell ref="FPX44:FQN44"/>
    <mergeCell ref="FKA44:FKQ44"/>
    <mergeCell ref="FKR44:FLH44"/>
    <mergeCell ref="FLI44:FLY44"/>
    <mergeCell ref="FLZ44:FMP44"/>
    <mergeCell ref="FMQ44:FNG44"/>
    <mergeCell ref="FGT44:FHJ44"/>
    <mergeCell ref="FHK44:FIA44"/>
    <mergeCell ref="FIB44:FIR44"/>
    <mergeCell ref="FIS44:FJI44"/>
    <mergeCell ref="FJJ44:FJZ44"/>
    <mergeCell ref="FDM44:FEC44"/>
    <mergeCell ref="FED44:FET44"/>
    <mergeCell ref="FEU44:FFK44"/>
    <mergeCell ref="FFL44:FGB44"/>
    <mergeCell ref="FGC44:FGS44"/>
    <mergeCell ref="GAJ44:GAZ44"/>
    <mergeCell ref="GBA44:GBQ44"/>
    <mergeCell ref="GBR44:GCH44"/>
    <mergeCell ref="GCI44:GCY44"/>
    <mergeCell ref="GCZ44:GDP44"/>
    <mergeCell ref="FXC44:FXS44"/>
    <mergeCell ref="FXT44:FYJ44"/>
    <mergeCell ref="FYK44:FZA44"/>
    <mergeCell ref="FZB44:FZR44"/>
    <mergeCell ref="FZS44:GAI44"/>
    <mergeCell ref="FTV44:FUL44"/>
    <mergeCell ref="FUM44:FVC44"/>
    <mergeCell ref="FVD44:FVT44"/>
    <mergeCell ref="FVU44:FWK44"/>
    <mergeCell ref="FWL44:FXB44"/>
    <mergeCell ref="FQO44:FRE44"/>
    <mergeCell ref="FRF44:FRV44"/>
    <mergeCell ref="FRW44:FSM44"/>
    <mergeCell ref="FSN44:FTD44"/>
    <mergeCell ref="FTE44:FTU44"/>
    <mergeCell ref="GNL44:GOB44"/>
    <mergeCell ref="GOC44:GOS44"/>
    <mergeCell ref="GOT44:GPJ44"/>
    <mergeCell ref="GPK44:GQA44"/>
    <mergeCell ref="GQB44:GQR44"/>
    <mergeCell ref="GKE44:GKU44"/>
    <mergeCell ref="GKV44:GLL44"/>
    <mergeCell ref="GLM44:GMC44"/>
    <mergeCell ref="GMD44:GMT44"/>
    <mergeCell ref="GMU44:GNK44"/>
    <mergeCell ref="GGX44:GHN44"/>
    <mergeCell ref="GHO44:GIE44"/>
    <mergeCell ref="GIF44:GIV44"/>
    <mergeCell ref="GIW44:GJM44"/>
    <mergeCell ref="GJN44:GKD44"/>
    <mergeCell ref="GDQ44:GEG44"/>
    <mergeCell ref="GEH44:GEX44"/>
    <mergeCell ref="GEY44:GFO44"/>
    <mergeCell ref="GFP44:GGF44"/>
    <mergeCell ref="GGG44:GGW44"/>
    <mergeCell ref="HAN44:HBD44"/>
    <mergeCell ref="HBE44:HBU44"/>
    <mergeCell ref="HBV44:HCL44"/>
    <mergeCell ref="HCM44:HDC44"/>
    <mergeCell ref="HDD44:HDT44"/>
    <mergeCell ref="GXG44:GXW44"/>
    <mergeCell ref="GXX44:GYN44"/>
    <mergeCell ref="GYO44:GZE44"/>
    <mergeCell ref="GZF44:GZV44"/>
    <mergeCell ref="GZW44:HAM44"/>
    <mergeCell ref="GTZ44:GUP44"/>
    <mergeCell ref="GUQ44:GVG44"/>
    <mergeCell ref="GVH44:GVX44"/>
    <mergeCell ref="GVY44:GWO44"/>
    <mergeCell ref="GWP44:GXF44"/>
    <mergeCell ref="GQS44:GRI44"/>
    <mergeCell ref="GRJ44:GRZ44"/>
    <mergeCell ref="GSA44:GSQ44"/>
    <mergeCell ref="GSR44:GTH44"/>
    <mergeCell ref="GTI44:GTY44"/>
    <mergeCell ref="HNP44:HOF44"/>
    <mergeCell ref="HOG44:HOW44"/>
    <mergeCell ref="HOX44:HPN44"/>
    <mergeCell ref="HPO44:HQE44"/>
    <mergeCell ref="HQF44:HQV44"/>
    <mergeCell ref="HKI44:HKY44"/>
    <mergeCell ref="HKZ44:HLP44"/>
    <mergeCell ref="HLQ44:HMG44"/>
    <mergeCell ref="HMH44:HMX44"/>
    <mergeCell ref="HMY44:HNO44"/>
    <mergeCell ref="HHB44:HHR44"/>
    <mergeCell ref="HHS44:HII44"/>
    <mergeCell ref="HIJ44:HIZ44"/>
    <mergeCell ref="HJA44:HJQ44"/>
    <mergeCell ref="HJR44:HKH44"/>
    <mergeCell ref="HDU44:HEK44"/>
    <mergeCell ref="HEL44:HFB44"/>
    <mergeCell ref="HFC44:HFS44"/>
    <mergeCell ref="HFT44:HGJ44"/>
    <mergeCell ref="HGK44:HHA44"/>
    <mergeCell ref="IAR44:IBH44"/>
    <mergeCell ref="IBI44:IBY44"/>
    <mergeCell ref="IBZ44:ICP44"/>
    <mergeCell ref="ICQ44:IDG44"/>
    <mergeCell ref="IDH44:IDX44"/>
    <mergeCell ref="HXK44:HYA44"/>
    <mergeCell ref="HYB44:HYR44"/>
    <mergeCell ref="HYS44:HZI44"/>
    <mergeCell ref="HZJ44:HZZ44"/>
    <mergeCell ref="IAA44:IAQ44"/>
    <mergeCell ref="HUD44:HUT44"/>
    <mergeCell ref="HUU44:HVK44"/>
    <mergeCell ref="HVL44:HWB44"/>
    <mergeCell ref="HWC44:HWS44"/>
    <mergeCell ref="HWT44:HXJ44"/>
    <mergeCell ref="HQW44:HRM44"/>
    <mergeCell ref="HRN44:HSD44"/>
    <mergeCell ref="HSE44:HSU44"/>
    <mergeCell ref="HSV44:HTL44"/>
    <mergeCell ref="HTM44:HUC44"/>
    <mergeCell ref="INT44:IOJ44"/>
    <mergeCell ref="IOK44:IPA44"/>
    <mergeCell ref="IPB44:IPR44"/>
    <mergeCell ref="IPS44:IQI44"/>
    <mergeCell ref="IQJ44:IQZ44"/>
    <mergeCell ref="IKM44:ILC44"/>
    <mergeCell ref="ILD44:ILT44"/>
    <mergeCell ref="ILU44:IMK44"/>
    <mergeCell ref="IML44:INB44"/>
    <mergeCell ref="INC44:INS44"/>
    <mergeCell ref="IHF44:IHV44"/>
    <mergeCell ref="IHW44:IIM44"/>
    <mergeCell ref="IIN44:IJD44"/>
    <mergeCell ref="IJE44:IJU44"/>
    <mergeCell ref="IJV44:IKL44"/>
    <mergeCell ref="IDY44:IEO44"/>
    <mergeCell ref="IEP44:IFF44"/>
    <mergeCell ref="IFG44:IFW44"/>
    <mergeCell ref="IFX44:IGN44"/>
    <mergeCell ref="IGO44:IHE44"/>
    <mergeCell ref="JAV44:JBL44"/>
    <mergeCell ref="JBM44:JCC44"/>
    <mergeCell ref="JCD44:JCT44"/>
    <mergeCell ref="JCU44:JDK44"/>
    <mergeCell ref="JDL44:JEB44"/>
    <mergeCell ref="IXO44:IYE44"/>
    <mergeCell ref="IYF44:IYV44"/>
    <mergeCell ref="IYW44:IZM44"/>
    <mergeCell ref="IZN44:JAD44"/>
    <mergeCell ref="JAE44:JAU44"/>
    <mergeCell ref="IUH44:IUX44"/>
    <mergeCell ref="IUY44:IVO44"/>
    <mergeCell ref="IVP44:IWF44"/>
    <mergeCell ref="IWG44:IWW44"/>
    <mergeCell ref="IWX44:IXN44"/>
    <mergeCell ref="IRA44:IRQ44"/>
    <mergeCell ref="IRR44:ISH44"/>
    <mergeCell ref="ISI44:ISY44"/>
    <mergeCell ref="ISZ44:ITP44"/>
    <mergeCell ref="ITQ44:IUG44"/>
    <mergeCell ref="JNX44:JON44"/>
    <mergeCell ref="JOO44:JPE44"/>
    <mergeCell ref="JPF44:JPV44"/>
    <mergeCell ref="JPW44:JQM44"/>
    <mergeCell ref="JQN44:JRD44"/>
    <mergeCell ref="JKQ44:JLG44"/>
    <mergeCell ref="JLH44:JLX44"/>
    <mergeCell ref="JLY44:JMO44"/>
    <mergeCell ref="JMP44:JNF44"/>
    <mergeCell ref="JNG44:JNW44"/>
    <mergeCell ref="JHJ44:JHZ44"/>
    <mergeCell ref="JIA44:JIQ44"/>
    <mergeCell ref="JIR44:JJH44"/>
    <mergeCell ref="JJI44:JJY44"/>
    <mergeCell ref="JJZ44:JKP44"/>
    <mergeCell ref="JEC44:JES44"/>
    <mergeCell ref="JET44:JFJ44"/>
    <mergeCell ref="JFK44:JGA44"/>
    <mergeCell ref="JGB44:JGR44"/>
    <mergeCell ref="JGS44:JHI44"/>
    <mergeCell ref="KAZ44:KBP44"/>
    <mergeCell ref="KBQ44:KCG44"/>
    <mergeCell ref="KCH44:KCX44"/>
    <mergeCell ref="KCY44:KDO44"/>
    <mergeCell ref="KDP44:KEF44"/>
    <mergeCell ref="JXS44:JYI44"/>
    <mergeCell ref="JYJ44:JYZ44"/>
    <mergeCell ref="JZA44:JZQ44"/>
    <mergeCell ref="JZR44:KAH44"/>
    <mergeCell ref="KAI44:KAY44"/>
    <mergeCell ref="JUL44:JVB44"/>
    <mergeCell ref="JVC44:JVS44"/>
    <mergeCell ref="JVT44:JWJ44"/>
    <mergeCell ref="JWK44:JXA44"/>
    <mergeCell ref="JXB44:JXR44"/>
    <mergeCell ref="JRE44:JRU44"/>
    <mergeCell ref="JRV44:JSL44"/>
    <mergeCell ref="JSM44:JTC44"/>
    <mergeCell ref="JTD44:JTT44"/>
    <mergeCell ref="JTU44:JUK44"/>
    <mergeCell ref="KOB44:KOR44"/>
    <mergeCell ref="KOS44:KPI44"/>
    <mergeCell ref="KPJ44:KPZ44"/>
    <mergeCell ref="KQA44:KQQ44"/>
    <mergeCell ref="KQR44:KRH44"/>
    <mergeCell ref="KKU44:KLK44"/>
    <mergeCell ref="KLL44:KMB44"/>
    <mergeCell ref="KMC44:KMS44"/>
    <mergeCell ref="KMT44:KNJ44"/>
    <mergeCell ref="KNK44:KOA44"/>
    <mergeCell ref="KHN44:KID44"/>
    <mergeCell ref="KIE44:KIU44"/>
    <mergeCell ref="KIV44:KJL44"/>
    <mergeCell ref="KJM44:KKC44"/>
    <mergeCell ref="KKD44:KKT44"/>
    <mergeCell ref="KEG44:KEW44"/>
    <mergeCell ref="KEX44:KFN44"/>
    <mergeCell ref="KFO44:KGE44"/>
    <mergeCell ref="KGF44:KGV44"/>
    <mergeCell ref="KGW44:KHM44"/>
    <mergeCell ref="LBD44:LBT44"/>
    <mergeCell ref="LBU44:LCK44"/>
    <mergeCell ref="LCL44:LDB44"/>
    <mergeCell ref="LDC44:LDS44"/>
    <mergeCell ref="LDT44:LEJ44"/>
    <mergeCell ref="KXW44:KYM44"/>
    <mergeCell ref="KYN44:KZD44"/>
    <mergeCell ref="KZE44:KZU44"/>
    <mergeCell ref="KZV44:LAL44"/>
    <mergeCell ref="LAM44:LBC44"/>
    <mergeCell ref="KUP44:KVF44"/>
    <mergeCell ref="KVG44:KVW44"/>
    <mergeCell ref="KVX44:KWN44"/>
    <mergeCell ref="KWO44:KXE44"/>
    <mergeCell ref="KXF44:KXV44"/>
    <mergeCell ref="KRI44:KRY44"/>
    <mergeCell ref="KRZ44:KSP44"/>
    <mergeCell ref="KSQ44:KTG44"/>
    <mergeCell ref="KTH44:KTX44"/>
    <mergeCell ref="KTY44:KUO44"/>
    <mergeCell ref="LOF44:LOV44"/>
    <mergeCell ref="LOW44:LPM44"/>
    <mergeCell ref="LPN44:LQD44"/>
    <mergeCell ref="LQE44:LQU44"/>
    <mergeCell ref="LQV44:LRL44"/>
    <mergeCell ref="LKY44:LLO44"/>
    <mergeCell ref="LLP44:LMF44"/>
    <mergeCell ref="LMG44:LMW44"/>
    <mergeCell ref="LMX44:LNN44"/>
    <mergeCell ref="LNO44:LOE44"/>
    <mergeCell ref="LHR44:LIH44"/>
    <mergeCell ref="LII44:LIY44"/>
    <mergeCell ref="LIZ44:LJP44"/>
    <mergeCell ref="LJQ44:LKG44"/>
    <mergeCell ref="LKH44:LKX44"/>
    <mergeCell ref="LEK44:LFA44"/>
    <mergeCell ref="LFB44:LFR44"/>
    <mergeCell ref="LFS44:LGI44"/>
    <mergeCell ref="LGJ44:LGZ44"/>
    <mergeCell ref="LHA44:LHQ44"/>
    <mergeCell ref="MBH44:MBX44"/>
    <mergeCell ref="MBY44:MCO44"/>
    <mergeCell ref="MCP44:MDF44"/>
    <mergeCell ref="MDG44:MDW44"/>
    <mergeCell ref="MDX44:MEN44"/>
    <mergeCell ref="LYA44:LYQ44"/>
    <mergeCell ref="LYR44:LZH44"/>
    <mergeCell ref="LZI44:LZY44"/>
    <mergeCell ref="LZZ44:MAP44"/>
    <mergeCell ref="MAQ44:MBG44"/>
    <mergeCell ref="LUT44:LVJ44"/>
    <mergeCell ref="LVK44:LWA44"/>
    <mergeCell ref="LWB44:LWR44"/>
    <mergeCell ref="LWS44:LXI44"/>
    <mergeCell ref="LXJ44:LXZ44"/>
    <mergeCell ref="LRM44:LSC44"/>
    <mergeCell ref="LSD44:LST44"/>
    <mergeCell ref="LSU44:LTK44"/>
    <mergeCell ref="LTL44:LUB44"/>
    <mergeCell ref="LUC44:LUS44"/>
    <mergeCell ref="MOJ44:MOZ44"/>
    <mergeCell ref="MPA44:MPQ44"/>
    <mergeCell ref="MPR44:MQH44"/>
    <mergeCell ref="MQI44:MQY44"/>
    <mergeCell ref="MQZ44:MRP44"/>
    <mergeCell ref="MLC44:MLS44"/>
    <mergeCell ref="MLT44:MMJ44"/>
    <mergeCell ref="MMK44:MNA44"/>
    <mergeCell ref="MNB44:MNR44"/>
    <mergeCell ref="MNS44:MOI44"/>
    <mergeCell ref="MHV44:MIL44"/>
    <mergeCell ref="MIM44:MJC44"/>
    <mergeCell ref="MJD44:MJT44"/>
    <mergeCell ref="MJU44:MKK44"/>
    <mergeCell ref="MKL44:MLB44"/>
    <mergeCell ref="MEO44:MFE44"/>
    <mergeCell ref="MFF44:MFV44"/>
    <mergeCell ref="MFW44:MGM44"/>
    <mergeCell ref="MGN44:MHD44"/>
    <mergeCell ref="MHE44:MHU44"/>
    <mergeCell ref="NBL44:NCB44"/>
    <mergeCell ref="NCC44:NCS44"/>
    <mergeCell ref="NCT44:NDJ44"/>
    <mergeCell ref="NDK44:NEA44"/>
    <mergeCell ref="NEB44:NER44"/>
    <mergeCell ref="MYE44:MYU44"/>
    <mergeCell ref="MYV44:MZL44"/>
    <mergeCell ref="MZM44:NAC44"/>
    <mergeCell ref="NAD44:NAT44"/>
    <mergeCell ref="NAU44:NBK44"/>
    <mergeCell ref="MUX44:MVN44"/>
    <mergeCell ref="MVO44:MWE44"/>
    <mergeCell ref="MWF44:MWV44"/>
    <mergeCell ref="MWW44:MXM44"/>
    <mergeCell ref="MXN44:MYD44"/>
    <mergeCell ref="MRQ44:MSG44"/>
    <mergeCell ref="MSH44:MSX44"/>
    <mergeCell ref="MSY44:MTO44"/>
    <mergeCell ref="MTP44:MUF44"/>
    <mergeCell ref="MUG44:MUW44"/>
    <mergeCell ref="NON44:NPD44"/>
    <mergeCell ref="NPE44:NPU44"/>
    <mergeCell ref="NPV44:NQL44"/>
    <mergeCell ref="NQM44:NRC44"/>
    <mergeCell ref="NRD44:NRT44"/>
    <mergeCell ref="NLG44:NLW44"/>
    <mergeCell ref="NLX44:NMN44"/>
    <mergeCell ref="NMO44:NNE44"/>
    <mergeCell ref="NNF44:NNV44"/>
    <mergeCell ref="NNW44:NOM44"/>
    <mergeCell ref="NHZ44:NIP44"/>
    <mergeCell ref="NIQ44:NJG44"/>
    <mergeCell ref="NJH44:NJX44"/>
    <mergeCell ref="NJY44:NKO44"/>
    <mergeCell ref="NKP44:NLF44"/>
    <mergeCell ref="NES44:NFI44"/>
    <mergeCell ref="NFJ44:NFZ44"/>
    <mergeCell ref="NGA44:NGQ44"/>
    <mergeCell ref="NGR44:NHH44"/>
    <mergeCell ref="NHI44:NHY44"/>
    <mergeCell ref="OBP44:OCF44"/>
    <mergeCell ref="OCG44:OCW44"/>
    <mergeCell ref="OCX44:ODN44"/>
    <mergeCell ref="ODO44:OEE44"/>
    <mergeCell ref="OEF44:OEV44"/>
    <mergeCell ref="NYI44:NYY44"/>
    <mergeCell ref="NYZ44:NZP44"/>
    <mergeCell ref="NZQ44:OAG44"/>
    <mergeCell ref="OAH44:OAX44"/>
    <mergeCell ref="OAY44:OBO44"/>
    <mergeCell ref="NVB44:NVR44"/>
    <mergeCell ref="NVS44:NWI44"/>
    <mergeCell ref="NWJ44:NWZ44"/>
    <mergeCell ref="NXA44:NXQ44"/>
    <mergeCell ref="NXR44:NYH44"/>
    <mergeCell ref="NRU44:NSK44"/>
    <mergeCell ref="NSL44:NTB44"/>
    <mergeCell ref="NTC44:NTS44"/>
    <mergeCell ref="NTT44:NUJ44"/>
    <mergeCell ref="NUK44:NVA44"/>
    <mergeCell ref="OOR44:OPH44"/>
    <mergeCell ref="OPI44:OPY44"/>
    <mergeCell ref="OPZ44:OQP44"/>
    <mergeCell ref="OQQ44:ORG44"/>
    <mergeCell ref="ORH44:ORX44"/>
    <mergeCell ref="OLK44:OMA44"/>
    <mergeCell ref="OMB44:OMR44"/>
    <mergeCell ref="OMS44:ONI44"/>
    <mergeCell ref="ONJ44:ONZ44"/>
    <mergeCell ref="OOA44:OOQ44"/>
    <mergeCell ref="OID44:OIT44"/>
    <mergeCell ref="OIU44:OJK44"/>
    <mergeCell ref="OJL44:OKB44"/>
    <mergeCell ref="OKC44:OKS44"/>
    <mergeCell ref="OKT44:OLJ44"/>
    <mergeCell ref="OEW44:OFM44"/>
    <mergeCell ref="OFN44:OGD44"/>
    <mergeCell ref="OGE44:OGU44"/>
    <mergeCell ref="OGV44:OHL44"/>
    <mergeCell ref="OHM44:OIC44"/>
    <mergeCell ref="PBT44:PCJ44"/>
    <mergeCell ref="PCK44:PDA44"/>
    <mergeCell ref="PDB44:PDR44"/>
    <mergeCell ref="PDS44:PEI44"/>
    <mergeCell ref="PEJ44:PEZ44"/>
    <mergeCell ref="OYM44:OZC44"/>
    <mergeCell ref="OZD44:OZT44"/>
    <mergeCell ref="OZU44:PAK44"/>
    <mergeCell ref="PAL44:PBB44"/>
    <mergeCell ref="PBC44:PBS44"/>
    <mergeCell ref="OVF44:OVV44"/>
    <mergeCell ref="OVW44:OWM44"/>
    <mergeCell ref="OWN44:OXD44"/>
    <mergeCell ref="OXE44:OXU44"/>
    <mergeCell ref="OXV44:OYL44"/>
    <mergeCell ref="ORY44:OSO44"/>
    <mergeCell ref="OSP44:OTF44"/>
    <mergeCell ref="OTG44:OTW44"/>
    <mergeCell ref="OTX44:OUN44"/>
    <mergeCell ref="OUO44:OVE44"/>
    <mergeCell ref="POV44:PPL44"/>
    <mergeCell ref="PPM44:PQC44"/>
    <mergeCell ref="PQD44:PQT44"/>
    <mergeCell ref="PQU44:PRK44"/>
    <mergeCell ref="PRL44:PSB44"/>
    <mergeCell ref="PLO44:PME44"/>
    <mergeCell ref="PMF44:PMV44"/>
    <mergeCell ref="PMW44:PNM44"/>
    <mergeCell ref="PNN44:POD44"/>
    <mergeCell ref="POE44:POU44"/>
    <mergeCell ref="PIH44:PIX44"/>
    <mergeCell ref="PIY44:PJO44"/>
    <mergeCell ref="PJP44:PKF44"/>
    <mergeCell ref="PKG44:PKW44"/>
    <mergeCell ref="PKX44:PLN44"/>
    <mergeCell ref="PFA44:PFQ44"/>
    <mergeCell ref="PFR44:PGH44"/>
    <mergeCell ref="PGI44:PGY44"/>
    <mergeCell ref="PGZ44:PHP44"/>
    <mergeCell ref="PHQ44:PIG44"/>
    <mergeCell ref="QBX44:QCN44"/>
    <mergeCell ref="QCO44:QDE44"/>
    <mergeCell ref="QDF44:QDV44"/>
    <mergeCell ref="QDW44:QEM44"/>
    <mergeCell ref="QEN44:QFD44"/>
    <mergeCell ref="PYQ44:PZG44"/>
    <mergeCell ref="PZH44:PZX44"/>
    <mergeCell ref="PZY44:QAO44"/>
    <mergeCell ref="QAP44:QBF44"/>
    <mergeCell ref="QBG44:QBW44"/>
    <mergeCell ref="PVJ44:PVZ44"/>
    <mergeCell ref="PWA44:PWQ44"/>
    <mergeCell ref="PWR44:PXH44"/>
    <mergeCell ref="PXI44:PXY44"/>
    <mergeCell ref="PXZ44:PYP44"/>
    <mergeCell ref="PSC44:PSS44"/>
    <mergeCell ref="PST44:PTJ44"/>
    <mergeCell ref="PTK44:PUA44"/>
    <mergeCell ref="PUB44:PUR44"/>
    <mergeCell ref="PUS44:PVI44"/>
    <mergeCell ref="QOZ44:QPP44"/>
    <mergeCell ref="QPQ44:QQG44"/>
    <mergeCell ref="QQH44:QQX44"/>
    <mergeCell ref="QQY44:QRO44"/>
    <mergeCell ref="QRP44:QSF44"/>
    <mergeCell ref="QLS44:QMI44"/>
    <mergeCell ref="QMJ44:QMZ44"/>
    <mergeCell ref="QNA44:QNQ44"/>
    <mergeCell ref="QNR44:QOH44"/>
    <mergeCell ref="QOI44:QOY44"/>
    <mergeCell ref="QIL44:QJB44"/>
    <mergeCell ref="QJC44:QJS44"/>
    <mergeCell ref="QJT44:QKJ44"/>
    <mergeCell ref="QKK44:QLA44"/>
    <mergeCell ref="QLB44:QLR44"/>
    <mergeCell ref="QFE44:QFU44"/>
    <mergeCell ref="QFV44:QGL44"/>
    <mergeCell ref="QGM44:QHC44"/>
    <mergeCell ref="QHD44:QHT44"/>
    <mergeCell ref="QHU44:QIK44"/>
    <mergeCell ref="RCB44:RCR44"/>
    <mergeCell ref="RCS44:RDI44"/>
    <mergeCell ref="RDJ44:RDZ44"/>
    <mergeCell ref="REA44:REQ44"/>
    <mergeCell ref="RER44:RFH44"/>
    <mergeCell ref="QYU44:QZK44"/>
    <mergeCell ref="QZL44:RAB44"/>
    <mergeCell ref="RAC44:RAS44"/>
    <mergeCell ref="RAT44:RBJ44"/>
    <mergeCell ref="RBK44:RCA44"/>
    <mergeCell ref="QVN44:QWD44"/>
    <mergeCell ref="QWE44:QWU44"/>
    <mergeCell ref="QWV44:QXL44"/>
    <mergeCell ref="QXM44:QYC44"/>
    <mergeCell ref="QYD44:QYT44"/>
    <mergeCell ref="QSG44:QSW44"/>
    <mergeCell ref="QSX44:QTN44"/>
    <mergeCell ref="QTO44:QUE44"/>
    <mergeCell ref="QUF44:QUV44"/>
    <mergeCell ref="QUW44:QVM44"/>
    <mergeCell ref="RPD44:RPT44"/>
    <mergeCell ref="RPU44:RQK44"/>
    <mergeCell ref="RQL44:RRB44"/>
    <mergeCell ref="RRC44:RRS44"/>
    <mergeCell ref="RRT44:RSJ44"/>
    <mergeCell ref="RLW44:RMM44"/>
    <mergeCell ref="RMN44:RND44"/>
    <mergeCell ref="RNE44:RNU44"/>
    <mergeCell ref="RNV44:ROL44"/>
    <mergeCell ref="ROM44:RPC44"/>
    <mergeCell ref="RIP44:RJF44"/>
    <mergeCell ref="RJG44:RJW44"/>
    <mergeCell ref="RJX44:RKN44"/>
    <mergeCell ref="RKO44:RLE44"/>
    <mergeCell ref="RLF44:RLV44"/>
    <mergeCell ref="RFI44:RFY44"/>
    <mergeCell ref="RFZ44:RGP44"/>
    <mergeCell ref="RGQ44:RHG44"/>
    <mergeCell ref="RHH44:RHX44"/>
    <mergeCell ref="RHY44:RIO44"/>
    <mergeCell ref="SCF44:SCV44"/>
    <mergeCell ref="SCW44:SDM44"/>
    <mergeCell ref="SDN44:SED44"/>
    <mergeCell ref="SEE44:SEU44"/>
    <mergeCell ref="SEV44:SFL44"/>
    <mergeCell ref="RYY44:RZO44"/>
    <mergeCell ref="RZP44:SAF44"/>
    <mergeCell ref="SAG44:SAW44"/>
    <mergeCell ref="SAX44:SBN44"/>
    <mergeCell ref="SBO44:SCE44"/>
    <mergeCell ref="RVR44:RWH44"/>
    <mergeCell ref="RWI44:RWY44"/>
    <mergeCell ref="RWZ44:RXP44"/>
    <mergeCell ref="RXQ44:RYG44"/>
    <mergeCell ref="RYH44:RYX44"/>
    <mergeCell ref="RSK44:RTA44"/>
    <mergeCell ref="RTB44:RTR44"/>
    <mergeCell ref="RTS44:RUI44"/>
    <mergeCell ref="RUJ44:RUZ44"/>
    <mergeCell ref="RVA44:RVQ44"/>
    <mergeCell ref="SPH44:SPX44"/>
    <mergeCell ref="SPY44:SQO44"/>
    <mergeCell ref="SQP44:SRF44"/>
    <mergeCell ref="SRG44:SRW44"/>
    <mergeCell ref="SRX44:SSN44"/>
    <mergeCell ref="SMA44:SMQ44"/>
    <mergeCell ref="SMR44:SNH44"/>
    <mergeCell ref="SNI44:SNY44"/>
    <mergeCell ref="SNZ44:SOP44"/>
    <mergeCell ref="SOQ44:SPG44"/>
    <mergeCell ref="SIT44:SJJ44"/>
    <mergeCell ref="SJK44:SKA44"/>
    <mergeCell ref="SKB44:SKR44"/>
    <mergeCell ref="SKS44:SLI44"/>
    <mergeCell ref="SLJ44:SLZ44"/>
    <mergeCell ref="SFM44:SGC44"/>
    <mergeCell ref="SGD44:SGT44"/>
    <mergeCell ref="SGU44:SHK44"/>
    <mergeCell ref="SHL44:SIB44"/>
    <mergeCell ref="SIC44:SIS44"/>
    <mergeCell ref="TCJ44:TCZ44"/>
    <mergeCell ref="TDA44:TDQ44"/>
    <mergeCell ref="TDR44:TEH44"/>
    <mergeCell ref="TEI44:TEY44"/>
    <mergeCell ref="TEZ44:TFP44"/>
    <mergeCell ref="SZC44:SZS44"/>
    <mergeCell ref="SZT44:TAJ44"/>
    <mergeCell ref="TAK44:TBA44"/>
    <mergeCell ref="TBB44:TBR44"/>
    <mergeCell ref="TBS44:TCI44"/>
    <mergeCell ref="SVV44:SWL44"/>
    <mergeCell ref="SWM44:SXC44"/>
    <mergeCell ref="SXD44:SXT44"/>
    <mergeCell ref="SXU44:SYK44"/>
    <mergeCell ref="SYL44:SZB44"/>
    <mergeCell ref="SSO44:STE44"/>
    <mergeCell ref="STF44:STV44"/>
    <mergeCell ref="STW44:SUM44"/>
    <mergeCell ref="SUN44:SVD44"/>
    <mergeCell ref="SVE44:SVU44"/>
    <mergeCell ref="TPL44:TQB44"/>
    <mergeCell ref="TQC44:TQS44"/>
    <mergeCell ref="TQT44:TRJ44"/>
    <mergeCell ref="TRK44:TSA44"/>
    <mergeCell ref="TSB44:TSR44"/>
    <mergeCell ref="TME44:TMU44"/>
    <mergeCell ref="TMV44:TNL44"/>
    <mergeCell ref="TNM44:TOC44"/>
    <mergeCell ref="TOD44:TOT44"/>
    <mergeCell ref="TOU44:TPK44"/>
    <mergeCell ref="TIX44:TJN44"/>
    <mergeCell ref="TJO44:TKE44"/>
    <mergeCell ref="TKF44:TKV44"/>
    <mergeCell ref="TKW44:TLM44"/>
    <mergeCell ref="TLN44:TMD44"/>
    <mergeCell ref="TFQ44:TGG44"/>
    <mergeCell ref="TGH44:TGX44"/>
    <mergeCell ref="TGY44:THO44"/>
    <mergeCell ref="THP44:TIF44"/>
    <mergeCell ref="TIG44:TIW44"/>
    <mergeCell ref="UCN44:UDD44"/>
    <mergeCell ref="UDE44:UDU44"/>
    <mergeCell ref="UDV44:UEL44"/>
    <mergeCell ref="UEM44:UFC44"/>
    <mergeCell ref="UFD44:UFT44"/>
    <mergeCell ref="TZG44:TZW44"/>
    <mergeCell ref="TZX44:UAN44"/>
    <mergeCell ref="UAO44:UBE44"/>
    <mergeCell ref="UBF44:UBV44"/>
    <mergeCell ref="UBW44:UCM44"/>
    <mergeCell ref="TVZ44:TWP44"/>
    <mergeCell ref="TWQ44:TXG44"/>
    <mergeCell ref="TXH44:TXX44"/>
    <mergeCell ref="TXY44:TYO44"/>
    <mergeCell ref="TYP44:TZF44"/>
    <mergeCell ref="TSS44:TTI44"/>
    <mergeCell ref="TTJ44:TTZ44"/>
    <mergeCell ref="TUA44:TUQ44"/>
    <mergeCell ref="TUR44:TVH44"/>
    <mergeCell ref="TVI44:TVY44"/>
    <mergeCell ref="UPP44:UQF44"/>
    <mergeCell ref="UQG44:UQW44"/>
    <mergeCell ref="UQX44:URN44"/>
    <mergeCell ref="URO44:USE44"/>
    <mergeCell ref="USF44:USV44"/>
    <mergeCell ref="UMI44:UMY44"/>
    <mergeCell ref="UMZ44:UNP44"/>
    <mergeCell ref="UNQ44:UOG44"/>
    <mergeCell ref="UOH44:UOX44"/>
    <mergeCell ref="UOY44:UPO44"/>
    <mergeCell ref="UJB44:UJR44"/>
    <mergeCell ref="UJS44:UKI44"/>
    <mergeCell ref="UKJ44:UKZ44"/>
    <mergeCell ref="ULA44:ULQ44"/>
    <mergeCell ref="ULR44:UMH44"/>
    <mergeCell ref="UFU44:UGK44"/>
    <mergeCell ref="UGL44:UHB44"/>
    <mergeCell ref="UHC44:UHS44"/>
    <mergeCell ref="UHT44:UIJ44"/>
    <mergeCell ref="UIK44:UJA44"/>
    <mergeCell ref="VCR44:VDH44"/>
    <mergeCell ref="VDI44:VDY44"/>
    <mergeCell ref="VDZ44:VEP44"/>
    <mergeCell ref="VEQ44:VFG44"/>
    <mergeCell ref="VFH44:VFX44"/>
    <mergeCell ref="UZK44:VAA44"/>
    <mergeCell ref="VAB44:VAR44"/>
    <mergeCell ref="VAS44:VBI44"/>
    <mergeCell ref="VBJ44:VBZ44"/>
    <mergeCell ref="VCA44:VCQ44"/>
    <mergeCell ref="UWD44:UWT44"/>
    <mergeCell ref="UWU44:UXK44"/>
    <mergeCell ref="UXL44:UYB44"/>
    <mergeCell ref="UYC44:UYS44"/>
    <mergeCell ref="UYT44:UZJ44"/>
    <mergeCell ref="USW44:UTM44"/>
    <mergeCell ref="UTN44:UUD44"/>
    <mergeCell ref="UUE44:UUU44"/>
    <mergeCell ref="UUV44:UVL44"/>
    <mergeCell ref="UVM44:UWC44"/>
    <mergeCell ref="VPT44:VQJ44"/>
    <mergeCell ref="VQK44:VRA44"/>
    <mergeCell ref="VRB44:VRR44"/>
    <mergeCell ref="VRS44:VSI44"/>
    <mergeCell ref="VSJ44:VSZ44"/>
    <mergeCell ref="VMM44:VNC44"/>
    <mergeCell ref="VND44:VNT44"/>
    <mergeCell ref="VNU44:VOK44"/>
    <mergeCell ref="VOL44:VPB44"/>
    <mergeCell ref="VPC44:VPS44"/>
    <mergeCell ref="VJF44:VJV44"/>
    <mergeCell ref="VJW44:VKM44"/>
    <mergeCell ref="VKN44:VLD44"/>
    <mergeCell ref="VLE44:VLU44"/>
    <mergeCell ref="VLV44:VML44"/>
    <mergeCell ref="VFY44:VGO44"/>
    <mergeCell ref="VGP44:VHF44"/>
    <mergeCell ref="VHG44:VHW44"/>
    <mergeCell ref="VHX44:VIN44"/>
    <mergeCell ref="VIO44:VJE44"/>
    <mergeCell ref="WCV44:WDL44"/>
    <mergeCell ref="WDM44:WEC44"/>
    <mergeCell ref="WED44:WET44"/>
    <mergeCell ref="WEU44:WFK44"/>
    <mergeCell ref="WFL44:WGB44"/>
    <mergeCell ref="VZO44:WAE44"/>
    <mergeCell ref="WAF44:WAV44"/>
    <mergeCell ref="WAW44:WBM44"/>
    <mergeCell ref="WBN44:WCD44"/>
    <mergeCell ref="WCE44:WCU44"/>
    <mergeCell ref="VWH44:VWX44"/>
    <mergeCell ref="VWY44:VXO44"/>
    <mergeCell ref="VXP44:VYF44"/>
    <mergeCell ref="VYG44:VYW44"/>
    <mergeCell ref="VYX44:VZN44"/>
    <mergeCell ref="VTA44:VTQ44"/>
    <mergeCell ref="VTR44:VUH44"/>
    <mergeCell ref="VUI44:VUY44"/>
    <mergeCell ref="VUZ44:VVP44"/>
    <mergeCell ref="VVQ44:VWG44"/>
    <mergeCell ref="WRF44:WRV44"/>
    <mergeCell ref="WRW44:WSM44"/>
    <mergeCell ref="WSN44:WTD44"/>
    <mergeCell ref="WMQ44:WNG44"/>
    <mergeCell ref="WNH44:WNX44"/>
    <mergeCell ref="WNY44:WOO44"/>
    <mergeCell ref="WOP44:WPF44"/>
    <mergeCell ref="WPG44:WPW44"/>
    <mergeCell ref="WJJ44:WJZ44"/>
    <mergeCell ref="WKA44:WKQ44"/>
    <mergeCell ref="WKR44:WLH44"/>
    <mergeCell ref="WLI44:WLY44"/>
    <mergeCell ref="WLZ44:WMP44"/>
    <mergeCell ref="WGC44:WGS44"/>
    <mergeCell ref="WGT44:WHJ44"/>
    <mergeCell ref="WHK44:WIA44"/>
    <mergeCell ref="WIB44:WIR44"/>
    <mergeCell ref="WIS44:WJI44"/>
    <mergeCell ref="XCZ44:XDP44"/>
    <mergeCell ref="XDQ44:XEC44"/>
    <mergeCell ref="S45:AG45"/>
    <mergeCell ref="AX45:BM45"/>
    <mergeCell ref="BN45:BP45"/>
    <mergeCell ref="BQ45:BU45"/>
    <mergeCell ref="BY45:CN45"/>
    <mergeCell ref="CO45:DE45"/>
    <mergeCell ref="DF45:DV45"/>
    <mergeCell ref="DW45:EM45"/>
    <mergeCell ref="EN45:FD45"/>
    <mergeCell ref="FE45:FU45"/>
    <mergeCell ref="FV45:GL45"/>
    <mergeCell ref="GM45:HC45"/>
    <mergeCell ref="WZS44:XAI44"/>
    <mergeCell ref="XAJ44:XAZ44"/>
    <mergeCell ref="XBA44:XBQ44"/>
    <mergeCell ref="XBR44:XCH44"/>
    <mergeCell ref="XCI44:XCY44"/>
    <mergeCell ref="WWL44:WXB44"/>
    <mergeCell ref="WXC44:WXS44"/>
    <mergeCell ref="XM45:YC45"/>
    <mergeCell ref="WXT44:WYJ44"/>
    <mergeCell ref="WYK44:WZA44"/>
    <mergeCell ref="WZB44:WZR44"/>
    <mergeCell ref="WTE44:WTU44"/>
    <mergeCell ref="WTV44:WUL44"/>
    <mergeCell ref="WUM44:WVC44"/>
    <mergeCell ref="WVD44:WVT44"/>
    <mergeCell ref="WVU44:WWK44"/>
    <mergeCell ref="WPX44:WQN44"/>
    <mergeCell ref="WQO44:WRE44"/>
    <mergeCell ref="QY45:RO45"/>
    <mergeCell ref="RP45:SF45"/>
    <mergeCell ref="SG45:SW45"/>
    <mergeCell ref="SX45:TN45"/>
    <mergeCell ref="TO45:UE45"/>
    <mergeCell ref="NR45:OH45"/>
    <mergeCell ref="OI45:OY45"/>
    <mergeCell ref="OZ45:PP45"/>
    <mergeCell ref="PQ45:QG45"/>
    <mergeCell ref="QH45:QX45"/>
    <mergeCell ref="KK45:LA45"/>
    <mergeCell ref="LB45:LR45"/>
    <mergeCell ref="LS45:MI45"/>
    <mergeCell ref="MJ45:MZ45"/>
    <mergeCell ref="NA45:NQ45"/>
    <mergeCell ref="HD45:HT45"/>
    <mergeCell ref="HU45:IK45"/>
    <mergeCell ref="IL45:JB45"/>
    <mergeCell ref="JC45:JS45"/>
    <mergeCell ref="JT45:KJ45"/>
    <mergeCell ref="AEA45:AEQ45"/>
    <mergeCell ref="AER45:AFH45"/>
    <mergeCell ref="AFI45:AFY45"/>
    <mergeCell ref="AFZ45:AGP45"/>
    <mergeCell ref="AGQ45:AHG45"/>
    <mergeCell ref="AAT45:ABJ45"/>
    <mergeCell ref="ABK45:ACA45"/>
    <mergeCell ref="ACB45:ACR45"/>
    <mergeCell ref="ACS45:ADI45"/>
    <mergeCell ref="ADJ45:ADZ45"/>
    <mergeCell ref="YD45:YT45"/>
    <mergeCell ref="YU45:ZK45"/>
    <mergeCell ref="ZL45:AAB45"/>
    <mergeCell ref="AAC45:AAS45"/>
    <mergeCell ref="UF45:UV45"/>
    <mergeCell ref="UW45:VM45"/>
    <mergeCell ref="VN45:WD45"/>
    <mergeCell ref="WE45:WU45"/>
    <mergeCell ref="WV45:XL45"/>
    <mergeCell ref="ARC45:ARS45"/>
    <mergeCell ref="ART45:ASJ45"/>
    <mergeCell ref="ASK45:ATA45"/>
    <mergeCell ref="ATB45:ATR45"/>
    <mergeCell ref="ATS45:AUI45"/>
    <mergeCell ref="ANV45:AOL45"/>
    <mergeCell ref="AOM45:APC45"/>
    <mergeCell ref="APD45:APT45"/>
    <mergeCell ref="APU45:AQK45"/>
    <mergeCell ref="AQL45:ARB45"/>
    <mergeCell ref="AKO45:ALE45"/>
    <mergeCell ref="ALF45:ALV45"/>
    <mergeCell ref="ALW45:AMM45"/>
    <mergeCell ref="AMN45:AND45"/>
    <mergeCell ref="ANE45:ANU45"/>
    <mergeCell ref="AHH45:AHX45"/>
    <mergeCell ref="AHY45:AIO45"/>
    <mergeCell ref="AIP45:AJF45"/>
    <mergeCell ref="AJG45:AJW45"/>
    <mergeCell ref="AJX45:AKN45"/>
    <mergeCell ref="BEE45:BEU45"/>
    <mergeCell ref="BEV45:BFL45"/>
    <mergeCell ref="BFM45:BGC45"/>
    <mergeCell ref="BGD45:BGT45"/>
    <mergeCell ref="BGU45:BHK45"/>
    <mergeCell ref="BAX45:BBN45"/>
    <mergeCell ref="BBO45:BCE45"/>
    <mergeCell ref="BCF45:BCV45"/>
    <mergeCell ref="BCW45:BDM45"/>
    <mergeCell ref="BDN45:BED45"/>
    <mergeCell ref="AXQ45:AYG45"/>
    <mergeCell ref="AYH45:AYX45"/>
    <mergeCell ref="AYY45:AZO45"/>
    <mergeCell ref="AZP45:BAF45"/>
    <mergeCell ref="BAG45:BAW45"/>
    <mergeCell ref="AUJ45:AUZ45"/>
    <mergeCell ref="AVA45:AVQ45"/>
    <mergeCell ref="AVR45:AWH45"/>
    <mergeCell ref="AWI45:AWY45"/>
    <mergeCell ref="AWZ45:AXP45"/>
    <mergeCell ref="BRG45:BRW45"/>
    <mergeCell ref="BRX45:BSN45"/>
    <mergeCell ref="BSO45:BTE45"/>
    <mergeCell ref="BTF45:BTV45"/>
    <mergeCell ref="BTW45:BUM45"/>
    <mergeCell ref="BNZ45:BOP45"/>
    <mergeCell ref="BOQ45:BPG45"/>
    <mergeCell ref="BPH45:BPX45"/>
    <mergeCell ref="BPY45:BQO45"/>
    <mergeCell ref="BQP45:BRF45"/>
    <mergeCell ref="BKS45:BLI45"/>
    <mergeCell ref="BLJ45:BLZ45"/>
    <mergeCell ref="BMA45:BMQ45"/>
    <mergeCell ref="BMR45:BNH45"/>
    <mergeCell ref="BNI45:BNY45"/>
    <mergeCell ref="BHL45:BIB45"/>
    <mergeCell ref="BIC45:BIS45"/>
    <mergeCell ref="BIT45:BJJ45"/>
    <mergeCell ref="BJK45:BKA45"/>
    <mergeCell ref="BKB45:BKR45"/>
    <mergeCell ref="CEI45:CEY45"/>
    <mergeCell ref="CEZ45:CFP45"/>
    <mergeCell ref="CFQ45:CGG45"/>
    <mergeCell ref="CGH45:CGX45"/>
    <mergeCell ref="CGY45:CHO45"/>
    <mergeCell ref="CBB45:CBR45"/>
    <mergeCell ref="CBS45:CCI45"/>
    <mergeCell ref="CCJ45:CCZ45"/>
    <mergeCell ref="CDA45:CDQ45"/>
    <mergeCell ref="CDR45:CEH45"/>
    <mergeCell ref="BXU45:BYK45"/>
    <mergeCell ref="BYL45:BZB45"/>
    <mergeCell ref="BZC45:BZS45"/>
    <mergeCell ref="BZT45:CAJ45"/>
    <mergeCell ref="CAK45:CBA45"/>
    <mergeCell ref="BUN45:BVD45"/>
    <mergeCell ref="BVE45:BVU45"/>
    <mergeCell ref="BVV45:BWL45"/>
    <mergeCell ref="BWM45:BXC45"/>
    <mergeCell ref="BXD45:BXT45"/>
    <mergeCell ref="CRK45:CSA45"/>
    <mergeCell ref="CSB45:CSR45"/>
    <mergeCell ref="CSS45:CTI45"/>
    <mergeCell ref="CTJ45:CTZ45"/>
    <mergeCell ref="CUA45:CUQ45"/>
    <mergeCell ref="COD45:COT45"/>
    <mergeCell ref="COU45:CPK45"/>
    <mergeCell ref="CPL45:CQB45"/>
    <mergeCell ref="CQC45:CQS45"/>
    <mergeCell ref="CQT45:CRJ45"/>
    <mergeCell ref="CKW45:CLM45"/>
    <mergeCell ref="CLN45:CMD45"/>
    <mergeCell ref="CME45:CMU45"/>
    <mergeCell ref="CMV45:CNL45"/>
    <mergeCell ref="CNM45:COC45"/>
    <mergeCell ref="CHP45:CIF45"/>
    <mergeCell ref="CIG45:CIW45"/>
    <mergeCell ref="CIX45:CJN45"/>
    <mergeCell ref="CJO45:CKE45"/>
    <mergeCell ref="CKF45:CKV45"/>
    <mergeCell ref="DEM45:DFC45"/>
    <mergeCell ref="DFD45:DFT45"/>
    <mergeCell ref="DFU45:DGK45"/>
    <mergeCell ref="DGL45:DHB45"/>
    <mergeCell ref="DHC45:DHS45"/>
    <mergeCell ref="DBF45:DBV45"/>
    <mergeCell ref="DBW45:DCM45"/>
    <mergeCell ref="DCN45:DDD45"/>
    <mergeCell ref="DDE45:DDU45"/>
    <mergeCell ref="DDV45:DEL45"/>
    <mergeCell ref="CXY45:CYO45"/>
    <mergeCell ref="CYP45:CZF45"/>
    <mergeCell ref="CZG45:CZW45"/>
    <mergeCell ref="CZX45:DAN45"/>
    <mergeCell ref="DAO45:DBE45"/>
    <mergeCell ref="CUR45:CVH45"/>
    <mergeCell ref="CVI45:CVY45"/>
    <mergeCell ref="CVZ45:CWP45"/>
    <mergeCell ref="CWQ45:CXG45"/>
    <mergeCell ref="CXH45:CXX45"/>
    <mergeCell ref="DRO45:DSE45"/>
    <mergeCell ref="DSF45:DSV45"/>
    <mergeCell ref="DSW45:DTM45"/>
    <mergeCell ref="DTN45:DUD45"/>
    <mergeCell ref="DUE45:DUU45"/>
    <mergeCell ref="DOH45:DOX45"/>
    <mergeCell ref="DOY45:DPO45"/>
    <mergeCell ref="DPP45:DQF45"/>
    <mergeCell ref="DQG45:DQW45"/>
    <mergeCell ref="DQX45:DRN45"/>
    <mergeCell ref="DLA45:DLQ45"/>
    <mergeCell ref="DLR45:DMH45"/>
    <mergeCell ref="DMI45:DMY45"/>
    <mergeCell ref="DMZ45:DNP45"/>
    <mergeCell ref="DNQ45:DOG45"/>
    <mergeCell ref="DHT45:DIJ45"/>
    <mergeCell ref="DIK45:DJA45"/>
    <mergeCell ref="DJB45:DJR45"/>
    <mergeCell ref="DJS45:DKI45"/>
    <mergeCell ref="DKJ45:DKZ45"/>
    <mergeCell ref="EEQ45:EFG45"/>
    <mergeCell ref="EFH45:EFX45"/>
    <mergeCell ref="EFY45:EGO45"/>
    <mergeCell ref="EGP45:EHF45"/>
    <mergeCell ref="EHG45:EHW45"/>
    <mergeCell ref="EBJ45:EBZ45"/>
    <mergeCell ref="ECA45:ECQ45"/>
    <mergeCell ref="ECR45:EDH45"/>
    <mergeCell ref="EDI45:EDY45"/>
    <mergeCell ref="EDZ45:EEP45"/>
    <mergeCell ref="DYC45:DYS45"/>
    <mergeCell ref="DYT45:DZJ45"/>
    <mergeCell ref="DZK45:EAA45"/>
    <mergeCell ref="EAB45:EAR45"/>
    <mergeCell ref="EAS45:EBI45"/>
    <mergeCell ref="DUV45:DVL45"/>
    <mergeCell ref="DVM45:DWC45"/>
    <mergeCell ref="DWD45:DWT45"/>
    <mergeCell ref="DWU45:DXK45"/>
    <mergeCell ref="DXL45:DYB45"/>
    <mergeCell ref="ERS45:ESI45"/>
    <mergeCell ref="ESJ45:ESZ45"/>
    <mergeCell ref="ETA45:ETQ45"/>
    <mergeCell ref="ETR45:EUH45"/>
    <mergeCell ref="EUI45:EUY45"/>
    <mergeCell ref="EOL45:EPB45"/>
    <mergeCell ref="EPC45:EPS45"/>
    <mergeCell ref="EPT45:EQJ45"/>
    <mergeCell ref="EQK45:ERA45"/>
    <mergeCell ref="ERB45:ERR45"/>
    <mergeCell ref="ELE45:ELU45"/>
    <mergeCell ref="ELV45:EML45"/>
    <mergeCell ref="EMM45:ENC45"/>
    <mergeCell ref="END45:ENT45"/>
    <mergeCell ref="ENU45:EOK45"/>
    <mergeCell ref="EHX45:EIN45"/>
    <mergeCell ref="EIO45:EJE45"/>
    <mergeCell ref="EJF45:EJV45"/>
    <mergeCell ref="EJW45:EKM45"/>
    <mergeCell ref="EKN45:ELD45"/>
    <mergeCell ref="FEU45:FFK45"/>
    <mergeCell ref="FFL45:FGB45"/>
    <mergeCell ref="FGC45:FGS45"/>
    <mergeCell ref="FGT45:FHJ45"/>
    <mergeCell ref="FHK45:FIA45"/>
    <mergeCell ref="FBN45:FCD45"/>
    <mergeCell ref="FCE45:FCU45"/>
    <mergeCell ref="FCV45:FDL45"/>
    <mergeCell ref="FDM45:FEC45"/>
    <mergeCell ref="FED45:FET45"/>
    <mergeCell ref="EYG45:EYW45"/>
    <mergeCell ref="EYX45:EZN45"/>
    <mergeCell ref="EZO45:FAE45"/>
    <mergeCell ref="FAF45:FAV45"/>
    <mergeCell ref="FAW45:FBM45"/>
    <mergeCell ref="EUZ45:EVP45"/>
    <mergeCell ref="EVQ45:EWG45"/>
    <mergeCell ref="EWH45:EWX45"/>
    <mergeCell ref="EWY45:EXO45"/>
    <mergeCell ref="EXP45:EYF45"/>
    <mergeCell ref="FRW45:FSM45"/>
    <mergeCell ref="FSN45:FTD45"/>
    <mergeCell ref="FTE45:FTU45"/>
    <mergeCell ref="FTV45:FUL45"/>
    <mergeCell ref="FUM45:FVC45"/>
    <mergeCell ref="FOP45:FPF45"/>
    <mergeCell ref="FPG45:FPW45"/>
    <mergeCell ref="FPX45:FQN45"/>
    <mergeCell ref="FQO45:FRE45"/>
    <mergeCell ref="FRF45:FRV45"/>
    <mergeCell ref="FLI45:FLY45"/>
    <mergeCell ref="FLZ45:FMP45"/>
    <mergeCell ref="FMQ45:FNG45"/>
    <mergeCell ref="FNH45:FNX45"/>
    <mergeCell ref="FNY45:FOO45"/>
    <mergeCell ref="FIB45:FIR45"/>
    <mergeCell ref="FIS45:FJI45"/>
    <mergeCell ref="FJJ45:FJZ45"/>
    <mergeCell ref="FKA45:FKQ45"/>
    <mergeCell ref="FKR45:FLH45"/>
    <mergeCell ref="GEY45:GFO45"/>
    <mergeCell ref="GFP45:GGF45"/>
    <mergeCell ref="GGG45:GGW45"/>
    <mergeCell ref="GGX45:GHN45"/>
    <mergeCell ref="GHO45:GIE45"/>
    <mergeCell ref="GBR45:GCH45"/>
    <mergeCell ref="GCI45:GCY45"/>
    <mergeCell ref="GCZ45:GDP45"/>
    <mergeCell ref="GDQ45:GEG45"/>
    <mergeCell ref="GEH45:GEX45"/>
    <mergeCell ref="FYK45:FZA45"/>
    <mergeCell ref="FZB45:FZR45"/>
    <mergeCell ref="FZS45:GAI45"/>
    <mergeCell ref="GAJ45:GAZ45"/>
    <mergeCell ref="GBA45:GBQ45"/>
    <mergeCell ref="FVD45:FVT45"/>
    <mergeCell ref="FVU45:FWK45"/>
    <mergeCell ref="FWL45:FXB45"/>
    <mergeCell ref="FXC45:FXS45"/>
    <mergeCell ref="FXT45:FYJ45"/>
    <mergeCell ref="GSA45:GSQ45"/>
    <mergeCell ref="GSR45:GTH45"/>
    <mergeCell ref="GTI45:GTY45"/>
    <mergeCell ref="GTZ45:GUP45"/>
    <mergeCell ref="GUQ45:GVG45"/>
    <mergeCell ref="GOT45:GPJ45"/>
    <mergeCell ref="GPK45:GQA45"/>
    <mergeCell ref="GQB45:GQR45"/>
    <mergeCell ref="GQS45:GRI45"/>
    <mergeCell ref="GRJ45:GRZ45"/>
    <mergeCell ref="GLM45:GMC45"/>
    <mergeCell ref="GMD45:GMT45"/>
    <mergeCell ref="GMU45:GNK45"/>
    <mergeCell ref="GNL45:GOB45"/>
    <mergeCell ref="GOC45:GOS45"/>
    <mergeCell ref="GIF45:GIV45"/>
    <mergeCell ref="GIW45:GJM45"/>
    <mergeCell ref="GJN45:GKD45"/>
    <mergeCell ref="GKE45:GKU45"/>
    <mergeCell ref="GKV45:GLL45"/>
    <mergeCell ref="HFC45:HFS45"/>
    <mergeCell ref="HFT45:HGJ45"/>
    <mergeCell ref="HGK45:HHA45"/>
    <mergeCell ref="HHB45:HHR45"/>
    <mergeCell ref="HHS45:HII45"/>
    <mergeCell ref="HBV45:HCL45"/>
    <mergeCell ref="HCM45:HDC45"/>
    <mergeCell ref="HDD45:HDT45"/>
    <mergeCell ref="HDU45:HEK45"/>
    <mergeCell ref="HEL45:HFB45"/>
    <mergeCell ref="GYO45:GZE45"/>
    <mergeCell ref="GZF45:GZV45"/>
    <mergeCell ref="GZW45:HAM45"/>
    <mergeCell ref="HAN45:HBD45"/>
    <mergeCell ref="HBE45:HBU45"/>
    <mergeCell ref="GVH45:GVX45"/>
    <mergeCell ref="GVY45:GWO45"/>
    <mergeCell ref="GWP45:GXF45"/>
    <mergeCell ref="GXG45:GXW45"/>
    <mergeCell ref="GXX45:GYN45"/>
    <mergeCell ref="HSE45:HSU45"/>
    <mergeCell ref="HSV45:HTL45"/>
    <mergeCell ref="HTM45:HUC45"/>
    <mergeCell ref="HUD45:HUT45"/>
    <mergeCell ref="HUU45:HVK45"/>
    <mergeCell ref="HOX45:HPN45"/>
    <mergeCell ref="HPO45:HQE45"/>
    <mergeCell ref="HQF45:HQV45"/>
    <mergeCell ref="HQW45:HRM45"/>
    <mergeCell ref="HRN45:HSD45"/>
    <mergeCell ref="HLQ45:HMG45"/>
    <mergeCell ref="HMH45:HMX45"/>
    <mergeCell ref="HMY45:HNO45"/>
    <mergeCell ref="HNP45:HOF45"/>
    <mergeCell ref="HOG45:HOW45"/>
    <mergeCell ref="HIJ45:HIZ45"/>
    <mergeCell ref="HJA45:HJQ45"/>
    <mergeCell ref="HJR45:HKH45"/>
    <mergeCell ref="HKI45:HKY45"/>
    <mergeCell ref="HKZ45:HLP45"/>
    <mergeCell ref="IFG45:IFW45"/>
    <mergeCell ref="IFX45:IGN45"/>
    <mergeCell ref="IGO45:IHE45"/>
    <mergeCell ref="IHF45:IHV45"/>
    <mergeCell ref="IHW45:IIM45"/>
    <mergeCell ref="IBZ45:ICP45"/>
    <mergeCell ref="ICQ45:IDG45"/>
    <mergeCell ref="IDH45:IDX45"/>
    <mergeCell ref="IDY45:IEO45"/>
    <mergeCell ref="IEP45:IFF45"/>
    <mergeCell ref="HYS45:HZI45"/>
    <mergeCell ref="HZJ45:HZZ45"/>
    <mergeCell ref="IAA45:IAQ45"/>
    <mergeCell ref="IAR45:IBH45"/>
    <mergeCell ref="IBI45:IBY45"/>
    <mergeCell ref="HVL45:HWB45"/>
    <mergeCell ref="HWC45:HWS45"/>
    <mergeCell ref="HWT45:HXJ45"/>
    <mergeCell ref="HXK45:HYA45"/>
    <mergeCell ref="HYB45:HYR45"/>
    <mergeCell ref="ISI45:ISY45"/>
    <mergeCell ref="ISZ45:ITP45"/>
    <mergeCell ref="ITQ45:IUG45"/>
    <mergeCell ref="IUH45:IUX45"/>
    <mergeCell ref="IUY45:IVO45"/>
    <mergeCell ref="IPB45:IPR45"/>
    <mergeCell ref="IPS45:IQI45"/>
    <mergeCell ref="IQJ45:IQZ45"/>
    <mergeCell ref="IRA45:IRQ45"/>
    <mergeCell ref="IRR45:ISH45"/>
    <mergeCell ref="ILU45:IMK45"/>
    <mergeCell ref="IML45:INB45"/>
    <mergeCell ref="INC45:INS45"/>
    <mergeCell ref="INT45:IOJ45"/>
    <mergeCell ref="IOK45:IPA45"/>
    <mergeCell ref="IIN45:IJD45"/>
    <mergeCell ref="IJE45:IJU45"/>
    <mergeCell ref="IJV45:IKL45"/>
    <mergeCell ref="IKM45:ILC45"/>
    <mergeCell ref="ILD45:ILT45"/>
    <mergeCell ref="JFK45:JGA45"/>
    <mergeCell ref="JGB45:JGR45"/>
    <mergeCell ref="JGS45:JHI45"/>
    <mergeCell ref="JHJ45:JHZ45"/>
    <mergeCell ref="JIA45:JIQ45"/>
    <mergeCell ref="JCD45:JCT45"/>
    <mergeCell ref="JCU45:JDK45"/>
    <mergeCell ref="JDL45:JEB45"/>
    <mergeCell ref="JEC45:JES45"/>
    <mergeCell ref="JET45:JFJ45"/>
    <mergeCell ref="IYW45:IZM45"/>
    <mergeCell ref="IZN45:JAD45"/>
    <mergeCell ref="JAE45:JAU45"/>
    <mergeCell ref="JAV45:JBL45"/>
    <mergeCell ref="JBM45:JCC45"/>
    <mergeCell ref="IVP45:IWF45"/>
    <mergeCell ref="IWG45:IWW45"/>
    <mergeCell ref="IWX45:IXN45"/>
    <mergeCell ref="IXO45:IYE45"/>
    <mergeCell ref="IYF45:IYV45"/>
    <mergeCell ref="JSM45:JTC45"/>
    <mergeCell ref="JTD45:JTT45"/>
    <mergeCell ref="JTU45:JUK45"/>
    <mergeCell ref="JUL45:JVB45"/>
    <mergeCell ref="JVC45:JVS45"/>
    <mergeCell ref="JPF45:JPV45"/>
    <mergeCell ref="JPW45:JQM45"/>
    <mergeCell ref="JQN45:JRD45"/>
    <mergeCell ref="JRE45:JRU45"/>
    <mergeCell ref="JRV45:JSL45"/>
    <mergeCell ref="JLY45:JMO45"/>
    <mergeCell ref="JMP45:JNF45"/>
    <mergeCell ref="JNG45:JNW45"/>
    <mergeCell ref="JNX45:JON45"/>
    <mergeCell ref="JOO45:JPE45"/>
    <mergeCell ref="JIR45:JJH45"/>
    <mergeCell ref="JJI45:JJY45"/>
    <mergeCell ref="JJZ45:JKP45"/>
    <mergeCell ref="JKQ45:JLG45"/>
    <mergeCell ref="JLH45:JLX45"/>
    <mergeCell ref="KFO45:KGE45"/>
    <mergeCell ref="KGF45:KGV45"/>
    <mergeCell ref="KGW45:KHM45"/>
    <mergeCell ref="KHN45:KID45"/>
    <mergeCell ref="KIE45:KIU45"/>
    <mergeCell ref="KCH45:KCX45"/>
    <mergeCell ref="KCY45:KDO45"/>
    <mergeCell ref="KDP45:KEF45"/>
    <mergeCell ref="KEG45:KEW45"/>
    <mergeCell ref="KEX45:KFN45"/>
    <mergeCell ref="JZA45:JZQ45"/>
    <mergeCell ref="JZR45:KAH45"/>
    <mergeCell ref="KAI45:KAY45"/>
    <mergeCell ref="KAZ45:KBP45"/>
    <mergeCell ref="KBQ45:KCG45"/>
    <mergeCell ref="JVT45:JWJ45"/>
    <mergeCell ref="JWK45:JXA45"/>
    <mergeCell ref="JXB45:JXR45"/>
    <mergeCell ref="JXS45:JYI45"/>
    <mergeCell ref="JYJ45:JYZ45"/>
    <mergeCell ref="KSQ45:KTG45"/>
    <mergeCell ref="KTH45:KTX45"/>
    <mergeCell ref="KTY45:KUO45"/>
    <mergeCell ref="KUP45:KVF45"/>
    <mergeCell ref="KVG45:KVW45"/>
    <mergeCell ref="KPJ45:KPZ45"/>
    <mergeCell ref="KQA45:KQQ45"/>
    <mergeCell ref="KQR45:KRH45"/>
    <mergeCell ref="KRI45:KRY45"/>
    <mergeCell ref="KRZ45:KSP45"/>
    <mergeCell ref="KMC45:KMS45"/>
    <mergeCell ref="KMT45:KNJ45"/>
    <mergeCell ref="KNK45:KOA45"/>
    <mergeCell ref="KOB45:KOR45"/>
    <mergeCell ref="KOS45:KPI45"/>
    <mergeCell ref="KIV45:KJL45"/>
    <mergeCell ref="KJM45:KKC45"/>
    <mergeCell ref="KKD45:KKT45"/>
    <mergeCell ref="KKU45:KLK45"/>
    <mergeCell ref="KLL45:KMB45"/>
    <mergeCell ref="LFS45:LGI45"/>
    <mergeCell ref="LGJ45:LGZ45"/>
    <mergeCell ref="LHA45:LHQ45"/>
    <mergeCell ref="LHR45:LIH45"/>
    <mergeCell ref="LII45:LIY45"/>
    <mergeCell ref="LCL45:LDB45"/>
    <mergeCell ref="LDC45:LDS45"/>
    <mergeCell ref="LDT45:LEJ45"/>
    <mergeCell ref="LEK45:LFA45"/>
    <mergeCell ref="LFB45:LFR45"/>
    <mergeCell ref="KZE45:KZU45"/>
    <mergeCell ref="KZV45:LAL45"/>
    <mergeCell ref="LAM45:LBC45"/>
    <mergeCell ref="LBD45:LBT45"/>
    <mergeCell ref="LBU45:LCK45"/>
    <mergeCell ref="KVX45:KWN45"/>
    <mergeCell ref="KWO45:KXE45"/>
    <mergeCell ref="KXF45:KXV45"/>
    <mergeCell ref="KXW45:KYM45"/>
    <mergeCell ref="KYN45:KZD45"/>
    <mergeCell ref="LSU45:LTK45"/>
    <mergeCell ref="LTL45:LUB45"/>
    <mergeCell ref="LUC45:LUS45"/>
    <mergeCell ref="LUT45:LVJ45"/>
    <mergeCell ref="LVK45:LWA45"/>
    <mergeCell ref="LPN45:LQD45"/>
    <mergeCell ref="LQE45:LQU45"/>
    <mergeCell ref="LQV45:LRL45"/>
    <mergeCell ref="LRM45:LSC45"/>
    <mergeCell ref="LSD45:LST45"/>
    <mergeCell ref="LMG45:LMW45"/>
    <mergeCell ref="LMX45:LNN45"/>
    <mergeCell ref="LNO45:LOE45"/>
    <mergeCell ref="LOF45:LOV45"/>
    <mergeCell ref="LOW45:LPM45"/>
    <mergeCell ref="LIZ45:LJP45"/>
    <mergeCell ref="LJQ45:LKG45"/>
    <mergeCell ref="LKH45:LKX45"/>
    <mergeCell ref="LKY45:LLO45"/>
    <mergeCell ref="LLP45:LMF45"/>
    <mergeCell ref="MFW45:MGM45"/>
    <mergeCell ref="MGN45:MHD45"/>
    <mergeCell ref="MHE45:MHU45"/>
    <mergeCell ref="MHV45:MIL45"/>
    <mergeCell ref="MIM45:MJC45"/>
    <mergeCell ref="MCP45:MDF45"/>
    <mergeCell ref="MDG45:MDW45"/>
    <mergeCell ref="MDX45:MEN45"/>
    <mergeCell ref="MEO45:MFE45"/>
    <mergeCell ref="MFF45:MFV45"/>
    <mergeCell ref="LZI45:LZY45"/>
    <mergeCell ref="LZZ45:MAP45"/>
    <mergeCell ref="MAQ45:MBG45"/>
    <mergeCell ref="MBH45:MBX45"/>
    <mergeCell ref="MBY45:MCO45"/>
    <mergeCell ref="LWB45:LWR45"/>
    <mergeCell ref="LWS45:LXI45"/>
    <mergeCell ref="LXJ45:LXZ45"/>
    <mergeCell ref="LYA45:LYQ45"/>
    <mergeCell ref="LYR45:LZH45"/>
    <mergeCell ref="MSY45:MTO45"/>
    <mergeCell ref="MTP45:MUF45"/>
    <mergeCell ref="MUG45:MUW45"/>
    <mergeCell ref="MUX45:MVN45"/>
    <mergeCell ref="MVO45:MWE45"/>
    <mergeCell ref="MPR45:MQH45"/>
    <mergeCell ref="MQI45:MQY45"/>
    <mergeCell ref="MQZ45:MRP45"/>
    <mergeCell ref="MRQ45:MSG45"/>
    <mergeCell ref="MSH45:MSX45"/>
    <mergeCell ref="MMK45:MNA45"/>
    <mergeCell ref="MNB45:MNR45"/>
    <mergeCell ref="MNS45:MOI45"/>
    <mergeCell ref="MOJ45:MOZ45"/>
    <mergeCell ref="MPA45:MPQ45"/>
    <mergeCell ref="MJD45:MJT45"/>
    <mergeCell ref="MJU45:MKK45"/>
    <mergeCell ref="MKL45:MLB45"/>
    <mergeCell ref="MLC45:MLS45"/>
    <mergeCell ref="MLT45:MMJ45"/>
    <mergeCell ref="NGA45:NGQ45"/>
    <mergeCell ref="NGR45:NHH45"/>
    <mergeCell ref="NHI45:NHY45"/>
    <mergeCell ref="NHZ45:NIP45"/>
    <mergeCell ref="NIQ45:NJG45"/>
    <mergeCell ref="NCT45:NDJ45"/>
    <mergeCell ref="NDK45:NEA45"/>
    <mergeCell ref="NEB45:NER45"/>
    <mergeCell ref="NES45:NFI45"/>
    <mergeCell ref="NFJ45:NFZ45"/>
    <mergeCell ref="MZM45:NAC45"/>
    <mergeCell ref="NAD45:NAT45"/>
    <mergeCell ref="NAU45:NBK45"/>
    <mergeCell ref="NBL45:NCB45"/>
    <mergeCell ref="NCC45:NCS45"/>
    <mergeCell ref="MWF45:MWV45"/>
    <mergeCell ref="MWW45:MXM45"/>
    <mergeCell ref="MXN45:MYD45"/>
    <mergeCell ref="MYE45:MYU45"/>
    <mergeCell ref="MYV45:MZL45"/>
    <mergeCell ref="NTC45:NTS45"/>
    <mergeCell ref="NTT45:NUJ45"/>
    <mergeCell ref="NUK45:NVA45"/>
    <mergeCell ref="NVB45:NVR45"/>
    <mergeCell ref="NVS45:NWI45"/>
    <mergeCell ref="NPV45:NQL45"/>
    <mergeCell ref="NQM45:NRC45"/>
    <mergeCell ref="NRD45:NRT45"/>
    <mergeCell ref="NRU45:NSK45"/>
    <mergeCell ref="NSL45:NTB45"/>
    <mergeCell ref="NMO45:NNE45"/>
    <mergeCell ref="NNF45:NNV45"/>
    <mergeCell ref="NNW45:NOM45"/>
    <mergeCell ref="NON45:NPD45"/>
    <mergeCell ref="NPE45:NPU45"/>
    <mergeCell ref="NJH45:NJX45"/>
    <mergeCell ref="NJY45:NKO45"/>
    <mergeCell ref="NKP45:NLF45"/>
    <mergeCell ref="NLG45:NLW45"/>
    <mergeCell ref="NLX45:NMN45"/>
    <mergeCell ref="OGE45:OGU45"/>
    <mergeCell ref="OGV45:OHL45"/>
    <mergeCell ref="OHM45:OIC45"/>
    <mergeCell ref="OID45:OIT45"/>
    <mergeCell ref="OIU45:OJK45"/>
    <mergeCell ref="OCX45:ODN45"/>
    <mergeCell ref="ODO45:OEE45"/>
    <mergeCell ref="OEF45:OEV45"/>
    <mergeCell ref="OEW45:OFM45"/>
    <mergeCell ref="OFN45:OGD45"/>
    <mergeCell ref="NZQ45:OAG45"/>
    <mergeCell ref="OAH45:OAX45"/>
    <mergeCell ref="OAY45:OBO45"/>
    <mergeCell ref="OBP45:OCF45"/>
    <mergeCell ref="OCG45:OCW45"/>
    <mergeCell ref="NWJ45:NWZ45"/>
    <mergeCell ref="NXA45:NXQ45"/>
    <mergeCell ref="NXR45:NYH45"/>
    <mergeCell ref="NYI45:NYY45"/>
    <mergeCell ref="NYZ45:NZP45"/>
    <mergeCell ref="OTG45:OTW45"/>
    <mergeCell ref="OTX45:OUN45"/>
    <mergeCell ref="OUO45:OVE45"/>
    <mergeCell ref="OVF45:OVV45"/>
    <mergeCell ref="OVW45:OWM45"/>
    <mergeCell ref="OPZ45:OQP45"/>
    <mergeCell ref="OQQ45:ORG45"/>
    <mergeCell ref="ORH45:ORX45"/>
    <mergeCell ref="ORY45:OSO45"/>
    <mergeCell ref="OSP45:OTF45"/>
    <mergeCell ref="OMS45:ONI45"/>
    <mergeCell ref="ONJ45:ONZ45"/>
    <mergeCell ref="OOA45:OOQ45"/>
    <mergeCell ref="OOR45:OPH45"/>
    <mergeCell ref="OPI45:OPY45"/>
    <mergeCell ref="OJL45:OKB45"/>
    <mergeCell ref="OKC45:OKS45"/>
    <mergeCell ref="OKT45:OLJ45"/>
    <mergeCell ref="OLK45:OMA45"/>
    <mergeCell ref="OMB45:OMR45"/>
    <mergeCell ref="PGI45:PGY45"/>
    <mergeCell ref="PGZ45:PHP45"/>
    <mergeCell ref="PHQ45:PIG45"/>
    <mergeCell ref="PIH45:PIX45"/>
    <mergeCell ref="PIY45:PJO45"/>
    <mergeCell ref="PDB45:PDR45"/>
    <mergeCell ref="PDS45:PEI45"/>
    <mergeCell ref="PEJ45:PEZ45"/>
    <mergeCell ref="PFA45:PFQ45"/>
    <mergeCell ref="PFR45:PGH45"/>
    <mergeCell ref="OZU45:PAK45"/>
    <mergeCell ref="PAL45:PBB45"/>
    <mergeCell ref="PBC45:PBS45"/>
    <mergeCell ref="PBT45:PCJ45"/>
    <mergeCell ref="PCK45:PDA45"/>
    <mergeCell ref="OWN45:OXD45"/>
    <mergeCell ref="OXE45:OXU45"/>
    <mergeCell ref="OXV45:OYL45"/>
    <mergeCell ref="OYM45:OZC45"/>
    <mergeCell ref="OZD45:OZT45"/>
    <mergeCell ref="PTK45:PUA45"/>
    <mergeCell ref="PUB45:PUR45"/>
    <mergeCell ref="PUS45:PVI45"/>
    <mergeCell ref="PVJ45:PVZ45"/>
    <mergeCell ref="PWA45:PWQ45"/>
    <mergeCell ref="PQD45:PQT45"/>
    <mergeCell ref="PQU45:PRK45"/>
    <mergeCell ref="PRL45:PSB45"/>
    <mergeCell ref="PSC45:PSS45"/>
    <mergeCell ref="PST45:PTJ45"/>
    <mergeCell ref="PMW45:PNM45"/>
    <mergeCell ref="PNN45:POD45"/>
    <mergeCell ref="POE45:POU45"/>
    <mergeCell ref="POV45:PPL45"/>
    <mergeCell ref="PPM45:PQC45"/>
    <mergeCell ref="PJP45:PKF45"/>
    <mergeCell ref="PKG45:PKW45"/>
    <mergeCell ref="PKX45:PLN45"/>
    <mergeCell ref="PLO45:PME45"/>
    <mergeCell ref="PMF45:PMV45"/>
    <mergeCell ref="QGM45:QHC45"/>
    <mergeCell ref="QHD45:QHT45"/>
    <mergeCell ref="QHU45:QIK45"/>
    <mergeCell ref="QIL45:QJB45"/>
    <mergeCell ref="QJC45:QJS45"/>
    <mergeCell ref="QDF45:QDV45"/>
    <mergeCell ref="QDW45:QEM45"/>
    <mergeCell ref="QEN45:QFD45"/>
    <mergeCell ref="QFE45:QFU45"/>
    <mergeCell ref="QFV45:QGL45"/>
    <mergeCell ref="PZY45:QAO45"/>
    <mergeCell ref="QAP45:QBF45"/>
    <mergeCell ref="QBG45:QBW45"/>
    <mergeCell ref="QBX45:QCN45"/>
    <mergeCell ref="QCO45:QDE45"/>
    <mergeCell ref="PWR45:PXH45"/>
    <mergeCell ref="PXI45:PXY45"/>
    <mergeCell ref="PXZ45:PYP45"/>
    <mergeCell ref="PYQ45:PZG45"/>
    <mergeCell ref="PZH45:PZX45"/>
    <mergeCell ref="QTO45:QUE45"/>
    <mergeCell ref="QUF45:QUV45"/>
    <mergeCell ref="QUW45:QVM45"/>
    <mergeCell ref="QVN45:QWD45"/>
    <mergeCell ref="QWE45:QWU45"/>
    <mergeCell ref="QQH45:QQX45"/>
    <mergeCell ref="QQY45:QRO45"/>
    <mergeCell ref="QRP45:QSF45"/>
    <mergeCell ref="QSG45:QSW45"/>
    <mergeCell ref="QSX45:QTN45"/>
    <mergeCell ref="QNA45:QNQ45"/>
    <mergeCell ref="QNR45:QOH45"/>
    <mergeCell ref="QOI45:QOY45"/>
    <mergeCell ref="QOZ45:QPP45"/>
    <mergeCell ref="QPQ45:QQG45"/>
    <mergeCell ref="QJT45:QKJ45"/>
    <mergeCell ref="QKK45:QLA45"/>
    <mergeCell ref="QLB45:QLR45"/>
    <mergeCell ref="QLS45:QMI45"/>
    <mergeCell ref="QMJ45:QMZ45"/>
    <mergeCell ref="RGQ45:RHG45"/>
    <mergeCell ref="RHH45:RHX45"/>
    <mergeCell ref="RHY45:RIO45"/>
    <mergeCell ref="RIP45:RJF45"/>
    <mergeCell ref="RJG45:RJW45"/>
    <mergeCell ref="RDJ45:RDZ45"/>
    <mergeCell ref="REA45:REQ45"/>
    <mergeCell ref="RER45:RFH45"/>
    <mergeCell ref="RFI45:RFY45"/>
    <mergeCell ref="RFZ45:RGP45"/>
    <mergeCell ref="RAC45:RAS45"/>
    <mergeCell ref="RAT45:RBJ45"/>
    <mergeCell ref="RBK45:RCA45"/>
    <mergeCell ref="RCB45:RCR45"/>
    <mergeCell ref="RCS45:RDI45"/>
    <mergeCell ref="QWV45:QXL45"/>
    <mergeCell ref="QXM45:QYC45"/>
    <mergeCell ref="QYD45:QYT45"/>
    <mergeCell ref="QYU45:QZK45"/>
    <mergeCell ref="QZL45:RAB45"/>
    <mergeCell ref="RTS45:RUI45"/>
    <mergeCell ref="RUJ45:RUZ45"/>
    <mergeCell ref="RVA45:RVQ45"/>
    <mergeCell ref="RVR45:RWH45"/>
    <mergeCell ref="RWI45:RWY45"/>
    <mergeCell ref="RQL45:RRB45"/>
    <mergeCell ref="RRC45:RRS45"/>
    <mergeCell ref="RRT45:RSJ45"/>
    <mergeCell ref="RSK45:RTA45"/>
    <mergeCell ref="RTB45:RTR45"/>
    <mergeCell ref="RNE45:RNU45"/>
    <mergeCell ref="RNV45:ROL45"/>
    <mergeCell ref="ROM45:RPC45"/>
    <mergeCell ref="RPD45:RPT45"/>
    <mergeCell ref="RPU45:RQK45"/>
    <mergeCell ref="RJX45:RKN45"/>
    <mergeCell ref="RKO45:RLE45"/>
    <mergeCell ref="RLF45:RLV45"/>
    <mergeCell ref="RLW45:RMM45"/>
    <mergeCell ref="RMN45:RND45"/>
    <mergeCell ref="SGU45:SHK45"/>
    <mergeCell ref="SHL45:SIB45"/>
    <mergeCell ref="SIC45:SIS45"/>
    <mergeCell ref="SIT45:SJJ45"/>
    <mergeCell ref="SJK45:SKA45"/>
    <mergeCell ref="SDN45:SED45"/>
    <mergeCell ref="SEE45:SEU45"/>
    <mergeCell ref="SEV45:SFL45"/>
    <mergeCell ref="SFM45:SGC45"/>
    <mergeCell ref="SGD45:SGT45"/>
    <mergeCell ref="SAG45:SAW45"/>
    <mergeCell ref="SAX45:SBN45"/>
    <mergeCell ref="SBO45:SCE45"/>
    <mergeCell ref="SCF45:SCV45"/>
    <mergeCell ref="SCW45:SDM45"/>
    <mergeCell ref="RWZ45:RXP45"/>
    <mergeCell ref="RXQ45:RYG45"/>
    <mergeCell ref="RYH45:RYX45"/>
    <mergeCell ref="RYY45:RZO45"/>
    <mergeCell ref="RZP45:SAF45"/>
    <mergeCell ref="STW45:SUM45"/>
    <mergeCell ref="SUN45:SVD45"/>
    <mergeCell ref="SVE45:SVU45"/>
    <mergeCell ref="SVV45:SWL45"/>
    <mergeCell ref="SWM45:SXC45"/>
    <mergeCell ref="SQP45:SRF45"/>
    <mergeCell ref="SRG45:SRW45"/>
    <mergeCell ref="SRX45:SSN45"/>
    <mergeCell ref="SSO45:STE45"/>
    <mergeCell ref="STF45:STV45"/>
    <mergeCell ref="SNI45:SNY45"/>
    <mergeCell ref="SNZ45:SOP45"/>
    <mergeCell ref="SOQ45:SPG45"/>
    <mergeCell ref="SPH45:SPX45"/>
    <mergeCell ref="SPY45:SQO45"/>
    <mergeCell ref="SKB45:SKR45"/>
    <mergeCell ref="SKS45:SLI45"/>
    <mergeCell ref="SLJ45:SLZ45"/>
    <mergeCell ref="SMA45:SMQ45"/>
    <mergeCell ref="SMR45:SNH45"/>
    <mergeCell ref="TGY45:THO45"/>
    <mergeCell ref="THP45:TIF45"/>
    <mergeCell ref="TIG45:TIW45"/>
    <mergeCell ref="TIX45:TJN45"/>
    <mergeCell ref="TJO45:TKE45"/>
    <mergeCell ref="TDR45:TEH45"/>
    <mergeCell ref="TEI45:TEY45"/>
    <mergeCell ref="TEZ45:TFP45"/>
    <mergeCell ref="TFQ45:TGG45"/>
    <mergeCell ref="TGH45:TGX45"/>
    <mergeCell ref="TAK45:TBA45"/>
    <mergeCell ref="TBB45:TBR45"/>
    <mergeCell ref="TBS45:TCI45"/>
    <mergeCell ref="TCJ45:TCZ45"/>
    <mergeCell ref="TDA45:TDQ45"/>
    <mergeCell ref="SXD45:SXT45"/>
    <mergeCell ref="SXU45:SYK45"/>
    <mergeCell ref="SYL45:SZB45"/>
    <mergeCell ref="SZC45:SZS45"/>
    <mergeCell ref="SZT45:TAJ45"/>
    <mergeCell ref="TUA45:TUQ45"/>
    <mergeCell ref="TUR45:TVH45"/>
    <mergeCell ref="TVI45:TVY45"/>
    <mergeCell ref="TVZ45:TWP45"/>
    <mergeCell ref="TWQ45:TXG45"/>
    <mergeCell ref="TQT45:TRJ45"/>
    <mergeCell ref="TRK45:TSA45"/>
    <mergeCell ref="TSB45:TSR45"/>
    <mergeCell ref="TSS45:TTI45"/>
    <mergeCell ref="TTJ45:TTZ45"/>
    <mergeCell ref="TNM45:TOC45"/>
    <mergeCell ref="TOD45:TOT45"/>
    <mergeCell ref="TOU45:TPK45"/>
    <mergeCell ref="TPL45:TQB45"/>
    <mergeCell ref="TQC45:TQS45"/>
    <mergeCell ref="TKF45:TKV45"/>
    <mergeCell ref="TKW45:TLM45"/>
    <mergeCell ref="TLN45:TMD45"/>
    <mergeCell ref="TME45:TMU45"/>
    <mergeCell ref="TMV45:TNL45"/>
    <mergeCell ref="UHC45:UHS45"/>
    <mergeCell ref="UHT45:UIJ45"/>
    <mergeCell ref="UIK45:UJA45"/>
    <mergeCell ref="UJB45:UJR45"/>
    <mergeCell ref="UJS45:UKI45"/>
    <mergeCell ref="UDV45:UEL45"/>
    <mergeCell ref="UEM45:UFC45"/>
    <mergeCell ref="UFD45:UFT45"/>
    <mergeCell ref="UFU45:UGK45"/>
    <mergeCell ref="UGL45:UHB45"/>
    <mergeCell ref="UAO45:UBE45"/>
    <mergeCell ref="UBF45:UBV45"/>
    <mergeCell ref="UBW45:UCM45"/>
    <mergeCell ref="UCN45:UDD45"/>
    <mergeCell ref="UDE45:UDU45"/>
    <mergeCell ref="TXH45:TXX45"/>
    <mergeCell ref="TXY45:TYO45"/>
    <mergeCell ref="TYP45:TZF45"/>
    <mergeCell ref="TZG45:TZW45"/>
    <mergeCell ref="TZX45:UAN45"/>
    <mergeCell ref="UUE45:UUU45"/>
    <mergeCell ref="UUV45:UVL45"/>
    <mergeCell ref="UVM45:UWC45"/>
    <mergeCell ref="UWD45:UWT45"/>
    <mergeCell ref="UWU45:UXK45"/>
    <mergeCell ref="UQX45:URN45"/>
    <mergeCell ref="URO45:USE45"/>
    <mergeCell ref="USF45:USV45"/>
    <mergeCell ref="USW45:UTM45"/>
    <mergeCell ref="UTN45:UUD45"/>
    <mergeCell ref="UNQ45:UOG45"/>
    <mergeCell ref="UOH45:UOX45"/>
    <mergeCell ref="UOY45:UPO45"/>
    <mergeCell ref="UPP45:UQF45"/>
    <mergeCell ref="UQG45:UQW45"/>
    <mergeCell ref="UKJ45:UKZ45"/>
    <mergeCell ref="ULA45:ULQ45"/>
    <mergeCell ref="ULR45:UMH45"/>
    <mergeCell ref="UMI45:UMY45"/>
    <mergeCell ref="UMZ45:UNP45"/>
    <mergeCell ref="VHG45:VHW45"/>
    <mergeCell ref="VHX45:VIN45"/>
    <mergeCell ref="VIO45:VJE45"/>
    <mergeCell ref="VJF45:VJV45"/>
    <mergeCell ref="VJW45:VKM45"/>
    <mergeCell ref="VDZ45:VEP45"/>
    <mergeCell ref="VEQ45:VFG45"/>
    <mergeCell ref="VFH45:VFX45"/>
    <mergeCell ref="VFY45:VGO45"/>
    <mergeCell ref="VGP45:VHF45"/>
    <mergeCell ref="VAS45:VBI45"/>
    <mergeCell ref="VBJ45:VBZ45"/>
    <mergeCell ref="VCA45:VCQ45"/>
    <mergeCell ref="VCR45:VDH45"/>
    <mergeCell ref="VDI45:VDY45"/>
    <mergeCell ref="UXL45:UYB45"/>
    <mergeCell ref="UYC45:UYS45"/>
    <mergeCell ref="UYT45:UZJ45"/>
    <mergeCell ref="UZK45:VAA45"/>
    <mergeCell ref="VAB45:VAR45"/>
    <mergeCell ref="VUI45:VUY45"/>
    <mergeCell ref="VUZ45:VVP45"/>
    <mergeCell ref="VVQ45:VWG45"/>
    <mergeCell ref="VWH45:VWX45"/>
    <mergeCell ref="VWY45:VXO45"/>
    <mergeCell ref="VRB45:VRR45"/>
    <mergeCell ref="VRS45:VSI45"/>
    <mergeCell ref="VSJ45:VSZ45"/>
    <mergeCell ref="VTA45:VTQ45"/>
    <mergeCell ref="VTR45:VUH45"/>
    <mergeCell ref="VNU45:VOK45"/>
    <mergeCell ref="VOL45:VPB45"/>
    <mergeCell ref="VPC45:VPS45"/>
    <mergeCell ref="VPT45:VQJ45"/>
    <mergeCell ref="VQK45:VRA45"/>
    <mergeCell ref="VKN45:VLD45"/>
    <mergeCell ref="VLE45:VLU45"/>
    <mergeCell ref="VLV45:VML45"/>
    <mergeCell ref="VMM45:VNC45"/>
    <mergeCell ref="VND45:VNT45"/>
    <mergeCell ref="WIS45:WJI45"/>
    <mergeCell ref="WJJ45:WJZ45"/>
    <mergeCell ref="WKA45:WKQ45"/>
    <mergeCell ref="WED45:WET45"/>
    <mergeCell ref="WEU45:WFK45"/>
    <mergeCell ref="WFL45:WGB45"/>
    <mergeCell ref="WGC45:WGS45"/>
    <mergeCell ref="WGT45:WHJ45"/>
    <mergeCell ref="WAW45:WBM45"/>
    <mergeCell ref="WBN45:WCD45"/>
    <mergeCell ref="WCE45:WCU45"/>
    <mergeCell ref="WCV45:WDL45"/>
    <mergeCell ref="WDM45:WEC45"/>
    <mergeCell ref="VXP45:VYF45"/>
    <mergeCell ref="VYG45:VYW45"/>
    <mergeCell ref="VYX45:VZN45"/>
    <mergeCell ref="VZO45:WAE45"/>
    <mergeCell ref="WAF45:WAV45"/>
    <mergeCell ref="WNY45:WOO45"/>
    <mergeCell ref="WOP45:WPF45"/>
    <mergeCell ref="WPG45:WPW45"/>
    <mergeCell ref="WPX45:WQN45"/>
    <mergeCell ref="WQO45:WRE45"/>
    <mergeCell ref="WKR45:WLH45"/>
    <mergeCell ref="WLI45:WLY45"/>
    <mergeCell ref="WLZ45:WMP45"/>
    <mergeCell ref="WMQ45:WNG45"/>
    <mergeCell ref="WNH45:WNX45"/>
    <mergeCell ref="WHK45:WIA45"/>
    <mergeCell ref="XBA45:XBQ45"/>
    <mergeCell ref="XBR45:XCH45"/>
    <mergeCell ref="XCI45:XCY45"/>
    <mergeCell ref="XCZ45:XDP45"/>
    <mergeCell ref="XDQ45:XEC45"/>
    <mergeCell ref="WXT45:WYJ45"/>
    <mergeCell ref="WYK45:WZA45"/>
    <mergeCell ref="WZB45:WZR45"/>
    <mergeCell ref="WZS45:XAI45"/>
    <mergeCell ref="XAJ45:XAZ45"/>
    <mergeCell ref="WUM45:WVC45"/>
    <mergeCell ref="WVD45:WVT45"/>
    <mergeCell ref="WVU45:WWK45"/>
    <mergeCell ref="WWL45:WXB45"/>
    <mergeCell ref="WXC45:WXS45"/>
    <mergeCell ref="WRF45:WRV45"/>
    <mergeCell ref="WRW45:WSM45"/>
    <mergeCell ref="WSN45:WTD45"/>
    <mergeCell ref="WTE45:WTU45"/>
    <mergeCell ref="WTV45:WUL45"/>
    <mergeCell ref="WIB45:WIR45"/>
  </mergeCells>
  <conditionalFormatting sqref="CB5:CB13 CB40:CB42">
    <cfRule type="cellIs" dxfId="2" priority="3" operator="equal">
      <formula>"""FAŁSZ"""</formula>
    </cfRule>
    <cfRule type="containsText" dxfId="1" priority="2" operator="containsText" text="FAŁSZ">
      <formula>NOT(ISERROR(SEARCH("FAŁSZ",CB5)))</formula>
    </cfRule>
    <cfRule type="containsText" dxfId="0" priority="1" operator="containsText" text="PRAWDA">
      <formula>NOT(ISERROR(SEARCH("PRAWDA",CB5)))</formula>
    </cfRule>
  </conditionalFormatting>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10 AA26:AA28 AA31 AA24 AB11:AD11 C11:F11 H11:K11 M11:P11 R11:Z11 AG11:AJ11 AM11:AP11 AR11:AU11 AW11:AZ11 BB11:BE11 BG11:BH11 AA19:AA21 AA6:AA8 AA12:AA16 BU35" formulaRange="1"/>
    <ignoredError sqref="AA25 AA32 Y35:Z35 G11 G25 L11 L25 Q11 Q25 AA11 X35 AF25 AF32 AF11 AK30 AK32 AQ30 AQ32 AV30:AV32 BA30:BA32 BB30 BU11 BP11 BP25 BU25 BU30 BP30 BP32 BU32" formula="1"/>
    <ignoredError sqref="AE11 AQ11 AK11 AV11" formula="1" formulaRange="1"/>
    <ignoredError sqref="AP37 AJ37" evalError="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topLeftCell="AC1" zoomScaleNormal="100" zoomScaleSheetLayoutView="85" workbookViewId="0">
      <selection activeCell="AZ15" sqref="AZ15"/>
    </sheetView>
  </sheetViews>
  <sheetFormatPr defaultColWidth="9" defaultRowHeight="28.5" customHeight="1" outlineLevelRow="1" outlineLevelCol="1"/>
  <cols>
    <col min="1" max="2" width="40.58203125" style="1" customWidth="1"/>
    <col min="3" max="14" width="10.58203125" style="1" customWidth="1" outlineLevel="1"/>
    <col min="15" max="15" width="9" style="1" customWidth="1" outlineLevel="1"/>
    <col min="16" max="17" width="10.58203125" style="1" customWidth="1" outlineLevel="1"/>
    <col min="18" max="20" width="9" style="1" customWidth="1" outlineLevel="1"/>
    <col min="21" max="22" width="10.58203125" style="1" customWidth="1" outlineLevel="1"/>
    <col min="23" max="25" width="9" style="1" customWidth="1" outlineLevel="1"/>
    <col min="26" max="27" width="10.58203125" style="1" customWidth="1" outlineLevel="1"/>
    <col min="28" max="30" width="9" style="1" customWidth="1" outlineLevel="1"/>
    <col min="31" max="32" width="10.58203125" style="1" customWidth="1" outlineLevel="1"/>
    <col min="33" max="35" width="9" style="1"/>
    <col min="36" max="37" width="10.58203125" style="1" customWidth="1"/>
    <col min="38" max="16384" width="9" style="1"/>
  </cols>
  <sheetData>
    <row r="1" spans="1:53" s="9" customFormat="1" ht="89.25" customHeight="1">
      <c r="A1" s="3"/>
      <c r="B1" s="3"/>
      <c r="C1" s="3"/>
      <c r="AM1" s="10"/>
      <c r="AN1" s="10"/>
      <c r="AR1" s="10"/>
      <c r="AS1" s="10"/>
      <c r="AW1" s="10"/>
      <c r="AX1" s="10"/>
    </row>
    <row r="2" spans="1:53" s="33" customFormat="1" ht="12.5" thickBot="1">
      <c r="A2" s="1091"/>
      <c r="B2" s="1091"/>
      <c r="C2" s="1091"/>
      <c r="D2" s="1091"/>
      <c r="E2" s="1091"/>
      <c r="F2" s="1091"/>
      <c r="G2" s="1091"/>
      <c r="H2" s="1091"/>
      <c r="I2" s="1091"/>
      <c r="J2" s="1091"/>
      <c r="K2" s="1091"/>
      <c r="L2" s="1091"/>
      <c r="M2" s="1091"/>
      <c r="N2" s="1091"/>
      <c r="O2" s="1091"/>
      <c r="AK2" s="76"/>
      <c r="AM2" s="1"/>
      <c r="AN2" s="1"/>
      <c r="AR2" s="1"/>
      <c r="AS2" s="1"/>
      <c r="AW2" s="1"/>
      <c r="AX2" s="1"/>
    </row>
    <row r="3" spans="1:53" s="338" customFormat="1" ht="20.149999999999999" customHeight="1">
      <c r="A3" s="203" t="s">
        <v>579</v>
      </c>
      <c r="B3" s="204" t="s">
        <v>580</v>
      </c>
      <c r="C3" s="1089">
        <v>2012</v>
      </c>
      <c r="D3" s="1090"/>
      <c r="E3" s="1090"/>
      <c r="F3" s="1090"/>
      <c r="G3" s="1092">
        <v>2012</v>
      </c>
      <c r="H3" s="1089">
        <v>2013</v>
      </c>
      <c r="I3" s="1090"/>
      <c r="J3" s="1090"/>
      <c r="K3" s="1090"/>
      <c r="L3" s="1092">
        <v>2013</v>
      </c>
      <c r="M3" s="1089">
        <v>2014</v>
      </c>
      <c r="N3" s="1090"/>
      <c r="O3" s="1090"/>
      <c r="P3" s="1090"/>
      <c r="Q3" s="1092">
        <v>2014</v>
      </c>
      <c r="R3" s="1089">
        <v>2015</v>
      </c>
      <c r="S3" s="1090"/>
      <c r="T3" s="1090"/>
      <c r="U3" s="1090"/>
      <c r="V3" s="1092">
        <v>2015</v>
      </c>
      <c r="W3" s="1089">
        <v>2016</v>
      </c>
      <c r="X3" s="1090"/>
      <c r="Y3" s="1090"/>
      <c r="Z3" s="1090"/>
      <c r="AA3" s="1092">
        <v>2016</v>
      </c>
      <c r="AB3" s="1089">
        <v>2017</v>
      </c>
      <c r="AC3" s="1090"/>
      <c r="AD3" s="1090"/>
      <c r="AE3" s="1090"/>
      <c r="AF3" s="1092">
        <v>2017</v>
      </c>
      <c r="AG3" s="1089">
        <v>2018</v>
      </c>
      <c r="AH3" s="1090"/>
      <c r="AI3" s="1090"/>
      <c r="AJ3" s="1090"/>
      <c r="AK3" s="1092" t="s">
        <v>685</v>
      </c>
      <c r="AL3" s="1089">
        <v>2019</v>
      </c>
      <c r="AM3" s="1090"/>
      <c r="AN3" s="1090"/>
      <c r="AO3" s="1090"/>
      <c r="AP3" s="1092" t="s">
        <v>26</v>
      </c>
      <c r="AQ3" s="1089">
        <v>2020</v>
      </c>
      <c r="AR3" s="1090"/>
      <c r="AS3" s="1090"/>
      <c r="AT3" s="1090"/>
      <c r="AU3" s="1092" t="s">
        <v>27</v>
      </c>
      <c r="AV3" s="1089">
        <v>2021</v>
      </c>
      <c r="AW3" s="1090"/>
      <c r="AX3" s="1090"/>
      <c r="AY3" s="1090"/>
      <c r="AZ3" s="1092" t="s">
        <v>28</v>
      </c>
    </row>
    <row r="4" spans="1:53" s="338" customFormat="1" ht="21.75" customHeight="1" thickBot="1">
      <c r="A4" s="205"/>
      <c r="B4" s="206"/>
      <c r="C4" s="287" t="s">
        <v>581</v>
      </c>
      <c r="D4" s="288" t="s">
        <v>582</v>
      </c>
      <c r="E4" s="288" t="s">
        <v>583</v>
      </c>
      <c r="F4" s="288" t="s">
        <v>584</v>
      </c>
      <c r="G4" s="1093"/>
      <c r="H4" s="339" t="s">
        <v>581</v>
      </c>
      <c r="I4" s="340" t="s">
        <v>582</v>
      </c>
      <c r="J4" s="340" t="s">
        <v>583</v>
      </c>
      <c r="K4" s="340" t="s">
        <v>584</v>
      </c>
      <c r="L4" s="1093"/>
      <c r="M4" s="339" t="s">
        <v>581</v>
      </c>
      <c r="N4" s="340" t="s">
        <v>582</v>
      </c>
      <c r="O4" s="340" t="s">
        <v>583</v>
      </c>
      <c r="P4" s="340" t="s">
        <v>584</v>
      </c>
      <c r="Q4" s="1093"/>
      <c r="R4" s="339" t="s">
        <v>581</v>
      </c>
      <c r="S4" s="340" t="s">
        <v>582</v>
      </c>
      <c r="T4" s="340" t="s">
        <v>583</v>
      </c>
      <c r="U4" s="340" t="s">
        <v>584</v>
      </c>
      <c r="V4" s="1093"/>
      <c r="W4" s="339" t="s">
        <v>581</v>
      </c>
      <c r="X4" s="288" t="s">
        <v>582</v>
      </c>
      <c r="Y4" s="288" t="s">
        <v>583</v>
      </c>
      <c r="Z4" s="340" t="s">
        <v>584</v>
      </c>
      <c r="AA4" s="1093"/>
      <c r="AB4" s="339" t="s">
        <v>581</v>
      </c>
      <c r="AC4" s="288" t="s">
        <v>582</v>
      </c>
      <c r="AD4" s="288" t="s">
        <v>583</v>
      </c>
      <c r="AE4" s="340" t="s">
        <v>584</v>
      </c>
      <c r="AF4" s="1093"/>
      <c r="AG4" s="339" t="s">
        <v>581</v>
      </c>
      <c r="AH4" s="288" t="s">
        <v>686</v>
      </c>
      <c r="AI4" s="288" t="s">
        <v>687</v>
      </c>
      <c r="AJ4" s="340" t="s">
        <v>688</v>
      </c>
      <c r="AK4" s="1093"/>
      <c r="AL4" s="339" t="s">
        <v>689</v>
      </c>
      <c r="AM4" s="288" t="s">
        <v>686</v>
      </c>
      <c r="AN4" s="288" t="s">
        <v>687</v>
      </c>
      <c r="AO4" s="340" t="s">
        <v>688</v>
      </c>
      <c r="AP4" s="1093"/>
      <c r="AQ4" s="339" t="s">
        <v>689</v>
      </c>
      <c r="AR4" s="288" t="s">
        <v>686</v>
      </c>
      <c r="AS4" s="288" t="s">
        <v>687</v>
      </c>
      <c r="AT4" s="340" t="s">
        <v>688</v>
      </c>
      <c r="AU4" s="1093"/>
      <c r="AV4" s="339" t="s">
        <v>689</v>
      </c>
      <c r="AW4" s="288" t="s">
        <v>686</v>
      </c>
      <c r="AX4" s="288" t="s">
        <v>687</v>
      </c>
      <c r="AY4" s="340" t="s">
        <v>688</v>
      </c>
      <c r="AZ4" s="1093"/>
    </row>
    <row r="5" spans="1:53" s="4" customFormat="1" ht="20.149999999999999" customHeight="1" thickBot="1">
      <c r="A5" s="198" t="s">
        <v>690</v>
      </c>
      <c r="B5" s="198" t="s">
        <v>691</v>
      </c>
      <c r="C5" s="290" t="s">
        <v>692</v>
      </c>
      <c r="D5" s="291" t="s">
        <v>692</v>
      </c>
      <c r="E5" s="291" t="s">
        <v>692</v>
      </c>
      <c r="F5" s="291" t="s">
        <v>692</v>
      </c>
      <c r="G5" s="292" t="s">
        <v>692</v>
      </c>
      <c r="H5" s="294">
        <f t="shared" ref="H5:AJ5" si="0">H7+H24</f>
        <v>16348336</v>
      </c>
      <c r="I5" s="295">
        <f t="shared" si="0"/>
        <v>16434266</v>
      </c>
      <c r="J5" s="295">
        <f t="shared" si="0"/>
        <v>16627551</v>
      </c>
      <c r="K5" s="295">
        <f t="shared" si="0"/>
        <v>16447334</v>
      </c>
      <c r="L5" s="331">
        <f t="shared" si="0"/>
        <v>16447334</v>
      </c>
      <c r="M5" s="294">
        <f t="shared" si="0"/>
        <v>16333003</v>
      </c>
      <c r="N5" s="295">
        <f t="shared" si="0"/>
        <v>16250497</v>
      </c>
      <c r="O5" s="295">
        <f t="shared" si="0"/>
        <v>16449992</v>
      </c>
      <c r="P5" s="295">
        <f t="shared" si="0"/>
        <v>16482031</v>
      </c>
      <c r="Q5" s="331">
        <f t="shared" si="0"/>
        <v>16482031</v>
      </c>
      <c r="R5" s="294">
        <f t="shared" si="0"/>
        <v>16429469</v>
      </c>
      <c r="S5" s="295">
        <f t="shared" si="0"/>
        <v>16349090</v>
      </c>
      <c r="T5" s="295">
        <f t="shared" si="0"/>
        <v>16395514</v>
      </c>
      <c r="U5" s="295">
        <f t="shared" si="0"/>
        <v>16469696</v>
      </c>
      <c r="V5" s="331">
        <f t="shared" si="0"/>
        <v>16469696</v>
      </c>
      <c r="W5" s="294">
        <f t="shared" si="0"/>
        <v>16531833</v>
      </c>
      <c r="X5" s="295">
        <f t="shared" si="0"/>
        <v>16711541</v>
      </c>
      <c r="Y5" s="295">
        <f t="shared" si="0"/>
        <v>16545653</v>
      </c>
      <c r="Z5" s="295">
        <f t="shared" si="0"/>
        <v>16524936</v>
      </c>
      <c r="AA5" s="331">
        <f t="shared" si="0"/>
        <v>16524936</v>
      </c>
      <c r="AB5" s="294">
        <f t="shared" si="0"/>
        <v>16216128</v>
      </c>
      <c r="AC5" s="295">
        <f t="shared" si="0"/>
        <v>16273840</v>
      </c>
      <c r="AD5" s="295">
        <f t="shared" si="0"/>
        <v>16410325</v>
      </c>
      <c r="AE5" s="295">
        <f t="shared" si="0"/>
        <v>16522597</v>
      </c>
      <c r="AF5" s="331">
        <f t="shared" si="0"/>
        <v>16522597</v>
      </c>
      <c r="AG5" s="294">
        <f>AG7+AG24</f>
        <v>16579337</v>
      </c>
      <c r="AH5" s="295">
        <f t="shared" si="0"/>
        <v>16698622</v>
      </c>
      <c r="AI5" s="295">
        <f>AI7+AI24</f>
        <v>16851153</v>
      </c>
      <c r="AJ5" s="295">
        <f t="shared" si="0"/>
        <v>16906133</v>
      </c>
      <c r="AK5" s="331">
        <f>AK7+AK24</f>
        <v>16906133</v>
      </c>
      <c r="AL5" s="294">
        <f t="shared" ref="AL5:AT5" si="1">AL7+AL24</f>
        <v>16973770</v>
      </c>
      <c r="AM5" s="295">
        <f t="shared" si="1"/>
        <v>17058921</v>
      </c>
      <c r="AN5" s="295">
        <f t="shared" si="1"/>
        <v>17266759</v>
      </c>
      <c r="AO5" s="295">
        <f t="shared" si="1"/>
        <v>17386252</v>
      </c>
      <c r="AP5" s="331">
        <f t="shared" si="1"/>
        <v>17386252</v>
      </c>
      <c r="AQ5" s="294">
        <f t="shared" si="1"/>
        <v>17435613</v>
      </c>
      <c r="AR5" s="295">
        <f>AR7+AR24</f>
        <v>17504720</v>
      </c>
      <c r="AS5" s="295">
        <f t="shared" si="1"/>
        <v>17840155</v>
      </c>
      <c r="AT5" s="295">
        <f t="shared" si="1"/>
        <v>17989701</v>
      </c>
      <c r="AU5" s="331">
        <f>AU7+AU24</f>
        <v>17989701</v>
      </c>
      <c r="AV5" s="294">
        <f t="shared" ref="AV5" si="2">AV7+AV24</f>
        <v>18094192</v>
      </c>
      <c r="AW5" s="295">
        <f>AW7+AW24</f>
        <v>18022621</v>
      </c>
      <c r="AX5" s="295">
        <f t="shared" ref="AX5:AY5" si="3">AX7+AX24</f>
        <v>18121078</v>
      </c>
      <c r="AY5" s="295">
        <f t="shared" si="3"/>
        <v>0</v>
      </c>
      <c r="AZ5" s="331">
        <f>AZ7+AZ24</f>
        <v>18121078</v>
      </c>
    </row>
    <row r="6" spans="1:53" s="289" customFormat="1" ht="20.149999999999999" customHeight="1" thickBot="1">
      <c r="A6" s="203" t="s">
        <v>693</v>
      </c>
      <c r="B6" s="203" t="s">
        <v>694</v>
      </c>
      <c r="C6" s="311"/>
      <c r="D6" s="312"/>
      <c r="E6" s="312"/>
      <c r="F6" s="312"/>
      <c r="G6" s="313"/>
      <c r="H6" s="314"/>
      <c r="I6" s="312"/>
      <c r="J6" s="312"/>
      <c r="K6" s="312"/>
      <c r="L6" s="313"/>
      <c r="M6" s="315"/>
      <c r="N6" s="312"/>
      <c r="O6" s="312"/>
      <c r="P6" s="312"/>
      <c r="Q6" s="313"/>
      <c r="R6" s="315"/>
      <c r="S6" s="312"/>
      <c r="T6" s="312"/>
      <c r="U6" s="312"/>
      <c r="V6" s="313"/>
      <c r="W6" s="315"/>
      <c r="X6" s="316"/>
      <c r="Y6" s="316"/>
      <c r="Z6" s="312"/>
      <c r="AA6" s="313"/>
      <c r="AB6" s="315"/>
      <c r="AC6" s="316"/>
      <c r="AD6" s="316"/>
      <c r="AE6" s="312"/>
      <c r="AF6" s="313"/>
      <c r="AG6" s="316"/>
      <c r="AH6" s="316"/>
      <c r="AI6" s="316"/>
      <c r="AJ6" s="316"/>
      <c r="AK6" s="313"/>
      <c r="AL6" s="316"/>
      <c r="AM6" s="316"/>
      <c r="AN6" s="316"/>
      <c r="AO6" s="316"/>
      <c r="AP6" s="313"/>
      <c r="AQ6" s="316"/>
      <c r="AR6" s="316"/>
      <c r="AS6" s="316"/>
      <c r="AT6" s="316"/>
      <c r="AU6" s="313"/>
      <c r="AV6" s="316"/>
      <c r="AW6" s="316"/>
      <c r="AX6" s="316"/>
      <c r="AY6" s="316"/>
      <c r="AZ6" s="313"/>
    </row>
    <row r="7" spans="1:53" ht="20.149999999999999" customHeight="1" thickBot="1">
      <c r="A7" s="299" t="s">
        <v>695</v>
      </c>
      <c r="B7" s="300" t="s">
        <v>696</v>
      </c>
      <c r="C7" s="301">
        <f>C8+C10+C11</f>
        <v>11532547</v>
      </c>
      <c r="D7" s="302">
        <f t="shared" ref="D7:N7" si="4">D8+D10+D11</f>
        <v>11516833</v>
      </c>
      <c r="E7" s="302">
        <f t="shared" si="4"/>
        <v>11605099</v>
      </c>
      <c r="F7" s="302">
        <f t="shared" si="4"/>
        <v>11735100</v>
      </c>
      <c r="G7" s="310">
        <f>SUM(G8,G10:G11)</f>
        <v>11735100</v>
      </c>
      <c r="H7" s="301">
        <f t="shared" si="4"/>
        <v>11799951</v>
      </c>
      <c r="I7" s="302">
        <f t="shared" si="4"/>
        <v>11868947</v>
      </c>
      <c r="J7" s="302">
        <f t="shared" si="4"/>
        <v>11908422</v>
      </c>
      <c r="K7" s="302">
        <f t="shared" si="4"/>
        <v>11978807</v>
      </c>
      <c r="L7" s="310">
        <f>SUM(L8,L10:L11)</f>
        <v>11978807</v>
      </c>
      <c r="M7" s="301">
        <f t="shared" si="4"/>
        <v>11982678</v>
      </c>
      <c r="N7" s="302">
        <f t="shared" si="4"/>
        <v>12023369</v>
      </c>
      <c r="O7" s="302">
        <f>O8+O10+O11</f>
        <v>12230798</v>
      </c>
      <c r="P7" s="302">
        <f>P8+P10+P11</f>
        <v>12347828</v>
      </c>
      <c r="Q7" s="310">
        <f>Q8+Q10+Q11</f>
        <v>12347828</v>
      </c>
      <c r="R7" s="301">
        <f t="shared" ref="R7:AJ7" si="5">R8+R10+R11</f>
        <v>12394712</v>
      </c>
      <c r="S7" s="302">
        <f t="shared" si="5"/>
        <v>12377021</v>
      </c>
      <c r="T7" s="302">
        <f t="shared" si="5"/>
        <v>12418707</v>
      </c>
      <c r="U7" s="302">
        <f t="shared" si="5"/>
        <v>12614703</v>
      </c>
      <c r="V7" s="310">
        <f t="shared" si="5"/>
        <v>12614703</v>
      </c>
      <c r="W7" s="301">
        <f t="shared" si="5"/>
        <v>12744166</v>
      </c>
      <c r="X7" s="302">
        <f t="shared" si="5"/>
        <v>12880725</v>
      </c>
      <c r="Y7" s="302">
        <f t="shared" si="5"/>
        <v>13017749</v>
      </c>
      <c r="Z7" s="302">
        <f t="shared" si="5"/>
        <v>13254598</v>
      </c>
      <c r="AA7" s="310">
        <f t="shared" si="5"/>
        <v>13254598</v>
      </c>
      <c r="AB7" s="301">
        <f t="shared" si="5"/>
        <v>13337038</v>
      </c>
      <c r="AC7" s="302">
        <f t="shared" si="5"/>
        <v>13419539</v>
      </c>
      <c r="AD7" s="302">
        <f t="shared" si="5"/>
        <v>13530164</v>
      </c>
      <c r="AE7" s="302">
        <f t="shared" si="5"/>
        <v>13685044</v>
      </c>
      <c r="AF7" s="310">
        <f t="shared" si="5"/>
        <v>13685044</v>
      </c>
      <c r="AG7" s="302">
        <f t="shared" si="5"/>
        <v>13796153</v>
      </c>
      <c r="AH7" s="302">
        <v>13929804</v>
      </c>
      <c r="AI7" s="302">
        <v>14057045</v>
      </c>
      <c r="AJ7" s="302">
        <f t="shared" si="5"/>
        <v>14259264</v>
      </c>
      <c r="AK7" s="310">
        <f>AK8+AK10+AK11</f>
        <v>14259264</v>
      </c>
      <c r="AL7" s="302">
        <f>SUM(AL8,AL10:AL11)</f>
        <v>14330995</v>
      </c>
      <c r="AM7" s="302">
        <f t="shared" ref="AM7:AP7" si="6">SUM(AM8,AM10:AM11)</f>
        <v>14451610</v>
      </c>
      <c r="AN7" s="302">
        <f t="shared" si="6"/>
        <v>14587869</v>
      </c>
      <c r="AO7" s="302">
        <f t="shared" si="6"/>
        <v>14728758</v>
      </c>
      <c r="AP7" s="310">
        <f t="shared" si="6"/>
        <v>14728758</v>
      </c>
      <c r="AQ7" s="302">
        <f>SUM(AQ8,AQ10:AQ11)</f>
        <v>14796975</v>
      </c>
      <c r="AR7" s="302">
        <f t="shared" ref="AR7:AT7" si="7">SUM(AR8,AR10:AR11)</f>
        <v>14979496</v>
      </c>
      <c r="AS7" s="302">
        <f t="shared" si="7"/>
        <v>15168916</v>
      </c>
      <c r="AT7" s="302">
        <f t="shared" si="7"/>
        <v>15371888</v>
      </c>
      <c r="AU7" s="310">
        <f>SUM(AU8,AU10:AU11)</f>
        <v>15371888</v>
      </c>
      <c r="AV7" s="302">
        <f>SUM(AV8,AV10:AV11)</f>
        <v>15358097</v>
      </c>
      <c r="AW7" s="302">
        <f t="shared" ref="AW7:AZ7" si="8">SUM(AW8,AW10:AW11)</f>
        <v>15426731</v>
      </c>
      <c r="AX7" s="302">
        <f t="shared" si="8"/>
        <v>15490364</v>
      </c>
      <c r="AY7" s="302">
        <f t="shared" si="8"/>
        <v>0</v>
      </c>
      <c r="AZ7" s="310">
        <f t="shared" si="8"/>
        <v>15490364</v>
      </c>
      <c r="BA7" s="267"/>
    </row>
    <row r="8" spans="1:53" ht="20.149999999999999" customHeight="1">
      <c r="A8" s="268" t="s">
        <v>697</v>
      </c>
      <c r="B8" s="268" t="s">
        <v>698</v>
      </c>
      <c r="C8" s="266">
        <v>3885022</v>
      </c>
      <c r="D8" s="79">
        <v>3868733</v>
      </c>
      <c r="E8" s="79">
        <v>3921673</v>
      </c>
      <c r="F8" s="79">
        <v>3994875</v>
      </c>
      <c r="G8" s="309">
        <f>F8</f>
        <v>3994875</v>
      </c>
      <c r="H8" s="266">
        <v>4047592</v>
      </c>
      <c r="I8" s="79">
        <v>4127560</v>
      </c>
      <c r="J8" s="79">
        <v>4160343</v>
      </c>
      <c r="K8" s="79">
        <v>4212323</v>
      </c>
      <c r="L8" s="309">
        <f>K8</f>
        <v>4212323</v>
      </c>
      <c r="M8" s="266">
        <v>4236986</v>
      </c>
      <c r="N8" s="79">
        <v>4255544</v>
      </c>
      <c r="O8" s="269">
        <v>4344773</v>
      </c>
      <c r="P8" s="79">
        <v>4391702</v>
      </c>
      <c r="Q8" s="309">
        <v>4391702</v>
      </c>
      <c r="R8" s="266">
        <v>4405464</v>
      </c>
      <c r="S8" s="79">
        <v>4374517</v>
      </c>
      <c r="T8" s="79">
        <v>4396361</v>
      </c>
      <c r="U8" s="79">
        <v>4503320</v>
      </c>
      <c r="V8" s="309">
        <f t="shared" ref="V8:V12" si="9">U8</f>
        <v>4503320</v>
      </c>
      <c r="W8" s="266">
        <v>4560267</v>
      </c>
      <c r="X8" s="79">
        <v>4632246</v>
      </c>
      <c r="Y8" s="79">
        <v>4679114</v>
      </c>
      <c r="Z8" s="79">
        <v>4766429</v>
      </c>
      <c r="AA8" s="309">
        <f t="shared" ref="AA8:AA12" si="10">Z8</f>
        <v>4766429</v>
      </c>
      <c r="AB8" s="266">
        <v>4785947</v>
      </c>
      <c r="AC8" s="79">
        <v>4835534</v>
      </c>
      <c r="AD8" s="79">
        <v>4882505</v>
      </c>
      <c r="AE8" s="79">
        <v>4942640</v>
      </c>
      <c r="AF8" s="309">
        <f t="shared" ref="AF8:AF12" si="11">AE8</f>
        <v>4942640</v>
      </c>
      <c r="AG8" s="79">
        <v>4984391</v>
      </c>
      <c r="AH8" s="79">
        <v>5027520</v>
      </c>
      <c r="AI8" s="79">
        <v>5038210</v>
      </c>
      <c r="AJ8" s="79">
        <v>5098917</v>
      </c>
      <c r="AK8" s="309">
        <v>5098917</v>
      </c>
      <c r="AL8" s="79">
        <v>5077221</v>
      </c>
      <c r="AM8" s="79">
        <v>5058740</v>
      </c>
      <c r="AN8" s="79">
        <v>5033398</v>
      </c>
      <c r="AO8" s="79">
        <v>5038448</v>
      </c>
      <c r="AP8" s="309">
        <f>AO8</f>
        <v>5038448</v>
      </c>
      <c r="AQ8" s="79">
        <v>4992356</v>
      </c>
      <c r="AR8" s="79">
        <v>5000734</v>
      </c>
      <c r="AS8" s="79">
        <v>5010376</v>
      </c>
      <c r="AT8" s="79">
        <v>5010358</v>
      </c>
      <c r="AU8" s="309">
        <f>AT8</f>
        <v>5010358</v>
      </c>
      <c r="AV8" s="79">
        <v>4985621</v>
      </c>
      <c r="AW8" s="79">
        <v>4961196</v>
      </c>
      <c r="AX8" s="79">
        <v>4922037</v>
      </c>
      <c r="AY8" s="78"/>
      <c r="AZ8" s="309">
        <f>AX8</f>
        <v>4922037</v>
      </c>
      <c r="BA8" s="267"/>
    </row>
    <row r="9" spans="1:53" ht="20.149999999999999" customHeight="1">
      <c r="A9" s="270" t="s">
        <v>699</v>
      </c>
      <c r="B9" s="270" t="s">
        <v>699</v>
      </c>
      <c r="C9" s="271">
        <v>394001</v>
      </c>
      <c r="D9" s="88">
        <v>416027</v>
      </c>
      <c r="E9" s="88">
        <v>470578</v>
      </c>
      <c r="F9" s="88">
        <v>510617</v>
      </c>
      <c r="G9" s="330">
        <f t="shared" ref="G9:G11" si="12">F9</f>
        <v>510617</v>
      </c>
      <c r="H9" s="271">
        <v>559997</v>
      </c>
      <c r="I9" s="88">
        <v>633475</v>
      </c>
      <c r="J9" s="88">
        <v>680316</v>
      </c>
      <c r="K9" s="88">
        <v>719935</v>
      </c>
      <c r="L9" s="330">
        <f>K9</f>
        <v>719935</v>
      </c>
      <c r="M9" s="271">
        <v>749319</v>
      </c>
      <c r="N9" s="88">
        <v>771481</v>
      </c>
      <c r="O9" s="272">
        <v>806064</v>
      </c>
      <c r="P9" s="88">
        <v>844809</v>
      </c>
      <c r="Q9" s="330">
        <v>844809</v>
      </c>
      <c r="R9" s="271">
        <v>872628</v>
      </c>
      <c r="S9" s="88">
        <v>886305</v>
      </c>
      <c r="T9" s="88">
        <v>901271</v>
      </c>
      <c r="U9" s="88">
        <v>936307</v>
      </c>
      <c r="V9" s="330">
        <f t="shared" si="9"/>
        <v>936307</v>
      </c>
      <c r="W9" s="271">
        <v>957952</v>
      </c>
      <c r="X9" s="88">
        <v>972771</v>
      </c>
      <c r="Y9" s="88">
        <v>982068</v>
      </c>
      <c r="Z9" s="88">
        <v>1021720</v>
      </c>
      <c r="AA9" s="330">
        <f t="shared" si="10"/>
        <v>1021720</v>
      </c>
      <c r="AB9" s="271">
        <v>1031294</v>
      </c>
      <c r="AC9" s="88">
        <v>1058982</v>
      </c>
      <c r="AD9" s="88">
        <v>1072513</v>
      </c>
      <c r="AE9" s="88">
        <v>1099582</v>
      </c>
      <c r="AF9" s="330">
        <f t="shared" si="11"/>
        <v>1099582</v>
      </c>
      <c r="AG9" s="88">
        <v>1114833</v>
      </c>
      <c r="AH9" s="88">
        <v>1127285</v>
      </c>
      <c r="AI9" s="88">
        <v>1141820</v>
      </c>
      <c r="AJ9" s="88">
        <v>1160353</v>
      </c>
      <c r="AK9" s="330">
        <v>1160353</v>
      </c>
      <c r="AL9" s="88">
        <v>1167983</v>
      </c>
      <c r="AM9" s="88">
        <v>1173866</v>
      </c>
      <c r="AN9" s="88">
        <v>1180891</v>
      </c>
      <c r="AO9" s="88">
        <v>1192984</v>
      </c>
      <c r="AP9" s="330">
        <f t="shared" ref="AP9:AP12" si="13">AO9</f>
        <v>1192984</v>
      </c>
      <c r="AQ9" s="88">
        <v>1187199</v>
      </c>
      <c r="AR9" s="88">
        <v>1197486</v>
      </c>
      <c r="AS9" s="88">
        <v>1200561</v>
      </c>
      <c r="AT9" s="88">
        <v>1208676</v>
      </c>
      <c r="AU9" s="330">
        <f>AT9</f>
        <v>1208676</v>
      </c>
      <c r="AV9" s="88">
        <v>1206068</v>
      </c>
      <c r="AW9" s="88">
        <v>1202991</v>
      </c>
      <c r="AX9" s="88">
        <v>1198803</v>
      </c>
      <c r="AY9" s="88"/>
      <c r="AZ9" s="330">
        <f t="shared" ref="AZ9:AZ11" si="14">AX9</f>
        <v>1198803</v>
      </c>
      <c r="BA9" s="267"/>
    </row>
    <row r="10" spans="1:53" ht="20.149999999999999" customHeight="1">
      <c r="A10" s="268" t="s">
        <v>591</v>
      </c>
      <c r="B10" s="268" t="s">
        <v>592</v>
      </c>
      <c r="C10" s="266">
        <v>6985015</v>
      </c>
      <c r="D10" s="79">
        <v>6978192</v>
      </c>
      <c r="E10" s="79">
        <v>6976594</v>
      </c>
      <c r="F10" s="79">
        <v>6979590</v>
      </c>
      <c r="G10" s="309">
        <f t="shared" si="12"/>
        <v>6979590</v>
      </c>
      <c r="H10" s="266">
        <v>6941638</v>
      </c>
      <c r="I10" s="79">
        <v>6891314</v>
      </c>
      <c r="J10" s="79">
        <v>6834719</v>
      </c>
      <c r="K10" s="79">
        <v>6778675</v>
      </c>
      <c r="L10" s="309">
        <f t="shared" ref="L10:L11" si="15">K10</f>
        <v>6778675</v>
      </c>
      <c r="M10" s="266">
        <v>6713629</v>
      </c>
      <c r="N10" s="79">
        <v>6644687</v>
      </c>
      <c r="O10" s="269">
        <v>6617382</v>
      </c>
      <c r="P10" s="79">
        <v>6587915</v>
      </c>
      <c r="Q10" s="309">
        <v>6587915</v>
      </c>
      <c r="R10" s="266">
        <v>6552365</v>
      </c>
      <c r="S10" s="79">
        <v>6519311</v>
      </c>
      <c r="T10" s="79">
        <v>6505016</v>
      </c>
      <c r="U10" s="79">
        <v>6516643</v>
      </c>
      <c r="V10" s="309">
        <f t="shared" si="9"/>
        <v>6516643</v>
      </c>
      <c r="W10" s="266">
        <v>6536366</v>
      </c>
      <c r="X10" s="79">
        <v>6559223</v>
      </c>
      <c r="Y10" s="79">
        <v>6616579</v>
      </c>
      <c r="Z10" s="79">
        <v>6730427</v>
      </c>
      <c r="AA10" s="309">
        <f t="shared" si="10"/>
        <v>6730427</v>
      </c>
      <c r="AB10" s="266">
        <v>6785002</v>
      </c>
      <c r="AC10" s="79">
        <v>6810999</v>
      </c>
      <c r="AD10" s="79">
        <v>6864787</v>
      </c>
      <c r="AE10" s="79">
        <v>6932676</v>
      </c>
      <c r="AF10" s="309">
        <f t="shared" si="11"/>
        <v>6932676</v>
      </c>
      <c r="AG10" s="79">
        <v>6997850</v>
      </c>
      <c r="AH10" s="79">
        <v>7098239</v>
      </c>
      <c r="AI10" s="79">
        <v>7209240</v>
      </c>
      <c r="AJ10" s="79">
        <v>7345213</v>
      </c>
      <c r="AK10" s="309">
        <v>7345213</v>
      </c>
      <c r="AL10" s="79">
        <v>7452479</v>
      </c>
      <c r="AM10" s="79">
        <v>7597611</v>
      </c>
      <c r="AN10" s="79">
        <v>7752113</v>
      </c>
      <c r="AO10" s="79">
        <v>7894581</v>
      </c>
      <c r="AP10" s="309">
        <f t="shared" si="13"/>
        <v>7894581</v>
      </c>
      <c r="AQ10" s="79">
        <v>8016501</v>
      </c>
      <c r="AR10" s="79">
        <v>8188807</v>
      </c>
      <c r="AS10" s="79">
        <v>8366901.0000000009</v>
      </c>
      <c r="AT10" s="79">
        <v>8534841</v>
      </c>
      <c r="AU10" s="309">
        <f>AT10</f>
        <v>8534841</v>
      </c>
      <c r="AV10" s="79">
        <v>8551871</v>
      </c>
      <c r="AW10" s="79">
        <v>8649761</v>
      </c>
      <c r="AX10" s="79">
        <v>8781111</v>
      </c>
      <c r="AY10" s="79"/>
      <c r="AZ10" s="309">
        <f t="shared" si="14"/>
        <v>8781111</v>
      </c>
      <c r="BA10" s="267"/>
    </row>
    <row r="11" spans="1:53" ht="20.149999999999999" customHeight="1" thickBot="1">
      <c r="A11" s="268" t="s">
        <v>594</v>
      </c>
      <c r="B11" s="268" t="s">
        <v>594</v>
      </c>
      <c r="C11" s="266">
        <v>662510</v>
      </c>
      <c r="D11" s="79">
        <v>669908</v>
      </c>
      <c r="E11" s="79">
        <v>706832</v>
      </c>
      <c r="F11" s="79">
        <v>760635</v>
      </c>
      <c r="G11" s="309">
        <f t="shared" si="12"/>
        <v>760635</v>
      </c>
      <c r="H11" s="266">
        <v>810721</v>
      </c>
      <c r="I11" s="79">
        <v>850073</v>
      </c>
      <c r="J11" s="79">
        <v>913360</v>
      </c>
      <c r="K11" s="79">
        <v>987809</v>
      </c>
      <c r="L11" s="309">
        <f t="shared" si="15"/>
        <v>987809</v>
      </c>
      <c r="M11" s="273">
        <v>1032063</v>
      </c>
      <c r="N11" s="80">
        <v>1123138</v>
      </c>
      <c r="O11" s="269">
        <v>1268643</v>
      </c>
      <c r="P11" s="1">
        <v>1368211</v>
      </c>
      <c r="Q11" s="309">
        <v>1368211</v>
      </c>
      <c r="R11" s="273">
        <v>1436883</v>
      </c>
      <c r="S11" s="80">
        <v>1483193</v>
      </c>
      <c r="T11" s="80">
        <v>1517330</v>
      </c>
      <c r="U11" s="79">
        <v>1594740</v>
      </c>
      <c r="V11" s="309">
        <f t="shared" si="9"/>
        <v>1594740</v>
      </c>
      <c r="W11" s="273">
        <v>1647533</v>
      </c>
      <c r="X11" s="80">
        <v>1689256</v>
      </c>
      <c r="Y11" s="80">
        <v>1722056</v>
      </c>
      <c r="Z11" s="79">
        <v>1757742</v>
      </c>
      <c r="AA11" s="309">
        <f t="shared" si="10"/>
        <v>1757742</v>
      </c>
      <c r="AB11" s="273">
        <v>1766089</v>
      </c>
      <c r="AC11" s="80">
        <v>1773006</v>
      </c>
      <c r="AD11" s="80">
        <v>1782872</v>
      </c>
      <c r="AE11" s="80">
        <v>1809728</v>
      </c>
      <c r="AF11" s="309">
        <f t="shared" si="11"/>
        <v>1809728</v>
      </c>
      <c r="AG11" s="80">
        <v>1813912</v>
      </c>
      <c r="AH11" s="80">
        <v>1804045</v>
      </c>
      <c r="AI11" s="80">
        <v>1809595</v>
      </c>
      <c r="AJ11" s="80">
        <v>1815134</v>
      </c>
      <c r="AK11" s="309">
        <v>1815134</v>
      </c>
      <c r="AL11" s="80">
        <v>1801295</v>
      </c>
      <c r="AM11" s="80">
        <v>1795259</v>
      </c>
      <c r="AN11" s="80">
        <v>1802358</v>
      </c>
      <c r="AO11" s="80">
        <v>1795729</v>
      </c>
      <c r="AP11" s="309">
        <f t="shared" si="13"/>
        <v>1795729</v>
      </c>
      <c r="AQ11" s="80">
        <v>1788118</v>
      </c>
      <c r="AR11" s="80">
        <v>1789955</v>
      </c>
      <c r="AS11" s="80">
        <v>1791639</v>
      </c>
      <c r="AT11" s="80">
        <v>1826689</v>
      </c>
      <c r="AU11" s="309">
        <f>AT11</f>
        <v>1826689</v>
      </c>
      <c r="AV11" s="80">
        <v>1820605</v>
      </c>
      <c r="AW11" s="80">
        <v>1815774</v>
      </c>
      <c r="AX11" s="79">
        <v>1787216</v>
      </c>
      <c r="AY11" s="80"/>
      <c r="AZ11" s="309">
        <f t="shared" si="14"/>
        <v>1787216</v>
      </c>
      <c r="BA11" s="267"/>
    </row>
    <row r="12" spans="1:53" ht="20.149999999999999" customHeight="1" thickBot="1">
      <c r="A12" s="198" t="s">
        <v>700</v>
      </c>
      <c r="B12" s="198" t="s">
        <v>701</v>
      </c>
      <c r="C12" s="294">
        <v>6282300</v>
      </c>
      <c r="D12" s="295">
        <v>6264412</v>
      </c>
      <c r="E12" s="295">
        <v>6281184</v>
      </c>
      <c r="F12" s="295">
        <v>6313423</v>
      </c>
      <c r="G12" s="296">
        <f>F12</f>
        <v>6313423</v>
      </c>
      <c r="H12" s="294">
        <v>6318321</v>
      </c>
      <c r="I12" s="295">
        <v>6306877</v>
      </c>
      <c r="J12" s="295">
        <v>6285607</v>
      </c>
      <c r="K12" s="295">
        <v>6287658</v>
      </c>
      <c r="L12" s="296">
        <f>K12</f>
        <v>6287658</v>
      </c>
      <c r="M12" s="294">
        <v>6260662</v>
      </c>
      <c r="N12" s="295">
        <v>6221111</v>
      </c>
      <c r="O12" s="295">
        <v>6184775</v>
      </c>
      <c r="P12" s="295">
        <v>6137531</v>
      </c>
      <c r="Q12" s="296">
        <v>6137531</v>
      </c>
      <c r="R12" s="294">
        <v>6068839</v>
      </c>
      <c r="S12" s="295">
        <v>5990051</v>
      </c>
      <c r="T12" s="295">
        <v>5937768</v>
      </c>
      <c r="U12" s="295">
        <v>5916103</v>
      </c>
      <c r="V12" s="296">
        <f t="shared" si="9"/>
        <v>5916103</v>
      </c>
      <c r="W12" s="294">
        <v>5893225</v>
      </c>
      <c r="X12" s="295">
        <v>5862310</v>
      </c>
      <c r="Y12" s="295">
        <v>5860884</v>
      </c>
      <c r="Z12" s="295">
        <v>5882804</v>
      </c>
      <c r="AA12" s="296">
        <f t="shared" si="10"/>
        <v>5882804</v>
      </c>
      <c r="AB12" s="294">
        <v>5847401</v>
      </c>
      <c r="AC12" s="295">
        <v>5819386</v>
      </c>
      <c r="AD12" s="295">
        <v>5791841</v>
      </c>
      <c r="AE12" s="295">
        <v>5776598</v>
      </c>
      <c r="AF12" s="296">
        <f t="shared" si="11"/>
        <v>5776598</v>
      </c>
      <c r="AG12" s="294">
        <v>5743832</v>
      </c>
      <c r="AH12" s="295">
        <v>5724492</v>
      </c>
      <c r="AI12" s="295">
        <v>5712151</v>
      </c>
      <c r="AJ12" s="295">
        <v>5706147</v>
      </c>
      <c r="AK12" s="296">
        <v>5706147</v>
      </c>
      <c r="AL12" s="294">
        <v>5672790</v>
      </c>
      <c r="AM12" s="295">
        <v>5652912</v>
      </c>
      <c r="AN12" s="295">
        <v>5644291</v>
      </c>
      <c r="AO12" s="295">
        <v>5637734</v>
      </c>
      <c r="AP12" s="296">
        <f t="shared" si="13"/>
        <v>5637734</v>
      </c>
      <c r="AQ12" s="294">
        <v>5601300</v>
      </c>
      <c r="AR12" s="295">
        <v>5587104</v>
      </c>
      <c r="AS12" s="295">
        <v>5569734</v>
      </c>
      <c r="AT12" s="295">
        <v>5548417</v>
      </c>
      <c r="AU12" s="296">
        <f>AT12</f>
        <v>5548417</v>
      </c>
      <c r="AV12" s="294">
        <v>5504797</v>
      </c>
      <c r="AW12" s="295">
        <v>5472855</v>
      </c>
      <c r="AX12" s="295">
        <v>5446111</v>
      </c>
      <c r="AY12" s="295"/>
      <c r="AZ12" s="296">
        <f>AX12</f>
        <v>5446111</v>
      </c>
      <c r="BA12" s="267"/>
    </row>
    <row r="13" spans="1:53" s="308" customFormat="1" ht="20.149999999999999" customHeight="1" thickBot="1">
      <c r="A13" s="306" t="s">
        <v>702</v>
      </c>
      <c r="B13" s="307" t="s">
        <v>703</v>
      </c>
      <c r="C13" s="304"/>
      <c r="D13" s="305"/>
      <c r="E13" s="305"/>
      <c r="F13" s="305"/>
      <c r="G13" s="303"/>
      <c r="H13" s="304"/>
      <c r="I13" s="305"/>
      <c r="J13" s="305"/>
      <c r="K13" s="305"/>
      <c r="L13" s="303"/>
      <c r="M13" s="304"/>
      <c r="N13" s="305"/>
      <c r="O13" s="305"/>
      <c r="P13" s="305"/>
      <c r="Q13" s="303"/>
      <c r="R13" s="304"/>
      <c r="S13" s="305"/>
      <c r="T13" s="305"/>
      <c r="U13" s="305"/>
      <c r="V13" s="303"/>
      <c r="W13" s="304"/>
      <c r="X13" s="305"/>
      <c r="Y13" s="305"/>
      <c r="Z13" s="305"/>
      <c r="AA13" s="303"/>
      <c r="AB13" s="304">
        <v>80.3</v>
      </c>
      <c r="AC13" s="305">
        <v>81.2</v>
      </c>
      <c r="AD13" s="305">
        <v>80.5</v>
      </c>
      <c r="AE13" s="305">
        <v>81.900000000000006</v>
      </c>
      <c r="AF13" s="303"/>
      <c r="AG13" s="305">
        <v>81.900000000000006</v>
      </c>
      <c r="AH13" s="305">
        <v>82.9</v>
      </c>
      <c r="AI13" s="305">
        <v>84</v>
      </c>
      <c r="AJ13" s="305">
        <v>84</v>
      </c>
      <c r="AK13" s="303">
        <v>83.2</v>
      </c>
      <c r="AL13" s="305">
        <v>82.9</v>
      </c>
      <c r="AM13" s="305">
        <v>83.4</v>
      </c>
      <c r="AN13" s="305">
        <v>84.8</v>
      </c>
      <c r="AO13" s="305">
        <v>85.6</v>
      </c>
      <c r="AP13" s="303">
        <v>84.2</v>
      </c>
      <c r="AQ13" s="305">
        <v>85.4</v>
      </c>
      <c r="AR13" s="305">
        <v>86.5</v>
      </c>
      <c r="AS13" s="305">
        <v>86.9</v>
      </c>
      <c r="AT13" s="305">
        <v>89.9</v>
      </c>
      <c r="AU13" s="303">
        <v>87.2</v>
      </c>
      <c r="AV13" s="305">
        <v>90.5</v>
      </c>
      <c r="AW13" s="305">
        <v>91.427769176968681</v>
      </c>
      <c r="AX13" s="305">
        <v>90.3</v>
      </c>
      <c r="AY13" s="305"/>
      <c r="AZ13" s="303">
        <v>90.737123963303631</v>
      </c>
    </row>
    <row r="14" spans="1:53" ht="20.149999999999999" hidden="1" customHeight="1" outlineLevel="1">
      <c r="A14" s="275" t="s">
        <v>704</v>
      </c>
      <c r="B14" s="275" t="s">
        <v>705</v>
      </c>
      <c r="C14" s="276">
        <v>92.5</v>
      </c>
      <c r="D14" s="89">
        <v>94.4</v>
      </c>
      <c r="E14" s="89">
        <v>93.8</v>
      </c>
      <c r="F14" s="89">
        <v>93.8</v>
      </c>
      <c r="G14" s="293">
        <v>93.6</v>
      </c>
      <c r="H14" s="276">
        <v>89.1</v>
      </c>
      <c r="I14" s="89">
        <v>90.3</v>
      </c>
      <c r="J14" s="89">
        <v>87.6</v>
      </c>
      <c r="K14" s="89">
        <v>87.1</v>
      </c>
      <c r="L14" s="293">
        <v>88.5</v>
      </c>
      <c r="M14" s="276">
        <v>84.8</v>
      </c>
      <c r="N14" s="89">
        <v>85.3</v>
      </c>
      <c r="O14" s="274">
        <v>86.5</v>
      </c>
      <c r="P14" s="89">
        <v>87.2</v>
      </c>
      <c r="Q14" s="293">
        <v>85.9</v>
      </c>
      <c r="R14" s="276">
        <v>85.8</v>
      </c>
      <c r="S14" s="89">
        <v>87</v>
      </c>
      <c r="T14" s="89">
        <v>88.1</v>
      </c>
      <c r="U14" s="89">
        <v>88.3</v>
      </c>
      <c r="V14" s="293">
        <v>87.3</v>
      </c>
      <c r="W14" s="276">
        <v>87</v>
      </c>
      <c r="X14" s="89">
        <v>88.4</v>
      </c>
      <c r="Y14" s="89">
        <v>88.6</v>
      </c>
      <c r="Z14" s="89">
        <v>90.7</v>
      </c>
      <c r="AA14" s="293">
        <v>88.7</v>
      </c>
      <c r="AB14" s="276">
        <v>89.1</v>
      </c>
      <c r="AC14" s="89">
        <v>89.6</v>
      </c>
      <c r="AD14" s="89">
        <v>88.4</v>
      </c>
      <c r="AE14" s="89">
        <v>89</v>
      </c>
      <c r="AF14" s="293">
        <v>89</v>
      </c>
      <c r="AG14" s="276">
        <v>88.7</v>
      </c>
      <c r="AH14" s="89">
        <v>89.6</v>
      </c>
      <c r="AI14" s="89">
        <v>90.1</v>
      </c>
      <c r="AJ14" s="89">
        <v>90.5</v>
      </c>
      <c r="AK14" s="293">
        <v>89.7</v>
      </c>
      <c r="AL14" s="276"/>
      <c r="AM14" s="89"/>
      <c r="AN14" s="89"/>
      <c r="AO14" s="89"/>
      <c r="AP14" s="293"/>
      <c r="AQ14" s="276"/>
      <c r="AR14" s="89"/>
      <c r="AS14" s="89"/>
      <c r="AT14" s="89">
        <v>6.4768102002308398E-2</v>
      </c>
      <c r="AU14" s="293"/>
      <c r="AV14" s="276"/>
      <c r="AW14" s="276">
        <v>7.00890484236706E-2</v>
      </c>
      <c r="AX14" s="89">
        <v>7.0767951058226197E-2</v>
      </c>
      <c r="AY14" s="89"/>
      <c r="AZ14" s="293"/>
      <c r="BA14" s="267"/>
    </row>
    <row r="15" spans="1:53" ht="20.149999999999999" customHeight="1" collapsed="1">
      <c r="A15" s="277" t="s">
        <v>706</v>
      </c>
      <c r="B15" s="277" t="s">
        <v>707</v>
      </c>
      <c r="C15" s="266" t="s">
        <v>692</v>
      </c>
      <c r="D15" s="79" t="s">
        <v>692</v>
      </c>
      <c r="E15" s="79" t="s">
        <v>692</v>
      </c>
      <c r="F15" s="81">
        <v>8.4252884188563901E-2</v>
      </c>
      <c r="G15" s="297">
        <f>F15</f>
        <v>8.4252884188563901E-2</v>
      </c>
      <c r="H15" s="278">
        <v>8.6500864834109098E-2</v>
      </c>
      <c r="I15" s="81">
        <v>8.7995678097648605E-2</v>
      </c>
      <c r="J15" s="81">
        <v>8.95665783401738E-2</v>
      </c>
      <c r="K15" s="81">
        <v>9.1612274770678806E-2</v>
      </c>
      <c r="L15" s="297">
        <f>K15</f>
        <v>9.1612274770678806E-2</v>
      </c>
      <c r="M15" s="278">
        <v>9.0641340484564806E-2</v>
      </c>
      <c r="N15" s="81">
        <v>8.7627794752018207E-2</v>
      </c>
      <c r="O15" s="279">
        <f>8.8%</f>
        <v>8.8000000000000009E-2</v>
      </c>
      <c r="P15" s="81">
        <v>9.0976359886998898E-2</v>
      </c>
      <c r="Q15" s="297">
        <v>9.0999999999999998E-2</v>
      </c>
      <c r="R15" s="278">
        <v>9.5000000000000001E-2</v>
      </c>
      <c r="S15" s="81">
        <v>0.10100000000000001</v>
      </c>
      <c r="T15" s="81">
        <v>0.10199999999999999</v>
      </c>
      <c r="U15" s="81">
        <v>0.1</v>
      </c>
      <c r="V15" s="297">
        <v>0.1</v>
      </c>
      <c r="W15" s="278">
        <v>9.8000000000000004E-2</v>
      </c>
      <c r="X15" s="81">
        <v>0.09</v>
      </c>
      <c r="Y15" s="81">
        <v>8.5000000000000006E-2</v>
      </c>
      <c r="Z15" s="81">
        <v>8.3000000000000004E-2</v>
      </c>
      <c r="AA15" s="297">
        <v>8.3000000000000004E-2</v>
      </c>
      <c r="AB15" s="278">
        <v>8.5000000000000006E-2</v>
      </c>
      <c r="AC15" s="81">
        <v>8.5999999999999993E-2</v>
      </c>
      <c r="AD15" s="81">
        <v>8.7999999999999995E-2</v>
      </c>
      <c r="AE15" s="81">
        <v>8.7999999999999995E-2</v>
      </c>
      <c r="AF15" s="297">
        <v>8.7999999999999995E-2</v>
      </c>
      <c r="AG15" s="81">
        <v>8.5000000000000006E-2</v>
      </c>
      <c r="AH15" s="81">
        <v>8.3000000000000004E-2</v>
      </c>
      <c r="AI15" s="81">
        <v>7.9000000000000001E-2</v>
      </c>
      <c r="AJ15" s="81">
        <v>7.5999999999999998E-2</v>
      </c>
      <c r="AK15" s="297">
        <v>7.5999999999999998E-2</v>
      </c>
      <c r="AL15" s="81">
        <v>7.1999999999999995E-2</v>
      </c>
      <c r="AM15" s="81">
        <v>7.0000000000000007E-2</v>
      </c>
      <c r="AN15" s="81">
        <v>6.8000000000000005E-2</v>
      </c>
      <c r="AO15" s="81">
        <v>6.4000000000000001E-2</v>
      </c>
      <c r="AP15" s="297">
        <f>AO15:AO16</f>
        <v>6.4000000000000001E-2</v>
      </c>
      <c r="AQ15" s="81">
        <v>6.6000000000000003E-2</v>
      </c>
      <c r="AR15" s="81">
        <v>6.4000000000000001E-2</v>
      </c>
      <c r="AS15" s="81">
        <v>6.0999999999999999E-2</v>
      </c>
      <c r="AT15" s="81">
        <v>6.5000000000000002E-2</v>
      </c>
      <c r="AU15" s="297">
        <f>AT15</f>
        <v>6.5000000000000002E-2</v>
      </c>
      <c r="AV15" s="81">
        <v>6.7000000000000004E-2</v>
      </c>
      <c r="AW15" s="81">
        <v>7.00890484236706E-2</v>
      </c>
      <c r="AX15" s="81">
        <v>7.0999999999999994E-2</v>
      </c>
      <c r="AY15" s="81"/>
      <c r="AZ15" s="297">
        <f t="shared" ref="AZ15:AZ16" si="16">AX15</f>
        <v>7.0999999999999994E-2</v>
      </c>
      <c r="BA15" s="267"/>
    </row>
    <row r="16" spans="1:53" ht="20.149999999999999" customHeight="1" thickBot="1">
      <c r="A16" s="277" t="s">
        <v>708</v>
      </c>
      <c r="B16" s="277" t="s">
        <v>709</v>
      </c>
      <c r="C16" s="324">
        <f t="shared" ref="C16:N16" si="17">C7/C12</f>
        <v>1.8357205163713926</v>
      </c>
      <c r="D16" s="325">
        <f t="shared" si="17"/>
        <v>1.838453952262399</v>
      </c>
      <c r="E16" s="325">
        <f t="shared" si="17"/>
        <v>1.8475973638091163</v>
      </c>
      <c r="F16" s="325">
        <f t="shared" si="17"/>
        <v>1.858753959619053</v>
      </c>
      <c r="G16" s="298">
        <f t="shared" si="17"/>
        <v>1.858753959619053</v>
      </c>
      <c r="H16" s="324">
        <f t="shared" si="17"/>
        <v>1.8675770034475931</v>
      </c>
      <c r="I16" s="325">
        <f t="shared" si="17"/>
        <v>1.8819055770391591</v>
      </c>
      <c r="J16" s="325">
        <f t="shared" si="17"/>
        <v>1.8945540184106324</v>
      </c>
      <c r="K16" s="325">
        <f t="shared" si="17"/>
        <v>1.9051301772456453</v>
      </c>
      <c r="L16" s="298">
        <f t="shared" si="17"/>
        <v>1.9051301772456453</v>
      </c>
      <c r="M16" s="324">
        <f t="shared" si="17"/>
        <v>1.9139634115369908</v>
      </c>
      <c r="N16" s="325">
        <f t="shared" si="17"/>
        <v>1.9326723152825918</v>
      </c>
      <c r="O16" s="326">
        <v>1.98</v>
      </c>
      <c r="P16" s="325">
        <v>2.0099999999999998</v>
      </c>
      <c r="Q16" s="298">
        <v>2.0099999999999998</v>
      </c>
      <c r="R16" s="324">
        <f>R7/R12</f>
        <v>2.0423530760990696</v>
      </c>
      <c r="S16" s="325">
        <v>2.0699999999999998</v>
      </c>
      <c r="T16" s="325">
        <v>2.09</v>
      </c>
      <c r="U16" s="325">
        <v>2.13</v>
      </c>
      <c r="V16" s="298">
        <v>2.13</v>
      </c>
      <c r="W16" s="324">
        <v>2.16</v>
      </c>
      <c r="X16" s="325">
        <v>2.2000000000000002</v>
      </c>
      <c r="Y16" s="325">
        <v>2.2200000000000002</v>
      </c>
      <c r="Z16" s="325">
        <v>2.25</v>
      </c>
      <c r="AA16" s="298">
        <f>Z16</f>
        <v>2.25</v>
      </c>
      <c r="AB16" s="324">
        <v>2.2799999999999998</v>
      </c>
      <c r="AC16" s="325">
        <v>2.31</v>
      </c>
      <c r="AD16" s="325">
        <v>2.34</v>
      </c>
      <c r="AE16" s="325">
        <v>2.37</v>
      </c>
      <c r="AF16" s="298">
        <v>2.37</v>
      </c>
      <c r="AG16" s="325">
        <v>2.4</v>
      </c>
      <c r="AH16" s="325">
        <v>2.4300000000000002</v>
      </c>
      <c r="AI16" s="325">
        <v>2.46</v>
      </c>
      <c r="AJ16" s="325">
        <v>2.5</v>
      </c>
      <c r="AK16" s="298">
        <v>2.5</v>
      </c>
      <c r="AL16" s="325">
        <v>2.5299999999999998</v>
      </c>
      <c r="AM16" s="325">
        <v>2.56</v>
      </c>
      <c r="AN16" s="325">
        <v>2.58</v>
      </c>
      <c r="AO16" s="325">
        <v>2.61</v>
      </c>
      <c r="AP16" s="298">
        <f>AO16</f>
        <v>2.61</v>
      </c>
      <c r="AQ16" s="325">
        <v>2.64</v>
      </c>
      <c r="AR16" s="325">
        <v>2.68</v>
      </c>
      <c r="AS16" s="325">
        <v>2.72</v>
      </c>
      <c r="AT16" s="325">
        <v>2.77</v>
      </c>
      <c r="AU16" s="298">
        <f>AT16</f>
        <v>2.77</v>
      </c>
      <c r="AV16" s="325">
        <v>2.79</v>
      </c>
      <c r="AW16" s="325">
        <v>2.8187721034085502</v>
      </c>
      <c r="AX16" s="325">
        <v>2.84</v>
      </c>
      <c r="AY16" s="325"/>
      <c r="AZ16" s="298">
        <f t="shared" si="16"/>
        <v>2.84</v>
      </c>
      <c r="BA16" s="267"/>
    </row>
    <row r="17" spans="1:53" ht="20.149999999999999" customHeight="1" thickBot="1">
      <c r="A17" s="299" t="s">
        <v>710</v>
      </c>
      <c r="B17" s="300" t="s">
        <v>711</v>
      </c>
      <c r="C17" s="327">
        <f>C18+C20+C21</f>
        <v>11497022</v>
      </c>
      <c r="D17" s="328">
        <f t="shared" ref="D17:N17" si="18">D18+D20+D21</f>
        <v>11521707</v>
      </c>
      <c r="E17" s="328">
        <f t="shared" si="18"/>
        <v>11558288</v>
      </c>
      <c r="F17" s="328">
        <f t="shared" si="18"/>
        <v>11659474</v>
      </c>
      <c r="G17" s="329">
        <f t="shared" si="18"/>
        <v>11559122.75</v>
      </c>
      <c r="H17" s="327">
        <f t="shared" si="18"/>
        <v>11772318</v>
      </c>
      <c r="I17" s="328">
        <f t="shared" si="18"/>
        <v>11846507</v>
      </c>
      <c r="J17" s="328">
        <f t="shared" si="18"/>
        <v>11884574</v>
      </c>
      <c r="K17" s="328">
        <f t="shared" si="18"/>
        <v>11924710</v>
      </c>
      <c r="L17" s="329">
        <f t="shared" si="18"/>
        <v>11857027.25</v>
      </c>
      <c r="M17" s="327">
        <f t="shared" si="18"/>
        <v>11986199</v>
      </c>
      <c r="N17" s="328">
        <f t="shared" si="18"/>
        <v>11981389</v>
      </c>
      <c r="O17" s="328">
        <f>O18+O20+O21</f>
        <v>12125363</v>
      </c>
      <c r="P17" s="328">
        <f>P18+P20+P21</f>
        <v>12272311</v>
      </c>
      <c r="Q17" s="329">
        <f>Q18+Q20+Q21</f>
        <v>12091316</v>
      </c>
      <c r="R17" s="327">
        <f t="shared" ref="R17:AJ17" si="19">R18+R20+R21</f>
        <v>12376603</v>
      </c>
      <c r="S17" s="328">
        <f t="shared" si="19"/>
        <v>12391326</v>
      </c>
      <c r="T17" s="328">
        <f t="shared" si="19"/>
        <v>12378586</v>
      </c>
      <c r="U17" s="328">
        <f t="shared" si="19"/>
        <v>12496080</v>
      </c>
      <c r="V17" s="329">
        <f t="shared" si="19"/>
        <v>12410649</v>
      </c>
      <c r="W17" s="327">
        <f t="shared" si="19"/>
        <v>12675864</v>
      </c>
      <c r="X17" s="328">
        <f t="shared" si="19"/>
        <v>12809438</v>
      </c>
      <c r="Y17" s="328">
        <f t="shared" si="19"/>
        <v>12940680</v>
      </c>
      <c r="Z17" s="328">
        <f t="shared" si="19"/>
        <v>13119033</v>
      </c>
      <c r="AA17" s="329">
        <f t="shared" si="19"/>
        <v>12886254</v>
      </c>
      <c r="AB17" s="327">
        <f t="shared" si="19"/>
        <v>13313971</v>
      </c>
      <c r="AC17" s="328">
        <f t="shared" si="19"/>
        <v>13379081</v>
      </c>
      <c r="AD17" s="328">
        <f t="shared" si="19"/>
        <v>13467835</v>
      </c>
      <c r="AE17" s="328">
        <f t="shared" si="19"/>
        <v>13596202</v>
      </c>
      <c r="AF17" s="329">
        <f t="shared" si="19"/>
        <v>13439272</v>
      </c>
      <c r="AG17" s="328">
        <f t="shared" si="19"/>
        <v>13741811</v>
      </c>
      <c r="AH17" s="328">
        <f t="shared" si="19"/>
        <v>13858205</v>
      </c>
      <c r="AI17" s="328">
        <f t="shared" si="19"/>
        <v>13995952</v>
      </c>
      <c r="AJ17" s="328">
        <f t="shared" si="19"/>
        <v>14159632</v>
      </c>
      <c r="AK17" s="329">
        <f>AK18+AK20+AK21</f>
        <v>13938900</v>
      </c>
      <c r="AL17" s="328">
        <f>AL18+AL20+AL21</f>
        <v>14283823</v>
      </c>
      <c r="AM17" s="328">
        <f t="shared" ref="AM17:AP17" si="20">AM18+AM20+AM21</f>
        <v>14381445</v>
      </c>
      <c r="AN17" s="328">
        <f t="shared" si="20"/>
        <v>14515058</v>
      </c>
      <c r="AO17" s="328">
        <f t="shared" si="20"/>
        <v>14660255</v>
      </c>
      <c r="AP17" s="332">
        <f t="shared" si="20"/>
        <v>14460145</v>
      </c>
      <c r="AQ17" s="328">
        <f>AQ18+AQ20+AQ21</f>
        <v>14774076</v>
      </c>
      <c r="AR17" s="328">
        <f t="shared" ref="AR17:AU17" si="21">AR18+AR20+AR21</f>
        <v>14867672</v>
      </c>
      <c r="AS17" s="328">
        <f t="shared" si="21"/>
        <v>15080830</v>
      </c>
      <c r="AT17" s="328">
        <f t="shared" si="21"/>
        <v>15265725</v>
      </c>
      <c r="AU17" s="332">
        <f t="shared" si="21"/>
        <v>14997076</v>
      </c>
      <c r="AV17" s="328">
        <f>AV18+AV20+AV21</f>
        <v>15350346</v>
      </c>
      <c r="AW17" s="328">
        <f t="shared" ref="AW17:AZ17" si="22">AW18+AW20+AW21</f>
        <v>15390843.999999998</v>
      </c>
      <c r="AX17" s="328">
        <f t="shared" si="22"/>
        <v>15454487</v>
      </c>
      <c r="AY17" s="328">
        <f t="shared" si="22"/>
        <v>0</v>
      </c>
      <c r="AZ17" s="332">
        <f t="shared" si="22"/>
        <v>15398559.11111111</v>
      </c>
      <c r="BA17" s="267"/>
    </row>
    <row r="18" spans="1:53" ht="20.149999999999999" customHeight="1">
      <c r="A18" s="268" t="s">
        <v>697</v>
      </c>
      <c r="B18" s="268" t="s">
        <v>698</v>
      </c>
      <c r="C18" s="266">
        <v>3858338</v>
      </c>
      <c r="D18" s="79">
        <v>3879834</v>
      </c>
      <c r="E18" s="79">
        <v>3894623</v>
      </c>
      <c r="F18" s="79">
        <v>3955082</v>
      </c>
      <c r="G18" s="309">
        <f>AVERAGE(C18:F18)</f>
        <v>3896969.25</v>
      </c>
      <c r="H18" s="266">
        <v>4018307</v>
      </c>
      <c r="I18" s="79">
        <v>4098051</v>
      </c>
      <c r="J18" s="79">
        <v>4144131</v>
      </c>
      <c r="K18" s="79">
        <v>4175145</v>
      </c>
      <c r="L18" s="309">
        <f>AVERAGE(H18:K18)</f>
        <v>4108908.5</v>
      </c>
      <c r="M18" s="266">
        <v>4227450</v>
      </c>
      <c r="N18" s="79">
        <v>4243880</v>
      </c>
      <c r="O18" s="269">
        <v>4301558</v>
      </c>
      <c r="P18" s="79">
        <v>4361890</v>
      </c>
      <c r="Q18" s="309">
        <v>4283695</v>
      </c>
      <c r="R18" s="266">
        <v>4403541</v>
      </c>
      <c r="S18" s="79">
        <v>4397999</v>
      </c>
      <c r="T18" s="79">
        <v>4376405</v>
      </c>
      <c r="U18" s="79">
        <v>4441918</v>
      </c>
      <c r="V18" s="309">
        <v>4404966</v>
      </c>
      <c r="W18" s="266">
        <v>4532806</v>
      </c>
      <c r="X18" s="79">
        <v>4595313</v>
      </c>
      <c r="Y18" s="79">
        <v>4654591</v>
      </c>
      <c r="Z18" s="79">
        <v>4712813</v>
      </c>
      <c r="AA18" s="309">
        <v>4623881</v>
      </c>
      <c r="AB18" s="266">
        <v>4781680</v>
      </c>
      <c r="AC18" s="79">
        <v>4817543</v>
      </c>
      <c r="AD18" s="79">
        <v>4856979</v>
      </c>
      <c r="AE18" s="79">
        <v>4905839</v>
      </c>
      <c r="AF18" s="309">
        <v>4840510</v>
      </c>
      <c r="AG18" s="79">
        <v>4963830</v>
      </c>
      <c r="AH18" s="79">
        <v>5013604</v>
      </c>
      <c r="AI18" s="79">
        <v>5029344</v>
      </c>
      <c r="AJ18" s="79">
        <v>5070219</v>
      </c>
      <c r="AK18" s="309">
        <v>5019249</v>
      </c>
      <c r="AL18" s="79">
        <v>5090723</v>
      </c>
      <c r="AM18" s="79">
        <v>5066146</v>
      </c>
      <c r="AN18" s="79">
        <v>5036833</v>
      </c>
      <c r="AO18" s="79">
        <v>5039351</v>
      </c>
      <c r="AP18" s="309">
        <v>5058263</v>
      </c>
      <c r="AQ18" s="79">
        <v>5018607</v>
      </c>
      <c r="AR18" s="79">
        <v>4995884</v>
      </c>
      <c r="AS18" s="79">
        <v>5007407</v>
      </c>
      <c r="AT18" s="79">
        <v>5009102</v>
      </c>
      <c r="AU18" s="309">
        <v>5007750</v>
      </c>
      <c r="AV18" s="79">
        <v>4996954</v>
      </c>
      <c r="AW18" s="79">
        <v>4973593.833333333</v>
      </c>
      <c r="AX18" s="79">
        <v>4944068</v>
      </c>
      <c r="AY18" s="79"/>
      <c r="AZ18" s="309">
        <v>4971538.5</v>
      </c>
      <c r="BA18" s="267"/>
    </row>
    <row r="19" spans="1:53" ht="20.149999999999999" customHeight="1">
      <c r="A19" s="270" t="s">
        <v>699</v>
      </c>
      <c r="B19" s="270" t="s">
        <v>699</v>
      </c>
      <c r="C19" s="271">
        <v>358652</v>
      </c>
      <c r="D19" s="88">
        <v>406943</v>
      </c>
      <c r="E19" s="88">
        <v>443743.5</v>
      </c>
      <c r="F19" s="88">
        <v>494506</v>
      </c>
      <c r="G19" s="330">
        <f>AVERAGE(C19:F19)</f>
        <v>425961.125</v>
      </c>
      <c r="H19" s="271">
        <v>535271</v>
      </c>
      <c r="I19" s="88">
        <v>600411</v>
      </c>
      <c r="J19" s="88">
        <v>658475</v>
      </c>
      <c r="K19" s="88">
        <v>697978</v>
      </c>
      <c r="L19" s="330">
        <f t="shared" ref="L19:L21" si="23">AVERAGE(H19:K19)</f>
        <v>623033.75</v>
      </c>
      <c r="M19" s="280">
        <v>736315</v>
      </c>
      <c r="N19" s="88">
        <v>759922</v>
      </c>
      <c r="O19" s="272">
        <v>787736</v>
      </c>
      <c r="P19" s="88">
        <v>822568</v>
      </c>
      <c r="Q19" s="330">
        <v>776635</v>
      </c>
      <c r="R19" s="280">
        <v>860827</v>
      </c>
      <c r="S19" s="88">
        <v>881296</v>
      </c>
      <c r="T19" s="88">
        <v>893001</v>
      </c>
      <c r="U19" s="88">
        <v>915940</v>
      </c>
      <c r="V19" s="330">
        <v>887766</v>
      </c>
      <c r="W19" s="280">
        <v>948366</v>
      </c>
      <c r="X19" s="82">
        <v>964197</v>
      </c>
      <c r="Y19" s="82">
        <v>977142</v>
      </c>
      <c r="Z19" s="88">
        <v>995820</v>
      </c>
      <c r="AA19" s="330">
        <v>971381</v>
      </c>
      <c r="AB19" s="280">
        <v>1029294</v>
      </c>
      <c r="AC19" s="79">
        <v>1051692</v>
      </c>
      <c r="AD19" s="82">
        <v>1064544</v>
      </c>
      <c r="AE19" s="82">
        <v>1082951</v>
      </c>
      <c r="AF19" s="330">
        <v>1057120</v>
      </c>
      <c r="AG19" s="82">
        <v>1108316</v>
      </c>
      <c r="AH19" s="82">
        <v>1121333</v>
      </c>
      <c r="AI19" s="82">
        <v>1134327</v>
      </c>
      <c r="AJ19" s="82">
        <v>1149795</v>
      </c>
      <c r="AK19" s="330">
        <v>1128443</v>
      </c>
      <c r="AL19" s="82">
        <v>1164591</v>
      </c>
      <c r="AM19" s="82">
        <v>1171425</v>
      </c>
      <c r="AN19" s="82">
        <v>1177222</v>
      </c>
      <c r="AO19" s="82">
        <v>1185919</v>
      </c>
      <c r="AP19" s="330">
        <v>1174789</v>
      </c>
      <c r="AQ19" s="82">
        <v>1193663</v>
      </c>
      <c r="AR19" s="82">
        <v>1193706</v>
      </c>
      <c r="AS19" s="82">
        <v>1199160</v>
      </c>
      <c r="AT19" s="82">
        <v>1203210</v>
      </c>
      <c r="AU19" s="330">
        <v>1197435</v>
      </c>
      <c r="AV19" s="82">
        <v>1207961</v>
      </c>
      <c r="AW19" s="82">
        <v>1204404.5</v>
      </c>
      <c r="AX19" s="82">
        <v>1201462</v>
      </c>
      <c r="AY19" s="82"/>
      <c r="AZ19" s="330">
        <v>1204609.1666666667</v>
      </c>
      <c r="BA19" s="267"/>
    </row>
    <row r="20" spans="1:53" ht="20.149999999999999" customHeight="1">
      <c r="A20" s="268" t="s">
        <v>591</v>
      </c>
      <c r="B20" s="268" t="s">
        <v>592</v>
      </c>
      <c r="C20" s="266">
        <v>6986951</v>
      </c>
      <c r="D20" s="79">
        <v>6977393</v>
      </c>
      <c r="E20" s="79">
        <v>6978772</v>
      </c>
      <c r="F20" s="79">
        <v>6974525</v>
      </c>
      <c r="G20" s="309">
        <f t="shared" ref="G20:G21" si="24">AVERAGE(C20:F20)</f>
        <v>6979410.25</v>
      </c>
      <c r="H20" s="266">
        <v>6965606</v>
      </c>
      <c r="I20" s="79">
        <v>6917102</v>
      </c>
      <c r="J20" s="79">
        <v>6862047</v>
      </c>
      <c r="K20" s="79">
        <v>6801845</v>
      </c>
      <c r="L20" s="309">
        <f t="shared" si="23"/>
        <v>6886650</v>
      </c>
      <c r="M20" s="281">
        <v>6749396</v>
      </c>
      <c r="N20" s="79">
        <v>6670820</v>
      </c>
      <c r="O20" s="269">
        <v>6628199</v>
      </c>
      <c r="P20" s="79">
        <v>6597742</v>
      </c>
      <c r="Q20" s="309">
        <v>6661539</v>
      </c>
      <c r="R20" s="281">
        <v>6570344</v>
      </c>
      <c r="S20" s="79">
        <v>6532488</v>
      </c>
      <c r="T20" s="79">
        <v>6508391</v>
      </c>
      <c r="U20" s="79">
        <v>6502872</v>
      </c>
      <c r="V20" s="309">
        <v>6528524</v>
      </c>
      <c r="W20" s="281">
        <v>6523316</v>
      </c>
      <c r="X20" s="83">
        <v>6546774</v>
      </c>
      <c r="Y20" s="83">
        <v>6579908</v>
      </c>
      <c r="Z20" s="79">
        <v>6667869</v>
      </c>
      <c r="AA20" s="309">
        <v>6579467</v>
      </c>
      <c r="AB20" s="281">
        <v>6769379</v>
      </c>
      <c r="AC20" s="79">
        <v>6790804</v>
      </c>
      <c r="AD20" s="83">
        <v>6836282</v>
      </c>
      <c r="AE20" s="83">
        <v>6894295</v>
      </c>
      <c r="AF20" s="309">
        <v>6822690</v>
      </c>
      <c r="AG20" s="83">
        <v>6963584</v>
      </c>
      <c r="AH20" s="83">
        <v>7036346</v>
      </c>
      <c r="AI20" s="83">
        <v>7161022</v>
      </c>
      <c r="AJ20" s="83">
        <v>7276732</v>
      </c>
      <c r="AK20" s="309">
        <v>7109421</v>
      </c>
      <c r="AL20" s="83">
        <v>7384746</v>
      </c>
      <c r="AM20" s="83">
        <v>7519107</v>
      </c>
      <c r="AN20" s="83">
        <v>7679532</v>
      </c>
      <c r="AO20" s="83">
        <v>7823962</v>
      </c>
      <c r="AP20" s="309">
        <v>7601837</v>
      </c>
      <c r="AQ20" s="83">
        <v>7964689</v>
      </c>
      <c r="AR20" s="83">
        <v>8082768</v>
      </c>
      <c r="AS20" s="83">
        <v>8283242</v>
      </c>
      <c r="AT20" s="83">
        <v>8452883</v>
      </c>
      <c r="AU20" s="309">
        <v>8195896</v>
      </c>
      <c r="AV20" s="83">
        <v>8529814</v>
      </c>
      <c r="AW20" s="83">
        <v>8598959</v>
      </c>
      <c r="AX20" s="83">
        <v>8715614</v>
      </c>
      <c r="AY20" s="82"/>
      <c r="AZ20" s="309">
        <v>8614795.666666666</v>
      </c>
      <c r="BA20" s="267"/>
    </row>
    <row r="21" spans="1:53" ht="20.149999999999999" customHeight="1" thickBot="1">
      <c r="A21" s="268" t="s">
        <v>594</v>
      </c>
      <c r="B21" s="268" t="s">
        <v>594</v>
      </c>
      <c r="C21" s="266">
        <v>651733</v>
      </c>
      <c r="D21" s="79">
        <v>664480</v>
      </c>
      <c r="E21" s="79">
        <v>684893</v>
      </c>
      <c r="F21" s="79">
        <v>729867</v>
      </c>
      <c r="G21" s="309">
        <f t="shared" si="24"/>
        <v>682743.25</v>
      </c>
      <c r="H21" s="266">
        <v>788405</v>
      </c>
      <c r="I21" s="79">
        <v>831354</v>
      </c>
      <c r="J21" s="79">
        <v>878396</v>
      </c>
      <c r="K21" s="79">
        <v>947720</v>
      </c>
      <c r="L21" s="309">
        <f t="shared" si="23"/>
        <v>861468.75</v>
      </c>
      <c r="M21" s="281">
        <v>1009353</v>
      </c>
      <c r="N21" s="79">
        <v>1066689</v>
      </c>
      <c r="O21" s="269">
        <v>1195606</v>
      </c>
      <c r="P21" s="79">
        <v>1312679</v>
      </c>
      <c r="Q21" s="309">
        <v>1146082</v>
      </c>
      <c r="R21" s="281">
        <v>1402718</v>
      </c>
      <c r="S21" s="79">
        <v>1460839</v>
      </c>
      <c r="T21" s="79">
        <v>1493790</v>
      </c>
      <c r="U21" s="79">
        <v>1551290</v>
      </c>
      <c r="V21" s="309">
        <v>1477159</v>
      </c>
      <c r="W21" s="281">
        <v>1619742</v>
      </c>
      <c r="X21" s="83">
        <v>1667351</v>
      </c>
      <c r="Y21" s="83">
        <v>1706181</v>
      </c>
      <c r="Z21" s="79">
        <v>1738351</v>
      </c>
      <c r="AA21" s="309">
        <v>1682906</v>
      </c>
      <c r="AB21" s="281">
        <v>1762912</v>
      </c>
      <c r="AC21" s="79">
        <v>1770734</v>
      </c>
      <c r="AD21" s="83">
        <v>1774574</v>
      </c>
      <c r="AE21" s="83">
        <v>1796068</v>
      </c>
      <c r="AF21" s="309">
        <v>1776072</v>
      </c>
      <c r="AG21" s="83">
        <v>1814397</v>
      </c>
      <c r="AH21" s="83">
        <v>1808255</v>
      </c>
      <c r="AI21" s="83">
        <v>1805586</v>
      </c>
      <c r="AJ21" s="83">
        <v>1812681</v>
      </c>
      <c r="AK21" s="309">
        <v>1810230</v>
      </c>
      <c r="AL21" s="83">
        <v>1808354</v>
      </c>
      <c r="AM21" s="83">
        <v>1796192</v>
      </c>
      <c r="AN21" s="83">
        <v>1798693</v>
      </c>
      <c r="AO21" s="83">
        <v>1796942</v>
      </c>
      <c r="AP21" s="309">
        <v>1800045</v>
      </c>
      <c r="AQ21" s="83">
        <v>1790780</v>
      </c>
      <c r="AR21" s="83">
        <v>1789020</v>
      </c>
      <c r="AS21" s="83">
        <v>1790181</v>
      </c>
      <c r="AT21" s="83">
        <v>1803740</v>
      </c>
      <c r="AU21" s="309">
        <v>1793430</v>
      </c>
      <c r="AV21" s="83">
        <v>1823578</v>
      </c>
      <c r="AW21" s="83">
        <v>1818291.1666666667</v>
      </c>
      <c r="AX21" s="83">
        <v>1794805</v>
      </c>
      <c r="AY21" s="83"/>
      <c r="AZ21" s="309">
        <v>1812224.9444444445</v>
      </c>
      <c r="BA21" s="267"/>
    </row>
    <row r="22" spans="1:53" ht="20.149999999999999" customHeight="1">
      <c r="A22" s="317" t="s">
        <v>712</v>
      </c>
      <c r="B22" s="318" t="s">
        <v>713</v>
      </c>
      <c r="C22" s="319">
        <v>6288609</v>
      </c>
      <c r="D22" s="320">
        <v>6272029</v>
      </c>
      <c r="E22" s="320">
        <v>6271838</v>
      </c>
      <c r="F22" s="320">
        <v>6291791</v>
      </c>
      <c r="G22" s="321">
        <f>AVERAGE(C22:F22)</f>
        <v>6281066.75</v>
      </c>
      <c r="H22" s="319">
        <v>6316275</v>
      </c>
      <c r="I22" s="320">
        <v>6317333</v>
      </c>
      <c r="J22" s="320">
        <v>6293472</v>
      </c>
      <c r="K22" s="320">
        <v>6279979</v>
      </c>
      <c r="L22" s="321">
        <f>AVERAGE(H22:K22)</f>
        <v>6301764.75</v>
      </c>
      <c r="M22" s="319">
        <v>6274951</v>
      </c>
      <c r="N22" s="320">
        <v>6242450</v>
      </c>
      <c r="O22" s="320">
        <v>6201335</v>
      </c>
      <c r="P22" s="320">
        <v>6159902.666666667</v>
      </c>
      <c r="Q22" s="321">
        <v>6219660</v>
      </c>
      <c r="R22" s="319">
        <v>6105250</v>
      </c>
      <c r="S22" s="320">
        <v>6031638</v>
      </c>
      <c r="T22" s="320">
        <v>5960463</v>
      </c>
      <c r="U22" s="320">
        <v>5922397</v>
      </c>
      <c r="V22" s="321">
        <v>6004937</v>
      </c>
      <c r="W22" s="319">
        <v>5902526</v>
      </c>
      <c r="X22" s="320">
        <v>5876458</v>
      </c>
      <c r="Y22" s="320">
        <v>5858477</v>
      </c>
      <c r="Z22" s="320">
        <v>5868541</v>
      </c>
      <c r="AA22" s="321">
        <v>5876500</v>
      </c>
      <c r="AB22" s="319">
        <v>5872517</v>
      </c>
      <c r="AC22" s="320">
        <v>5828405</v>
      </c>
      <c r="AD22" s="320">
        <v>5803517</v>
      </c>
      <c r="AE22" s="320">
        <v>5781207</v>
      </c>
      <c r="AF22" s="321">
        <v>5821411</v>
      </c>
      <c r="AG22" s="320">
        <v>5760338</v>
      </c>
      <c r="AH22" s="320">
        <v>5732091</v>
      </c>
      <c r="AI22" s="320">
        <v>5717882</v>
      </c>
      <c r="AJ22" s="320">
        <v>5708353</v>
      </c>
      <c r="AK22" s="321">
        <v>5729666</v>
      </c>
      <c r="AL22" s="320">
        <v>5688071</v>
      </c>
      <c r="AM22" s="320">
        <v>5662168</v>
      </c>
      <c r="AN22" s="320">
        <v>5649225</v>
      </c>
      <c r="AO22" s="320">
        <v>5641301</v>
      </c>
      <c r="AP22" s="321">
        <v>5660191</v>
      </c>
      <c r="AQ22" s="320">
        <v>5625993</v>
      </c>
      <c r="AR22" s="320">
        <v>5591571</v>
      </c>
      <c r="AS22" s="320">
        <v>5579661</v>
      </c>
      <c r="AT22" s="320">
        <v>5558348</v>
      </c>
      <c r="AU22" s="321">
        <v>5588893</v>
      </c>
      <c r="AV22" s="320">
        <v>5526063</v>
      </c>
      <c r="AW22" s="320">
        <v>5487976.333333333</v>
      </c>
      <c r="AX22" s="320">
        <v>5461033</v>
      </c>
      <c r="AY22" s="320"/>
      <c r="AZ22" s="321">
        <v>5491690.888888889</v>
      </c>
      <c r="BA22" s="267"/>
    </row>
    <row r="23" spans="1:53" s="289" customFormat="1" ht="20.149999999999999" customHeight="1" thickBot="1">
      <c r="A23" s="322" t="s">
        <v>606</v>
      </c>
      <c r="B23" s="322" t="s">
        <v>607</v>
      </c>
      <c r="C23" s="311"/>
      <c r="D23" s="312"/>
      <c r="E23" s="312"/>
      <c r="F23" s="312"/>
      <c r="G23" s="323"/>
      <c r="H23" s="311"/>
      <c r="I23" s="312"/>
      <c r="J23" s="312"/>
      <c r="K23" s="312"/>
      <c r="L23" s="323"/>
      <c r="M23" s="315"/>
      <c r="N23" s="312"/>
      <c r="O23" s="312"/>
      <c r="P23" s="312"/>
      <c r="Q23" s="323"/>
      <c r="R23" s="315"/>
      <c r="S23" s="312"/>
      <c r="T23" s="312"/>
      <c r="U23" s="312"/>
      <c r="V23" s="323"/>
      <c r="W23" s="315"/>
      <c r="X23" s="316"/>
      <c r="Y23" s="316"/>
      <c r="Z23" s="312"/>
      <c r="AA23" s="323"/>
      <c r="AB23" s="315"/>
      <c r="AC23" s="316"/>
      <c r="AD23" s="316"/>
      <c r="AE23" s="312"/>
      <c r="AF23" s="323"/>
      <c r="AG23" s="316"/>
      <c r="AH23" s="316"/>
      <c r="AI23" s="316"/>
      <c r="AJ23" s="316"/>
      <c r="AK23" s="323"/>
      <c r="AL23" s="316"/>
      <c r="AM23" s="316"/>
      <c r="AN23" s="316"/>
      <c r="AO23" s="316"/>
      <c r="AP23" s="323"/>
      <c r="AQ23" s="316"/>
      <c r="AR23" s="316"/>
      <c r="AS23" s="316"/>
      <c r="AT23" s="316"/>
      <c r="AU23" s="323"/>
      <c r="AV23" s="316"/>
      <c r="AW23" s="316"/>
      <c r="AX23" s="316"/>
      <c r="AY23" s="316"/>
      <c r="AZ23" s="323"/>
    </row>
    <row r="24" spans="1:53" s="267" customFormat="1" ht="20.149999999999999" customHeight="1" thickBot="1">
      <c r="A24" s="336" t="s">
        <v>695</v>
      </c>
      <c r="B24" s="337" t="s">
        <v>714</v>
      </c>
      <c r="C24" s="301" t="s">
        <v>692</v>
      </c>
      <c r="D24" s="302" t="s">
        <v>692</v>
      </c>
      <c r="E24" s="302" t="s">
        <v>692</v>
      </c>
      <c r="F24" s="302" t="s">
        <v>692</v>
      </c>
      <c r="G24" s="310" t="s">
        <v>692</v>
      </c>
      <c r="H24" s="301">
        <f>SUM(H25:H27)</f>
        <v>4548385</v>
      </c>
      <c r="I24" s="302">
        <f t="shared" ref="I24:N24" si="25">SUM(I25:I27)</f>
        <v>4565319</v>
      </c>
      <c r="J24" s="302">
        <f t="shared" si="25"/>
        <v>4719129</v>
      </c>
      <c r="K24" s="302">
        <f t="shared" si="25"/>
        <v>4468527</v>
      </c>
      <c r="L24" s="310">
        <f t="shared" si="25"/>
        <v>4468527</v>
      </c>
      <c r="M24" s="301">
        <f t="shared" si="25"/>
        <v>4350325</v>
      </c>
      <c r="N24" s="302">
        <f t="shared" si="25"/>
        <v>4227128</v>
      </c>
      <c r="O24" s="302">
        <f>SUM(O25:O27)</f>
        <v>4219194</v>
      </c>
      <c r="P24" s="302">
        <f>SUM(P25:P27)</f>
        <v>4134203</v>
      </c>
      <c r="Q24" s="310">
        <f>SUM(Q25:Q27)</f>
        <v>4134203</v>
      </c>
      <c r="R24" s="301">
        <f t="shared" ref="R24:AK24" si="26">SUM(R25:R27)</f>
        <v>4034757</v>
      </c>
      <c r="S24" s="302">
        <f t="shared" si="26"/>
        <v>3972069</v>
      </c>
      <c r="T24" s="302">
        <f t="shared" si="26"/>
        <v>3976807</v>
      </c>
      <c r="U24" s="302">
        <f t="shared" si="26"/>
        <v>3854993</v>
      </c>
      <c r="V24" s="310">
        <f t="shared" si="26"/>
        <v>3854993</v>
      </c>
      <c r="W24" s="301">
        <f t="shared" si="26"/>
        <v>3787667</v>
      </c>
      <c r="X24" s="302">
        <f t="shared" si="26"/>
        <v>3830816</v>
      </c>
      <c r="Y24" s="302">
        <f t="shared" si="26"/>
        <v>3527904</v>
      </c>
      <c r="Z24" s="302">
        <f t="shared" si="26"/>
        <v>3270338</v>
      </c>
      <c r="AA24" s="310">
        <f t="shared" si="26"/>
        <v>3270338</v>
      </c>
      <c r="AB24" s="301">
        <f t="shared" si="26"/>
        <v>2879090</v>
      </c>
      <c r="AC24" s="302">
        <f t="shared" si="26"/>
        <v>2854301</v>
      </c>
      <c r="AD24" s="302">
        <f t="shared" si="26"/>
        <v>2880161</v>
      </c>
      <c r="AE24" s="302">
        <f t="shared" si="26"/>
        <v>2837553</v>
      </c>
      <c r="AF24" s="310">
        <f t="shared" si="26"/>
        <v>2837553</v>
      </c>
      <c r="AG24" s="302">
        <f t="shared" si="26"/>
        <v>2783184</v>
      </c>
      <c r="AH24" s="302">
        <f t="shared" si="26"/>
        <v>2768818</v>
      </c>
      <c r="AI24" s="302">
        <f>SUM(AI25:AI27)</f>
        <v>2794108</v>
      </c>
      <c r="AJ24" s="302">
        <f t="shared" si="26"/>
        <v>2646869</v>
      </c>
      <c r="AK24" s="310">
        <f t="shared" si="26"/>
        <v>2646869</v>
      </c>
      <c r="AL24" s="302">
        <f>SUM(AL25:AL27)</f>
        <v>2642775</v>
      </c>
      <c r="AM24" s="302">
        <f t="shared" ref="AM24:AP24" si="27">SUM(AM25:AM27)</f>
        <v>2607311</v>
      </c>
      <c r="AN24" s="302">
        <f t="shared" si="27"/>
        <v>2678890</v>
      </c>
      <c r="AO24" s="302">
        <f t="shared" si="27"/>
        <v>2657494</v>
      </c>
      <c r="AP24" s="310">
        <f t="shared" si="27"/>
        <v>2657494</v>
      </c>
      <c r="AQ24" s="302">
        <f>SUM(AQ25:AQ27)</f>
        <v>2638638</v>
      </c>
      <c r="AR24" s="302">
        <f>SUM(AR25:AR27)</f>
        <v>2525224</v>
      </c>
      <c r="AS24" s="302">
        <f t="shared" ref="AS24:AU24" si="28">SUM(AS25:AS27)</f>
        <v>2671239</v>
      </c>
      <c r="AT24" s="302">
        <f t="shared" si="28"/>
        <v>2617813</v>
      </c>
      <c r="AU24" s="310">
        <f t="shared" si="28"/>
        <v>2617813</v>
      </c>
      <c r="AV24" s="302">
        <f>SUM(AV25:AV27)</f>
        <v>2736095</v>
      </c>
      <c r="AW24" s="302">
        <f>SUM(AW25:AW27)</f>
        <v>2595890</v>
      </c>
      <c r="AX24" s="302">
        <f t="shared" ref="AX24:AY24" si="29">SUM(AX25:AX27)</f>
        <v>2630714</v>
      </c>
      <c r="AY24" s="302">
        <f t="shared" si="29"/>
        <v>0</v>
      </c>
      <c r="AZ24" s="310">
        <f>SUM(AZ25:AZ27)</f>
        <v>2630714</v>
      </c>
    </row>
    <row r="25" spans="1:53" s="267" customFormat="1" ht="20.149999999999999" customHeight="1">
      <c r="A25" s="333" t="s">
        <v>610</v>
      </c>
      <c r="B25" s="333" t="s">
        <v>611</v>
      </c>
      <c r="C25" s="266" t="s">
        <v>692</v>
      </c>
      <c r="D25" s="79" t="s">
        <v>692</v>
      </c>
      <c r="E25" s="79" t="s">
        <v>692</v>
      </c>
      <c r="F25" s="79" t="s">
        <v>692</v>
      </c>
      <c r="G25" s="309" t="s">
        <v>692</v>
      </c>
      <c r="H25" s="266">
        <v>85574</v>
      </c>
      <c r="I25" s="79">
        <v>81441</v>
      </c>
      <c r="J25" s="79">
        <v>84538</v>
      </c>
      <c r="K25" s="79">
        <v>77771</v>
      </c>
      <c r="L25" s="309">
        <f>K25</f>
        <v>77771</v>
      </c>
      <c r="M25" s="266">
        <v>81619</v>
      </c>
      <c r="N25" s="79">
        <v>66578</v>
      </c>
      <c r="O25" s="269">
        <v>98136</v>
      </c>
      <c r="P25" s="79">
        <v>122787</v>
      </c>
      <c r="Q25" s="309">
        <v>122787</v>
      </c>
      <c r="R25" s="266">
        <v>66163</v>
      </c>
      <c r="S25" s="79">
        <v>41517</v>
      </c>
      <c r="T25" s="79">
        <v>60471</v>
      </c>
      <c r="U25" s="79">
        <v>31972</v>
      </c>
      <c r="V25" s="309">
        <f>U25</f>
        <v>31972</v>
      </c>
      <c r="W25" s="266">
        <v>35754</v>
      </c>
      <c r="X25" s="79">
        <v>73544</v>
      </c>
      <c r="Y25" s="79">
        <v>44913</v>
      </c>
      <c r="Z25" s="79">
        <v>79306</v>
      </c>
      <c r="AA25" s="309">
        <f>Z25</f>
        <v>79306</v>
      </c>
      <c r="AB25" s="266">
        <v>48224</v>
      </c>
      <c r="AC25" s="79">
        <v>57183</v>
      </c>
      <c r="AD25" s="79">
        <v>63627</v>
      </c>
      <c r="AE25" s="79">
        <v>79561</v>
      </c>
      <c r="AF25" s="309">
        <f>AE25</f>
        <v>79561</v>
      </c>
      <c r="AG25" s="79">
        <v>75159</v>
      </c>
      <c r="AH25" s="79">
        <v>59722</v>
      </c>
      <c r="AI25" s="79">
        <v>91261</v>
      </c>
      <c r="AJ25" s="79">
        <v>95685</v>
      </c>
      <c r="AK25" s="309">
        <v>95685</v>
      </c>
      <c r="AL25" s="79">
        <v>144586</v>
      </c>
      <c r="AM25" s="79">
        <v>87176</v>
      </c>
      <c r="AN25" s="79">
        <v>142886</v>
      </c>
      <c r="AO25" s="79">
        <v>161208</v>
      </c>
      <c r="AP25" s="309">
        <v>161208</v>
      </c>
      <c r="AQ25" s="79">
        <v>171958</v>
      </c>
      <c r="AR25" s="79">
        <v>93292</v>
      </c>
      <c r="AS25" s="79">
        <v>158060</v>
      </c>
      <c r="AT25" s="79">
        <v>114416</v>
      </c>
      <c r="AU25" s="309">
        <f>AT25</f>
        <v>114416</v>
      </c>
      <c r="AV25" s="79">
        <v>224608</v>
      </c>
      <c r="AW25" s="79">
        <v>135476</v>
      </c>
      <c r="AX25" s="79">
        <v>144885</v>
      </c>
      <c r="AY25" s="79"/>
      <c r="AZ25" s="309">
        <f t="shared" ref="AZ25:AZ27" si="30">AX25</f>
        <v>144885</v>
      </c>
    </row>
    <row r="26" spans="1:53" s="267" customFormat="1" ht="20.149999999999999" customHeight="1">
      <c r="A26" s="333" t="s">
        <v>591</v>
      </c>
      <c r="B26" s="333" t="s">
        <v>612</v>
      </c>
      <c r="C26" s="266" t="s">
        <v>692</v>
      </c>
      <c r="D26" s="79" t="s">
        <v>692</v>
      </c>
      <c r="E26" s="79" t="s">
        <v>692</v>
      </c>
      <c r="F26" s="79" t="s">
        <v>692</v>
      </c>
      <c r="G26" s="309" t="s">
        <v>692</v>
      </c>
      <c r="H26" s="266">
        <v>4385742</v>
      </c>
      <c r="I26" s="79">
        <v>4379630</v>
      </c>
      <c r="J26" s="79">
        <v>4475541</v>
      </c>
      <c r="K26" s="79">
        <v>4171810</v>
      </c>
      <c r="L26" s="309">
        <f>K26</f>
        <v>4171810</v>
      </c>
      <c r="M26" s="266">
        <v>4042605</v>
      </c>
      <c r="N26" s="79">
        <v>3923778</v>
      </c>
      <c r="O26" s="269">
        <v>3855669</v>
      </c>
      <c r="P26" s="79">
        <v>3792978</v>
      </c>
      <c r="Q26" s="309">
        <v>3792978</v>
      </c>
      <c r="R26" s="266">
        <v>3775976</v>
      </c>
      <c r="S26" s="79">
        <v>3737282</v>
      </c>
      <c r="T26" s="79">
        <v>3685092</v>
      </c>
      <c r="U26" s="79">
        <v>3591736</v>
      </c>
      <c r="V26" s="309">
        <f t="shared" ref="V26:V27" si="31">U26</f>
        <v>3591736</v>
      </c>
      <c r="W26" s="266">
        <v>3495733</v>
      </c>
      <c r="X26" s="79">
        <v>3473228</v>
      </c>
      <c r="Y26" s="79">
        <v>3223224</v>
      </c>
      <c r="Z26" s="79">
        <v>2972443</v>
      </c>
      <c r="AA26" s="309">
        <f t="shared" ref="AA26:AA27" si="32">Z26</f>
        <v>2972443</v>
      </c>
      <c r="AB26" s="266">
        <v>2646477</v>
      </c>
      <c r="AC26" s="79">
        <v>2616592</v>
      </c>
      <c r="AD26" s="79">
        <v>2623950</v>
      </c>
      <c r="AE26" s="79">
        <v>2579613</v>
      </c>
      <c r="AF26" s="309">
        <f t="shared" ref="AF26:AF27" si="33">AE26</f>
        <v>2579613</v>
      </c>
      <c r="AG26" s="79">
        <v>2539402</v>
      </c>
      <c r="AH26" s="79">
        <v>2545749</v>
      </c>
      <c r="AI26" s="79">
        <v>2550355</v>
      </c>
      <c r="AJ26" s="79">
        <v>2423774</v>
      </c>
      <c r="AK26" s="309">
        <v>2423774</v>
      </c>
      <c r="AL26" s="79">
        <v>2387672</v>
      </c>
      <c r="AM26" s="79">
        <v>2418370</v>
      </c>
      <c r="AN26" s="79">
        <v>2443295</v>
      </c>
      <c r="AO26" s="79">
        <v>2415819</v>
      </c>
      <c r="AP26" s="309">
        <v>2415819</v>
      </c>
      <c r="AQ26" s="79">
        <v>2393373</v>
      </c>
      <c r="AR26" s="79">
        <v>2364248</v>
      </c>
      <c r="AS26" s="79">
        <v>2449237</v>
      </c>
      <c r="AT26" s="79">
        <v>2445873</v>
      </c>
      <c r="AU26" s="309">
        <f>AT26</f>
        <v>2445873</v>
      </c>
      <c r="AV26" s="79">
        <v>2458165</v>
      </c>
      <c r="AW26" s="79">
        <v>2413672</v>
      </c>
      <c r="AX26" s="79">
        <v>2441939</v>
      </c>
      <c r="AY26" s="79"/>
      <c r="AZ26" s="309">
        <f t="shared" si="30"/>
        <v>2441939</v>
      </c>
    </row>
    <row r="27" spans="1:53" s="267" customFormat="1" ht="20.149999999999999" customHeight="1" thickBot="1">
      <c r="A27" s="333" t="s">
        <v>593</v>
      </c>
      <c r="B27" s="333" t="s">
        <v>593</v>
      </c>
      <c r="C27" s="266" t="s">
        <v>692</v>
      </c>
      <c r="D27" s="79" t="s">
        <v>692</v>
      </c>
      <c r="E27" s="79" t="s">
        <v>692</v>
      </c>
      <c r="F27" s="79" t="s">
        <v>692</v>
      </c>
      <c r="G27" s="309" t="s">
        <v>692</v>
      </c>
      <c r="H27" s="266">
        <v>77069</v>
      </c>
      <c r="I27" s="79">
        <v>104248</v>
      </c>
      <c r="J27" s="79">
        <v>159050</v>
      </c>
      <c r="K27" s="79">
        <v>218946</v>
      </c>
      <c r="L27" s="309">
        <f>K27</f>
        <v>218946</v>
      </c>
      <c r="M27" s="266">
        <v>226101</v>
      </c>
      <c r="N27" s="79">
        <v>236772</v>
      </c>
      <c r="O27" s="269">
        <v>265389</v>
      </c>
      <c r="P27" s="79">
        <v>218438</v>
      </c>
      <c r="Q27" s="309">
        <v>218438</v>
      </c>
      <c r="R27" s="266">
        <v>192618</v>
      </c>
      <c r="S27" s="79">
        <v>193270</v>
      </c>
      <c r="T27" s="79">
        <v>231244</v>
      </c>
      <c r="U27" s="79">
        <v>231285</v>
      </c>
      <c r="V27" s="309">
        <f t="shared" si="31"/>
        <v>231285</v>
      </c>
      <c r="W27" s="266">
        <v>256180</v>
      </c>
      <c r="X27" s="79">
        <v>284044</v>
      </c>
      <c r="Y27" s="79">
        <v>259767</v>
      </c>
      <c r="Z27" s="79">
        <v>218589</v>
      </c>
      <c r="AA27" s="309">
        <f t="shared" si="32"/>
        <v>218589</v>
      </c>
      <c r="AB27" s="266">
        <v>184389</v>
      </c>
      <c r="AC27" s="79">
        <v>180526</v>
      </c>
      <c r="AD27" s="79">
        <v>192584</v>
      </c>
      <c r="AE27" s="79">
        <v>178379</v>
      </c>
      <c r="AF27" s="309">
        <f t="shared" si="33"/>
        <v>178379</v>
      </c>
      <c r="AG27" s="79">
        <v>168623</v>
      </c>
      <c r="AH27" s="79">
        <v>163347</v>
      </c>
      <c r="AI27" s="79">
        <v>152492</v>
      </c>
      <c r="AJ27" s="79">
        <v>127410</v>
      </c>
      <c r="AK27" s="309">
        <v>127410</v>
      </c>
      <c r="AL27" s="79">
        <v>110517</v>
      </c>
      <c r="AM27" s="79">
        <v>101765</v>
      </c>
      <c r="AN27" s="79">
        <v>92709</v>
      </c>
      <c r="AO27" s="79">
        <v>80467</v>
      </c>
      <c r="AP27" s="309">
        <v>80467</v>
      </c>
      <c r="AQ27" s="79">
        <v>73307</v>
      </c>
      <c r="AR27" s="79">
        <v>67684</v>
      </c>
      <c r="AS27" s="79">
        <v>63942</v>
      </c>
      <c r="AT27" s="79">
        <v>57524</v>
      </c>
      <c r="AU27" s="309">
        <f>AT27</f>
        <v>57524</v>
      </c>
      <c r="AV27" s="79">
        <v>53322</v>
      </c>
      <c r="AW27" s="79">
        <v>46742</v>
      </c>
      <c r="AX27" s="79">
        <v>43890</v>
      </c>
      <c r="AY27" s="79"/>
      <c r="AZ27" s="309">
        <f t="shared" si="30"/>
        <v>43890</v>
      </c>
    </row>
    <row r="28" spans="1:53" s="308" customFormat="1" ht="20.149999999999999" customHeight="1" thickBot="1">
      <c r="A28" s="306" t="s">
        <v>715</v>
      </c>
      <c r="B28" s="307" t="s">
        <v>716</v>
      </c>
      <c r="C28" s="304" t="s">
        <v>692</v>
      </c>
      <c r="D28" s="305" t="s">
        <v>692</v>
      </c>
      <c r="E28" s="305" t="s">
        <v>692</v>
      </c>
      <c r="F28" s="305" t="s">
        <v>692</v>
      </c>
      <c r="G28" s="303" t="s">
        <v>692</v>
      </c>
      <c r="H28" s="304">
        <v>18</v>
      </c>
      <c r="I28" s="305">
        <v>19.2</v>
      </c>
      <c r="J28" s="305">
        <v>18.2</v>
      </c>
      <c r="K28" s="305">
        <v>17.5</v>
      </c>
      <c r="L28" s="303">
        <v>18.2</v>
      </c>
      <c r="M28" s="304">
        <v>16.5</v>
      </c>
      <c r="N28" s="305">
        <v>17.899999999999999</v>
      </c>
      <c r="O28" s="305">
        <v>18.3</v>
      </c>
      <c r="P28" s="305">
        <v>18.2</v>
      </c>
      <c r="Q28" s="303">
        <v>17.7</v>
      </c>
      <c r="R28" s="304">
        <v>17.3</v>
      </c>
      <c r="S28" s="305">
        <v>18.3</v>
      </c>
      <c r="T28" s="305">
        <v>19</v>
      </c>
      <c r="U28" s="305">
        <v>18.5</v>
      </c>
      <c r="V28" s="303">
        <v>18.3</v>
      </c>
      <c r="W28" s="304">
        <v>17.7</v>
      </c>
      <c r="X28" s="305">
        <v>18.899999999999999</v>
      </c>
      <c r="Y28" s="305">
        <v>18.7</v>
      </c>
      <c r="Z28" s="305">
        <v>19.2</v>
      </c>
      <c r="AA28" s="303">
        <v>18.600000000000001</v>
      </c>
      <c r="AB28" s="304">
        <v>18.7</v>
      </c>
      <c r="AC28" s="305">
        <v>20.5</v>
      </c>
      <c r="AD28" s="305">
        <v>20.2</v>
      </c>
      <c r="AE28" s="305">
        <v>20.100000000000001</v>
      </c>
      <c r="AF28" s="303">
        <v>19.899999999999999</v>
      </c>
      <c r="AG28" s="305">
        <v>20.100000000000001</v>
      </c>
      <c r="AH28" s="305">
        <v>20.399999999999999</v>
      </c>
      <c r="AI28" s="305">
        <v>20.8</v>
      </c>
      <c r="AJ28" s="305">
        <v>20.3</v>
      </c>
      <c r="AK28" s="303">
        <v>20.399999999999999</v>
      </c>
      <c r="AL28" s="305">
        <v>20.100000000000001</v>
      </c>
      <c r="AM28" s="305">
        <v>20.8</v>
      </c>
      <c r="AN28" s="305">
        <v>20.8</v>
      </c>
      <c r="AO28" s="305">
        <v>20.3</v>
      </c>
      <c r="AP28" s="303">
        <v>20.5</v>
      </c>
      <c r="AQ28" s="305">
        <v>20.7</v>
      </c>
      <c r="AR28" s="305">
        <v>21.4</v>
      </c>
      <c r="AS28" s="305">
        <v>21.5</v>
      </c>
      <c r="AT28" s="305">
        <v>21.8</v>
      </c>
      <c r="AU28" s="303">
        <v>21.4</v>
      </c>
      <c r="AV28" s="305">
        <v>21.5</v>
      </c>
      <c r="AW28" s="305">
        <v>21.967114718613772</v>
      </c>
      <c r="AX28" s="305">
        <v>21.4</v>
      </c>
      <c r="AY28" s="305"/>
      <c r="AZ28" s="303">
        <v>21.61653706970829</v>
      </c>
    </row>
    <row r="29" spans="1:53" s="267" customFormat="1" ht="20.149999999999999" customHeight="1" thickBot="1">
      <c r="A29" s="336" t="s">
        <v>710</v>
      </c>
      <c r="B29" s="337" t="s">
        <v>717</v>
      </c>
      <c r="C29" s="301" t="s">
        <v>692</v>
      </c>
      <c r="D29" s="302" t="s">
        <v>692</v>
      </c>
      <c r="E29" s="302" t="s">
        <v>692</v>
      </c>
      <c r="F29" s="302" t="s">
        <v>692</v>
      </c>
      <c r="G29" s="310" t="s">
        <v>692</v>
      </c>
      <c r="H29" s="301">
        <f>SUM(H30:H32)</f>
        <v>4549031</v>
      </c>
      <c r="I29" s="302">
        <f t="shared" ref="I29:N29" si="34">SUM(I30:I32)</f>
        <v>4532090</v>
      </c>
      <c r="J29" s="302">
        <f t="shared" si="34"/>
        <v>4635182</v>
      </c>
      <c r="K29" s="302">
        <f t="shared" si="34"/>
        <v>4599374</v>
      </c>
      <c r="L29" s="310">
        <f t="shared" si="34"/>
        <v>4578919.25</v>
      </c>
      <c r="M29" s="301">
        <f t="shared" si="34"/>
        <v>4398038</v>
      </c>
      <c r="N29" s="302">
        <f t="shared" si="34"/>
        <v>4285747</v>
      </c>
      <c r="O29" s="302">
        <f>SUM(O30:O32)</f>
        <v>4212274</v>
      </c>
      <c r="P29" s="302">
        <f>SUM(P30:P32)</f>
        <v>4172129</v>
      </c>
      <c r="Q29" s="310">
        <f>SUM(Q30:Q32)</f>
        <v>4267047</v>
      </c>
      <c r="R29" s="301">
        <f t="shared" ref="R29:AU29" si="35">SUM(R30:R32)</f>
        <v>4068646</v>
      </c>
      <c r="S29" s="302">
        <f t="shared" si="35"/>
        <v>4006108</v>
      </c>
      <c r="T29" s="302">
        <f t="shared" si="35"/>
        <v>3970091</v>
      </c>
      <c r="U29" s="302">
        <f t="shared" si="35"/>
        <v>3917979</v>
      </c>
      <c r="V29" s="310">
        <f t="shared" si="35"/>
        <v>3990706</v>
      </c>
      <c r="W29" s="301">
        <f t="shared" si="35"/>
        <v>3801870</v>
      </c>
      <c r="X29" s="302">
        <f t="shared" si="35"/>
        <v>3794613</v>
      </c>
      <c r="Y29" s="302">
        <f t="shared" si="35"/>
        <v>3713417</v>
      </c>
      <c r="Z29" s="302">
        <f t="shared" si="35"/>
        <v>3341220</v>
      </c>
      <c r="AA29" s="310">
        <f t="shared" si="35"/>
        <v>3662780</v>
      </c>
      <c r="AB29" s="301">
        <f t="shared" si="35"/>
        <v>3050604</v>
      </c>
      <c r="AC29" s="302">
        <f t="shared" si="35"/>
        <v>2882155</v>
      </c>
      <c r="AD29" s="302">
        <f t="shared" si="35"/>
        <v>2863783</v>
      </c>
      <c r="AE29" s="302">
        <f t="shared" si="35"/>
        <v>2851766</v>
      </c>
      <c r="AF29" s="310">
        <f t="shared" si="35"/>
        <v>2912076</v>
      </c>
      <c r="AG29" s="302">
        <f t="shared" si="35"/>
        <v>2789695</v>
      </c>
      <c r="AH29" s="302">
        <f t="shared" si="35"/>
        <v>2771707.333333333</v>
      </c>
      <c r="AI29" s="302">
        <f t="shared" si="35"/>
        <v>2774199</v>
      </c>
      <c r="AJ29" s="302">
        <f t="shared" si="35"/>
        <v>2745638</v>
      </c>
      <c r="AK29" s="310">
        <f t="shared" si="35"/>
        <v>2770309</v>
      </c>
      <c r="AL29" s="302">
        <f t="shared" si="35"/>
        <v>2613613</v>
      </c>
      <c r="AM29" s="302">
        <f t="shared" si="35"/>
        <v>2616887</v>
      </c>
      <c r="AN29" s="302">
        <f t="shared" si="35"/>
        <v>2633673</v>
      </c>
      <c r="AO29" s="302">
        <f t="shared" si="35"/>
        <v>2656703</v>
      </c>
      <c r="AP29" s="310">
        <f t="shared" si="35"/>
        <v>2630219</v>
      </c>
      <c r="AQ29" s="302">
        <f t="shared" si="35"/>
        <v>2604742</v>
      </c>
      <c r="AR29" s="302">
        <f t="shared" si="35"/>
        <v>2591758</v>
      </c>
      <c r="AS29" s="302">
        <f t="shared" si="35"/>
        <v>2612383</v>
      </c>
      <c r="AT29" s="302">
        <f t="shared" si="35"/>
        <v>2687327</v>
      </c>
      <c r="AU29" s="310">
        <f t="shared" si="35"/>
        <v>2624052.4583333335</v>
      </c>
      <c r="AV29" s="302">
        <f t="shared" ref="AV29:AZ29" si="36">SUM(AV30:AV32)</f>
        <v>2638165</v>
      </c>
      <c r="AW29" s="302">
        <f t="shared" si="36"/>
        <v>2651956.8333333335</v>
      </c>
      <c r="AX29" s="302">
        <f t="shared" si="36"/>
        <v>2596767</v>
      </c>
      <c r="AY29" s="302">
        <f t="shared" si="36"/>
        <v>0</v>
      </c>
      <c r="AZ29" s="310">
        <f t="shared" si="36"/>
        <v>2628962.7222222225</v>
      </c>
    </row>
    <row r="30" spans="1:53" s="267" customFormat="1" ht="20.149999999999999" customHeight="1">
      <c r="A30" s="333" t="s">
        <v>610</v>
      </c>
      <c r="B30" s="333" t="s">
        <v>611</v>
      </c>
      <c r="C30" s="266" t="s">
        <v>692</v>
      </c>
      <c r="D30" s="79" t="s">
        <v>692</v>
      </c>
      <c r="E30" s="79" t="s">
        <v>692</v>
      </c>
      <c r="F30" s="79" t="s">
        <v>692</v>
      </c>
      <c r="G30" s="309" t="s">
        <v>692</v>
      </c>
      <c r="H30" s="266">
        <v>78707</v>
      </c>
      <c r="I30" s="79">
        <v>73828</v>
      </c>
      <c r="J30" s="79">
        <v>68740</v>
      </c>
      <c r="K30" s="79">
        <v>77953</v>
      </c>
      <c r="L30" s="309">
        <f>AVERAGE(H30:K30)</f>
        <v>74807</v>
      </c>
      <c r="M30" s="266">
        <v>77779</v>
      </c>
      <c r="N30" s="79">
        <v>79253</v>
      </c>
      <c r="O30" s="269">
        <v>69522</v>
      </c>
      <c r="P30" s="79">
        <v>129021</v>
      </c>
      <c r="Q30" s="309">
        <v>88894</v>
      </c>
      <c r="R30" s="266">
        <v>67972</v>
      </c>
      <c r="S30" s="79">
        <v>61165</v>
      </c>
      <c r="T30" s="79">
        <v>41313</v>
      </c>
      <c r="U30" s="79">
        <v>56743</v>
      </c>
      <c r="V30" s="309">
        <v>56798</v>
      </c>
      <c r="W30" s="266">
        <v>36255</v>
      </c>
      <c r="X30" s="79">
        <v>52114</v>
      </c>
      <c r="Y30" s="79">
        <v>42971</v>
      </c>
      <c r="Z30" s="79">
        <v>54083</v>
      </c>
      <c r="AA30" s="309">
        <v>46356</v>
      </c>
      <c r="AB30" s="266">
        <v>48659</v>
      </c>
      <c r="AC30" s="79">
        <v>69132</v>
      </c>
      <c r="AD30" s="79">
        <v>54950</v>
      </c>
      <c r="AE30" s="79">
        <v>65088</v>
      </c>
      <c r="AF30" s="309">
        <v>59457</v>
      </c>
      <c r="AG30" s="79">
        <v>58222</v>
      </c>
      <c r="AH30" s="79">
        <v>69503.166666666672</v>
      </c>
      <c r="AI30" s="79">
        <v>58358</v>
      </c>
      <c r="AJ30" s="79">
        <v>95346</v>
      </c>
      <c r="AK30" s="309">
        <v>70357</v>
      </c>
      <c r="AL30" s="79">
        <v>91940</v>
      </c>
      <c r="AM30" s="79">
        <v>113249</v>
      </c>
      <c r="AN30" s="79">
        <v>94727</v>
      </c>
      <c r="AO30" s="79">
        <v>145284</v>
      </c>
      <c r="AP30" s="309">
        <v>111300</v>
      </c>
      <c r="AQ30" s="79">
        <v>122482</v>
      </c>
      <c r="AR30" s="79">
        <v>160079</v>
      </c>
      <c r="AS30" s="79">
        <v>131105</v>
      </c>
      <c r="AT30" s="79">
        <v>176926</v>
      </c>
      <c r="AU30" s="309">
        <v>147648</v>
      </c>
      <c r="AV30" s="79">
        <v>140172</v>
      </c>
      <c r="AW30" s="79">
        <v>188256.66666666666</v>
      </c>
      <c r="AX30" s="79">
        <v>118857</v>
      </c>
      <c r="AY30" s="79"/>
      <c r="AZ30" s="309">
        <v>149094.94444444444</v>
      </c>
    </row>
    <row r="31" spans="1:53" s="267" customFormat="1" ht="20.149999999999999" customHeight="1">
      <c r="A31" s="333" t="s">
        <v>591</v>
      </c>
      <c r="B31" s="333" t="s">
        <v>612</v>
      </c>
      <c r="C31" s="266" t="s">
        <v>692</v>
      </c>
      <c r="D31" s="79" t="s">
        <v>692</v>
      </c>
      <c r="E31" s="79" t="s">
        <v>692</v>
      </c>
      <c r="F31" s="79" t="s">
        <v>692</v>
      </c>
      <c r="G31" s="309" t="s">
        <v>692</v>
      </c>
      <c r="H31" s="266">
        <v>4397976</v>
      </c>
      <c r="I31" s="79">
        <v>4370181</v>
      </c>
      <c r="J31" s="79">
        <v>4431149</v>
      </c>
      <c r="K31" s="79">
        <v>4338987</v>
      </c>
      <c r="L31" s="309">
        <f t="shared" ref="L31:L32" si="37">AVERAGE(H31:K31)</f>
        <v>4384573.25</v>
      </c>
      <c r="M31" s="266">
        <v>4091609</v>
      </c>
      <c r="N31" s="79">
        <v>3975410</v>
      </c>
      <c r="O31" s="269">
        <v>3893375</v>
      </c>
      <c r="P31" s="79">
        <v>3798701</v>
      </c>
      <c r="Q31" s="309">
        <v>3939774</v>
      </c>
      <c r="R31" s="266">
        <v>3797423</v>
      </c>
      <c r="S31" s="79">
        <v>3755130</v>
      </c>
      <c r="T31" s="79">
        <v>3713656</v>
      </c>
      <c r="U31" s="79">
        <v>3630863</v>
      </c>
      <c r="V31" s="309">
        <v>3724268</v>
      </c>
      <c r="W31" s="266">
        <v>3529840</v>
      </c>
      <c r="X31" s="79">
        <v>3473104</v>
      </c>
      <c r="Y31" s="79">
        <v>3386794</v>
      </c>
      <c r="Z31" s="79">
        <v>3058691</v>
      </c>
      <c r="AA31" s="309">
        <v>3362107</v>
      </c>
      <c r="AB31" s="266">
        <v>2800366</v>
      </c>
      <c r="AC31" s="79">
        <v>2631773</v>
      </c>
      <c r="AD31" s="79">
        <v>2620575</v>
      </c>
      <c r="AE31" s="79">
        <v>2601552</v>
      </c>
      <c r="AF31" s="309">
        <v>2663566</v>
      </c>
      <c r="AG31" s="79">
        <v>2558174</v>
      </c>
      <c r="AH31" s="79">
        <v>2536844.1666666665</v>
      </c>
      <c r="AI31" s="79">
        <v>2555414</v>
      </c>
      <c r="AJ31" s="79">
        <v>2511226</v>
      </c>
      <c r="AK31" s="309">
        <v>2540414</v>
      </c>
      <c r="AL31" s="79">
        <v>2403135</v>
      </c>
      <c r="AM31" s="79">
        <v>2398016</v>
      </c>
      <c r="AN31" s="79">
        <v>2441160</v>
      </c>
      <c r="AO31" s="79">
        <v>2425301</v>
      </c>
      <c r="AP31" s="309">
        <v>2416903</v>
      </c>
      <c r="AQ31" s="79">
        <v>2405796</v>
      </c>
      <c r="AR31" s="79">
        <v>2361397</v>
      </c>
      <c r="AS31" s="79">
        <v>2414825</v>
      </c>
      <c r="AT31" s="79">
        <v>2449774</v>
      </c>
      <c r="AU31" s="309">
        <v>2407948</v>
      </c>
      <c r="AV31" s="79">
        <v>2442879</v>
      </c>
      <c r="AW31" s="79">
        <v>2415289.8333333335</v>
      </c>
      <c r="AX31" s="79">
        <v>2432438</v>
      </c>
      <c r="AY31" s="79"/>
      <c r="AZ31" s="309">
        <v>2430202.3333333335</v>
      </c>
    </row>
    <row r="32" spans="1:53" s="267" customFormat="1" ht="20.149999999999999" customHeight="1" thickBot="1">
      <c r="A32" s="334" t="s">
        <v>593</v>
      </c>
      <c r="B32" s="334" t="s">
        <v>593</v>
      </c>
      <c r="C32" s="282" t="s">
        <v>692</v>
      </c>
      <c r="D32" s="715" t="s">
        <v>692</v>
      </c>
      <c r="E32" s="715" t="s">
        <v>692</v>
      </c>
      <c r="F32" s="715" t="s">
        <v>692</v>
      </c>
      <c r="G32" s="335" t="s">
        <v>692</v>
      </c>
      <c r="H32" s="282">
        <v>72348</v>
      </c>
      <c r="I32" s="715">
        <v>88081</v>
      </c>
      <c r="J32" s="715">
        <v>135293</v>
      </c>
      <c r="K32" s="715">
        <v>182434</v>
      </c>
      <c r="L32" s="335">
        <f t="shared" si="37"/>
        <v>119539</v>
      </c>
      <c r="M32" s="282">
        <v>228650</v>
      </c>
      <c r="N32" s="715">
        <v>231084</v>
      </c>
      <c r="O32" s="716">
        <v>249377</v>
      </c>
      <c r="P32" s="715">
        <v>244407</v>
      </c>
      <c r="Q32" s="335">
        <v>238379</v>
      </c>
      <c r="R32" s="282">
        <v>203251</v>
      </c>
      <c r="S32" s="715">
        <v>189813</v>
      </c>
      <c r="T32" s="715">
        <v>215122</v>
      </c>
      <c r="U32" s="715">
        <v>230373</v>
      </c>
      <c r="V32" s="335">
        <v>209640</v>
      </c>
      <c r="W32" s="282">
        <v>235775</v>
      </c>
      <c r="X32" s="715">
        <v>269395</v>
      </c>
      <c r="Y32" s="715">
        <v>283652</v>
      </c>
      <c r="Z32" s="715">
        <v>228446</v>
      </c>
      <c r="AA32" s="335">
        <v>254317</v>
      </c>
      <c r="AB32" s="282">
        <v>201579</v>
      </c>
      <c r="AC32" s="715">
        <v>181250</v>
      </c>
      <c r="AD32" s="715">
        <v>188258</v>
      </c>
      <c r="AE32" s="715">
        <v>185126</v>
      </c>
      <c r="AF32" s="335">
        <v>189053</v>
      </c>
      <c r="AG32" s="715">
        <v>173299</v>
      </c>
      <c r="AH32" s="715">
        <v>165360</v>
      </c>
      <c r="AI32" s="715">
        <v>160427</v>
      </c>
      <c r="AJ32" s="715">
        <v>139066</v>
      </c>
      <c r="AK32" s="335">
        <v>159538</v>
      </c>
      <c r="AL32" s="715">
        <v>118538</v>
      </c>
      <c r="AM32" s="715">
        <v>105622</v>
      </c>
      <c r="AN32" s="715">
        <v>97786</v>
      </c>
      <c r="AO32" s="715">
        <v>86118</v>
      </c>
      <c r="AP32" s="335">
        <v>102016</v>
      </c>
      <c r="AQ32" s="715">
        <v>76464</v>
      </c>
      <c r="AR32" s="715">
        <v>70282</v>
      </c>
      <c r="AS32" s="715">
        <v>66453</v>
      </c>
      <c r="AT32" s="715">
        <v>60627</v>
      </c>
      <c r="AU32" s="335">
        <v>68456.458333333299</v>
      </c>
      <c r="AV32" s="715">
        <v>55114</v>
      </c>
      <c r="AW32" s="715">
        <v>48410.333333333336</v>
      </c>
      <c r="AX32" s="715">
        <v>45472</v>
      </c>
      <c r="AY32" s="715"/>
      <c r="AZ32" s="335">
        <v>49665.444444444445</v>
      </c>
    </row>
    <row r="33" spans="1:37" ht="20.149999999999999" customHeight="1"/>
    <row r="34" spans="1:37" ht="36">
      <c r="A34" s="283" t="s">
        <v>718</v>
      </c>
      <c r="B34" s="283" t="s">
        <v>719</v>
      </c>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row>
    <row r="35" spans="1:37" ht="36">
      <c r="A35" s="283" t="s">
        <v>720</v>
      </c>
      <c r="B35" s="283" t="s">
        <v>721</v>
      </c>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row>
    <row r="36" spans="1:37" ht="48">
      <c r="A36" s="285" t="s">
        <v>722</v>
      </c>
      <c r="B36" s="283" t="s">
        <v>723</v>
      </c>
      <c r="C36" s="286"/>
      <c r="D36" s="286"/>
      <c r="E36" s="286"/>
      <c r="F36" s="286"/>
      <c r="G36" s="286"/>
      <c r="H36" s="286"/>
      <c r="I36" s="286"/>
      <c r="J36" s="286"/>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row>
    <row r="37" spans="1:37" ht="132" customHeight="1">
      <c r="A37" s="285" t="s">
        <v>724</v>
      </c>
      <c r="B37" s="283" t="s">
        <v>725</v>
      </c>
      <c r="C37" s="286"/>
      <c r="D37" s="286"/>
      <c r="E37" s="286"/>
      <c r="F37" s="286"/>
      <c r="G37" s="286"/>
      <c r="H37" s="286"/>
      <c r="I37" s="286"/>
      <c r="J37" s="286"/>
      <c r="K37" s="286"/>
      <c r="L37" s="286"/>
      <c r="M37" s="286"/>
      <c r="N37" s="286"/>
      <c r="O37" s="285"/>
      <c r="P37" s="285"/>
      <c r="Q37" s="285"/>
      <c r="R37" s="285"/>
      <c r="S37" s="285"/>
      <c r="T37" s="285"/>
    </row>
    <row r="38" spans="1:37" ht="36">
      <c r="A38" s="285" t="s">
        <v>726</v>
      </c>
      <c r="B38" s="283" t="s">
        <v>727</v>
      </c>
      <c r="C38" s="286"/>
      <c r="D38" s="286"/>
      <c r="E38" s="286"/>
      <c r="F38" s="286"/>
      <c r="G38" s="286"/>
      <c r="H38" s="286"/>
      <c r="I38" s="286"/>
      <c r="J38" s="286"/>
      <c r="K38" s="286"/>
      <c r="L38" s="286"/>
      <c r="M38" s="286"/>
      <c r="N38" s="286"/>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row>
    <row r="39" spans="1:37" ht="84">
      <c r="A39" s="283" t="s">
        <v>728</v>
      </c>
      <c r="B39" s="283" t="s">
        <v>729</v>
      </c>
    </row>
    <row r="40" spans="1:37" ht="20.149999999999999" customHeight="1"/>
    <row r="41" spans="1:37" ht="20.149999999999999" customHeight="1"/>
    <row r="42" spans="1:37" ht="20.149999999999999" customHeight="1"/>
    <row r="43" spans="1:37" ht="20.149999999999999" customHeight="1"/>
    <row r="44" spans="1:37" ht="20.149999999999999" customHeight="1"/>
    <row r="45" spans="1:37" ht="20.149999999999999" customHeight="1"/>
    <row r="46" spans="1:37" ht="20.149999999999999" customHeight="1"/>
    <row r="47" spans="1:37" ht="20.149999999999999" customHeight="1"/>
    <row r="48" spans="1:37"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sheetData>
  <customSheetViews>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1"/>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2"/>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4"/>
    </customSheetView>
  </customSheetViews>
  <mergeCells count="21">
    <mergeCell ref="AV3:AY3"/>
    <mergeCell ref="AZ3:AZ4"/>
    <mergeCell ref="AU3:AU4"/>
    <mergeCell ref="AF3:AF4"/>
    <mergeCell ref="AG3:AJ3"/>
    <mergeCell ref="AK3:AK4"/>
    <mergeCell ref="AL3:AO3"/>
    <mergeCell ref="AP3:AP4"/>
    <mergeCell ref="AQ3:AT3"/>
    <mergeCell ref="AB3:AE3"/>
    <mergeCell ref="A2:O2"/>
    <mergeCell ref="C3:F3"/>
    <mergeCell ref="G3:G4"/>
    <mergeCell ref="H3:K3"/>
    <mergeCell ref="L3:L4"/>
    <mergeCell ref="M3:P3"/>
    <mergeCell ref="Q3:Q4"/>
    <mergeCell ref="R3:U3"/>
    <mergeCell ref="V3:V4"/>
    <mergeCell ref="W3:Z3"/>
    <mergeCell ref="AA3:AA4"/>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O89"/>
  <sheetViews>
    <sheetView showGridLines="0" zoomScale="85" zoomScaleNormal="85" zoomScaleSheetLayoutView="85" workbookViewId="0">
      <pane xSplit="30" ySplit="5" topLeftCell="AV6" activePane="bottomRight" state="frozen"/>
      <selection pane="topRight" activeCell="AE1" sqref="AE1"/>
      <selection pane="bottomLeft" activeCell="A6" sqref="A6"/>
      <selection pane="bottomRight" activeCell="AZ9" sqref="AZ9"/>
    </sheetView>
  </sheetViews>
  <sheetFormatPr defaultColWidth="9" defaultRowHeight="13" outlineLevelCol="1"/>
  <cols>
    <col min="1" max="1" width="53" style="4" customWidth="1"/>
    <col min="2" max="2" width="53" style="39" customWidth="1"/>
    <col min="3" max="3" width="11.5" style="5" hidden="1" customWidth="1" outlineLevel="1"/>
    <col min="4" max="4" width="12.4140625" style="5" hidden="1" customWidth="1" outlineLevel="1"/>
    <col min="5" max="5" width="13.58203125" style="5" hidden="1" customWidth="1" outlineLevel="1"/>
    <col min="6" max="6" width="12.08203125" style="5" hidden="1" customWidth="1" outlineLevel="1"/>
    <col min="7" max="9" width="13.58203125" style="5" hidden="1" customWidth="1" outlineLevel="1"/>
    <col min="10" max="10" width="12.08203125" style="5" hidden="1" customWidth="1" outlineLevel="1"/>
    <col min="11" max="13" width="13.58203125" style="5" hidden="1" customWidth="1" outlineLevel="1"/>
    <col min="14" max="14" width="12.08203125" style="5" hidden="1" customWidth="1" outlineLevel="1"/>
    <col min="15" max="30" width="13.58203125" style="5" hidden="1" customWidth="1" outlineLevel="1"/>
    <col min="31" max="31" width="13.58203125" style="5" customWidth="1" collapsed="1"/>
    <col min="32" max="50" width="13.58203125" style="5" customWidth="1"/>
    <col min="51" max="53" width="9" style="5"/>
    <col min="54" max="54" width="10" style="5" bestFit="1" customWidth="1"/>
    <col min="55" max="16384" width="9" style="5"/>
  </cols>
  <sheetData>
    <row r="1" spans="1:483"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row>
    <row r="2" spans="1:483" s="441" customFormat="1" ht="42.75" customHeight="1">
      <c r="A2" s="438" t="s">
        <v>144</v>
      </c>
      <c r="B2" s="439" t="s">
        <v>145</v>
      </c>
      <c r="C2" s="1054">
        <v>2012</v>
      </c>
      <c r="D2" s="1054"/>
      <c r="E2" s="1054"/>
      <c r="F2" s="1055"/>
      <c r="G2" s="1054">
        <v>2013</v>
      </c>
      <c r="H2" s="1054"/>
      <c r="I2" s="1054"/>
      <c r="J2" s="1054"/>
      <c r="K2" s="1051">
        <v>2014</v>
      </c>
      <c r="L2" s="1054"/>
      <c r="M2" s="1054"/>
      <c r="N2" s="1055"/>
      <c r="O2" s="1054">
        <v>2015</v>
      </c>
      <c r="P2" s="1054"/>
      <c r="Q2" s="1054"/>
      <c r="R2" s="1055"/>
      <c r="S2" s="1051">
        <v>2016</v>
      </c>
      <c r="T2" s="1054"/>
      <c r="U2" s="1054"/>
      <c r="V2" s="1055"/>
      <c r="W2" s="1051" t="s">
        <v>146</v>
      </c>
      <c r="X2" s="1054"/>
      <c r="Y2" s="1054"/>
      <c r="Z2" s="1055"/>
      <c r="AA2" s="1051" t="s">
        <v>147</v>
      </c>
      <c r="AB2" s="1054"/>
      <c r="AC2" s="1054"/>
      <c r="AD2" s="1055"/>
      <c r="AE2" s="1051" t="s">
        <v>148</v>
      </c>
      <c r="AF2" s="1052"/>
      <c r="AG2" s="1052"/>
      <c r="AH2" s="1053"/>
      <c r="AI2" s="1051">
        <v>2020</v>
      </c>
      <c r="AJ2" s="1052"/>
      <c r="AK2" s="1052"/>
      <c r="AL2" s="1053"/>
      <c r="AM2" s="1051">
        <v>2021</v>
      </c>
      <c r="AN2" s="1052"/>
      <c r="AO2" s="1052"/>
      <c r="AP2" s="1053"/>
      <c r="AQ2" s="1051">
        <v>2022</v>
      </c>
      <c r="AR2" s="1052"/>
      <c r="AS2" s="1052"/>
      <c r="AT2" s="1053"/>
      <c r="AU2" s="1051">
        <v>2023</v>
      </c>
      <c r="AV2" s="1052"/>
      <c r="AW2" s="1052"/>
      <c r="AX2" s="1053"/>
      <c r="AY2" s="440"/>
      <c r="AZ2" s="440"/>
      <c r="BA2" s="440"/>
      <c r="BB2" s="440"/>
      <c r="BC2" s="440"/>
      <c r="BD2" s="440"/>
      <c r="BE2" s="440"/>
      <c r="BF2" s="440"/>
      <c r="BG2" s="440"/>
      <c r="BH2" s="440"/>
      <c r="BI2" s="440"/>
      <c r="BJ2" s="440"/>
      <c r="BK2" s="440"/>
      <c r="BL2" s="440"/>
      <c r="BM2" s="440"/>
      <c r="BN2" s="440"/>
      <c r="BO2" s="440"/>
      <c r="BP2" s="440"/>
      <c r="BQ2" s="440"/>
      <c r="BR2" s="440"/>
      <c r="BS2" s="440"/>
      <c r="BT2" s="440"/>
      <c r="BU2" s="440"/>
      <c r="BV2" s="440"/>
      <c r="BW2" s="440"/>
      <c r="BX2" s="440"/>
      <c r="BY2" s="440"/>
      <c r="BZ2" s="440"/>
      <c r="CA2" s="440"/>
      <c r="CB2" s="440"/>
      <c r="CC2" s="440"/>
      <c r="CD2" s="440"/>
      <c r="CE2" s="440"/>
      <c r="CF2" s="440"/>
      <c r="CG2" s="440"/>
      <c r="CH2" s="440"/>
      <c r="CI2" s="440"/>
      <c r="CJ2" s="440"/>
      <c r="CK2" s="440"/>
      <c r="CL2" s="440"/>
      <c r="CM2" s="440"/>
      <c r="CN2" s="440"/>
      <c r="CO2" s="440"/>
      <c r="CP2" s="440"/>
      <c r="CQ2" s="440"/>
      <c r="CR2" s="440"/>
      <c r="CS2" s="440"/>
      <c r="CT2" s="440"/>
      <c r="CU2" s="440"/>
      <c r="CV2" s="440"/>
      <c r="CW2" s="440"/>
      <c r="CX2" s="440"/>
      <c r="CY2" s="440"/>
      <c r="CZ2" s="440"/>
      <c r="DA2" s="440"/>
      <c r="DB2" s="440"/>
      <c r="DC2" s="440"/>
      <c r="DD2" s="440"/>
      <c r="DE2" s="440"/>
      <c r="DF2" s="440"/>
      <c r="DG2" s="440"/>
      <c r="DH2" s="440"/>
      <c r="DI2" s="440"/>
      <c r="DJ2" s="440"/>
      <c r="DK2" s="440"/>
      <c r="DL2" s="440"/>
      <c r="DM2" s="440"/>
      <c r="DN2" s="440"/>
      <c r="DO2" s="440"/>
      <c r="DP2" s="440"/>
      <c r="DQ2" s="440"/>
      <c r="DR2" s="440"/>
      <c r="DS2" s="440"/>
      <c r="DT2" s="440"/>
      <c r="DU2" s="440"/>
      <c r="DV2" s="440"/>
      <c r="DW2" s="440"/>
      <c r="DX2" s="440"/>
      <c r="DY2" s="440"/>
      <c r="DZ2" s="440"/>
      <c r="EA2" s="440"/>
      <c r="EB2" s="440"/>
      <c r="EC2" s="440"/>
      <c r="ED2" s="440"/>
      <c r="EE2" s="440"/>
      <c r="EF2" s="440"/>
      <c r="EG2" s="440"/>
      <c r="EH2" s="440"/>
      <c r="EI2" s="440"/>
      <c r="EJ2" s="440"/>
      <c r="EK2" s="440"/>
      <c r="EL2" s="440"/>
      <c r="EM2" s="440"/>
      <c r="EN2" s="440"/>
      <c r="EO2" s="440"/>
      <c r="EP2" s="440"/>
      <c r="EQ2" s="440"/>
      <c r="ER2" s="440"/>
      <c r="ES2" s="440"/>
      <c r="ET2" s="440"/>
      <c r="EU2" s="440"/>
      <c r="EV2" s="440"/>
      <c r="EW2" s="440"/>
      <c r="EX2" s="440"/>
      <c r="EY2" s="440"/>
      <c r="EZ2" s="440"/>
      <c r="FA2" s="440"/>
      <c r="FB2" s="440"/>
      <c r="FC2" s="440"/>
      <c r="FD2" s="440"/>
      <c r="FE2" s="440"/>
      <c r="FF2" s="440"/>
      <c r="FG2" s="440"/>
      <c r="FH2" s="440"/>
      <c r="FI2" s="440"/>
      <c r="FJ2" s="440"/>
      <c r="FK2" s="440"/>
      <c r="FL2" s="440"/>
      <c r="FM2" s="440"/>
      <c r="FN2" s="440"/>
      <c r="FO2" s="440"/>
      <c r="FP2" s="440"/>
      <c r="FQ2" s="440"/>
      <c r="FR2" s="440"/>
      <c r="FS2" s="440"/>
      <c r="FT2" s="440"/>
      <c r="FU2" s="440"/>
      <c r="FV2" s="440"/>
      <c r="FW2" s="440"/>
      <c r="FX2" s="440"/>
      <c r="FY2" s="440"/>
      <c r="FZ2" s="440"/>
      <c r="GA2" s="440"/>
      <c r="GB2" s="440"/>
      <c r="GC2" s="440"/>
      <c r="GD2" s="440"/>
      <c r="GE2" s="440"/>
      <c r="GF2" s="440"/>
      <c r="GG2" s="440"/>
      <c r="GH2" s="440"/>
      <c r="GI2" s="440"/>
      <c r="GJ2" s="440"/>
      <c r="GK2" s="440"/>
      <c r="GL2" s="440"/>
      <c r="GM2" s="440"/>
      <c r="GN2" s="440"/>
      <c r="GO2" s="440"/>
      <c r="GP2" s="440"/>
      <c r="GQ2" s="440"/>
      <c r="GR2" s="440"/>
      <c r="GS2" s="440"/>
      <c r="GT2" s="440"/>
      <c r="GU2" s="440"/>
      <c r="GV2" s="440"/>
      <c r="GW2" s="440"/>
      <c r="GX2" s="440"/>
      <c r="GY2" s="440"/>
      <c r="GZ2" s="440"/>
      <c r="HA2" s="440"/>
      <c r="HB2" s="440"/>
      <c r="HC2" s="440"/>
      <c r="HD2" s="440"/>
      <c r="HE2" s="440"/>
      <c r="HF2" s="440"/>
      <c r="HG2" s="440"/>
      <c r="HH2" s="440"/>
      <c r="HI2" s="440"/>
      <c r="HJ2" s="440"/>
      <c r="HK2" s="440"/>
      <c r="HL2" s="440"/>
      <c r="HM2" s="440"/>
      <c r="HN2" s="440"/>
      <c r="HO2" s="440"/>
      <c r="HP2" s="440"/>
      <c r="HQ2" s="440"/>
      <c r="HR2" s="440"/>
      <c r="HS2" s="440"/>
      <c r="HT2" s="440"/>
      <c r="HU2" s="440"/>
      <c r="HV2" s="440"/>
      <c r="HW2" s="440"/>
      <c r="HX2" s="440"/>
      <c r="HY2" s="440"/>
      <c r="HZ2" s="440"/>
      <c r="IA2" s="440"/>
      <c r="IB2" s="440"/>
      <c r="IC2" s="440"/>
      <c r="ID2" s="440"/>
      <c r="IE2" s="440"/>
      <c r="IF2" s="440"/>
      <c r="IG2" s="440"/>
      <c r="IH2" s="440"/>
      <c r="II2" s="440"/>
      <c r="IJ2" s="440"/>
      <c r="IK2" s="440"/>
      <c r="IL2" s="440"/>
      <c r="IM2" s="440"/>
      <c r="IN2" s="440"/>
      <c r="IO2" s="440"/>
      <c r="IP2" s="440"/>
      <c r="IQ2" s="440"/>
      <c r="IR2" s="440"/>
      <c r="IS2" s="440"/>
      <c r="IT2" s="440"/>
      <c r="IU2" s="440"/>
      <c r="IV2" s="440"/>
      <c r="IW2" s="440"/>
      <c r="IX2" s="440"/>
      <c r="IY2" s="440"/>
      <c r="IZ2" s="440"/>
      <c r="JA2" s="440"/>
      <c r="JB2" s="440"/>
      <c r="JC2" s="440"/>
      <c r="JD2" s="440"/>
      <c r="JE2" s="440"/>
      <c r="JF2" s="440"/>
      <c r="JG2" s="440"/>
      <c r="JH2" s="440"/>
      <c r="JI2" s="440"/>
      <c r="JJ2" s="440"/>
      <c r="JK2" s="440"/>
      <c r="JL2" s="440"/>
      <c r="JM2" s="440"/>
      <c r="JN2" s="440"/>
      <c r="JO2" s="440"/>
      <c r="JP2" s="440"/>
      <c r="JQ2" s="440"/>
      <c r="JR2" s="440"/>
      <c r="JS2" s="440"/>
      <c r="JT2" s="440"/>
      <c r="JU2" s="440"/>
      <c r="JV2" s="440"/>
      <c r="JW2" s="440"/>
      <c r="JX2" s="440"/>
      <c r="JY2" s="440"/>
      <c r="JZ2" s="440"/>
      <c r="KA2" s="440"/>
      <c r="KB2" s="440"/>
      <c r="KC2" s="440"/>
      <c r="KD2" s="440"/>
      <c r="KE2" s="440"/>
      <c r="KF2" s="440"/>
      <c r="KG2" s="440"/>
      <c r="KH2" s="440"/>
      <c r="KI2" s="440"/>
      <c r="KJ2" s="440"/>
      <c r="KK2" s="440"/>
      <c r="KL2" s="440"/>
      <c r="KM2" s="440"/>
      <c r="KN2" s="440"/>
      <c r="KO2" s="440"/>
      <c r="KP2" s="440"/>
      <c r="KQ2" s="440"/>
      <c r="KR2" s="440"/>
      <c r="KS2" s="440"/>
      <c r="KT2" s="440"/>
      <c r="KU2" s="440"/>
      <c r="KV2" s="440"/>
      <c r="KW2" s="440"/>
      <c r="KX2" s="440"/>
      <c r="KY2" s="440"/>
      <c r="KZ2" s="440"/>
      <c r="LA2" s="440"/>
      <c r="LB2" s="440"/>
      <c r="LC2" s="440"/>
      <c r="LD2" s="440"/>
      <c r="LE2" s="440"/>
      <c r="LF2" s="440"/>
      <c r="LG2" s="440"/>
      <c r="LH2" s="440"/>
      <c r="LI2" s="440"/>
      <c r="LJ2" s="440"/>
      <c r="LK2" s="440"/>
      <c r="LL2" s="440"/>
      <c r="LM2" s="440"/>
      <c r="LN2" s="440"/>
      <c r="LO2" s="440"/>
      <c r="LP2" s="440"/>
      <c r="LQ2" s="440"/>
      <c r="LR2" s="440"/>
      <c r="LS2" s="440"/>
      <c r="LT2" s="440"/>
      <c r="LU2" s="440"/>
      <c r="LV2" s="440"/>
      <c r="LW2" s="440"/>
      <c r="LX2" s="440"/>
      <c r="LY2" s="440"/>
      <c r="LZ2" s="440"/>
      <c r="MA2" s="440"/>
      <c r="MB2" s="440"/>
      <c r="MC2" s="440"/>
      <c r="MD2" s="440"/>
      <c r="ME2" s="440"/>
      <c r="MF2" s="440"/>
      <c r="MG2" s="440"/>
      <c r="MH2" s="440"/>
      <c r="MI2" s="440"/>
      <c r="MJ2" s="440"/>
      <c r="MK2" s="440"/>
      <c r="ML2" s="440"/>
      <c r="MM2" s="440"/>
      <c r="MN2" s="440"/>
      <c r="MO2" s="440"/>
      <c r="MP2" s="440"/>
      <c r="MQ2" s="440"/>
      <c r="MR2" s="440"/>
      <c r="MS2" s="440"/>
      <c r="MT2" s="440"/>
      <c r="MU2" s="440"/>
      <c r="MV2" s="440"/>
      <c r="MW2" s="440"/>
      <c r="MX2" s="440"/>
      <c r="MY2" s="440"/>
      <c r="MZ2" s="440"/>
      <c r="NA2" s="440"/>
      <c r="NB2" s="440"/>
      <c r="NC2" s="440"/>
      <c r="ND2" s="440"/>
      <c r="NE2" s="440"/>
      <c r="NF2" s="440"/>
      <c r="NG2" s="440"/>
      <c r="NH2" s="440"/>
      <c r="NI2" s="440"/>
      <c r="NJ2" s="440"/>
      <c r="NK2" s="440"/>
      <c r="NL2" s="440"/>
      <c r="NM2" s="440"/>
      <c r="NN2" s="440"/>
      <c r="NO2" s="440"/>
      <c r="NP2" s="440"/>
      <c r="NQ2" s="440"/>
      <c r="NR2" s="440"/>
      <c r="NS2" s="440"/>
      <c r="NT2" s="440"/>
      <c r="NU2" s="440"/>
      <c r="NV2" s="440"/>
      <c r="NW2" s="440"/>
      <c r="NX2" s="440"/>
      <c r="NY2" s="440"/>
      <c r="NZ2" s="440"/>
      <c r="OA2" s="440"/>
      <c r="OB2" s="440"/>
      <c r="OC2" s="440"/>
      <c r="OD2" s="440"/>
      <c r="OE2" s="440"/>
      <c r="OF2" s="440"/>
      <c r="OG2" s="440"/>
      <c r="OH2" s="440"/>
      <c r="OI2" s="440"/>
      <c r="OJ2" s="440"/>
      <c r="OK2" s="440"/>
      <c r="OL2" s="440"/>
      <c r="OM2" s="440"/>
      <c r="ON2" s="440"/>
      <c r="OO2" s="440"/>
      <c r="OP2" s="440"/>
      <c r="OQ2" s="440"/>
      <c r="OR2" s="440"/>
      <c r="OS2" s="440"/>
      <c r="OT2" s="440"/>
      <c r="OU2" s="440"/>
      <c r="OV2" s="440"/>
      <c r="OW2" s="440"/>
      <c r="OX2" s="440"/>
      <c r="OY2" s="440"/>
      <c r="OZ2" s="440"/>
      <c r="PA2" s="440"/>
      <c r="PB2" s="440"/>
      <c r="PC2" s="440"/>
      <c r="PD2" s="440"/>
      <c r="PE2" s="440"/>
      <c r="PF2" s="440"/>
      <c r="PG2" s="440"/>
      <c r="PH2" s="440"/>
      <c r="PI2" s="440"/>
      <c r="PJ2" s="440"/>
      <c r="PK2" s="440"/>
      <c r="PL2" s="440"/>
      <c r="PM2" s="440"/>
      <c r="PN2" s="440"/>
      <c r="PO2" s="440"/>
      <c r="PP2" s="440"/>
      <c r="PQ2" s="440"/>
      <c r="PR2" s="440"/>
      <c r="PS2" s="440"/>
      <c r="PT2" s="440"/>
      <c r="PU2" s="440"/>
      <c r="PV2" s="440"/>
      <c r="PW2" s="440"/>
      <c r="PX2" s="440"/>
      <c r="PY2" s="440"/>
      <c r="PZ2" s="440"/>
      <c r="QA2" s="440"/>
      <c r="QB2" s="440"/>
      <c r="QC2" s="440"/>
      <c r="QD2" s="440"/>
      <c r="QE2" s="440"/>
      <c r="QF2" s="440"/>
      <c r="QG2" s="440"/>
      <c r="QH2" s="440"/>
      <c r="QI2" s="440"/>
      <c r="QJ2" s="440"/>
      <c r="QK2" s="440"/>
      <c r="QL2" s="440"/>
      <c r="QM2" s="440"/>
      <c r="QN2" s="440"/>
      <c r="QO2" s="440"/>
      <c r="QP2" s="440"/>
      <c r="QQ2" s="440"/>
      <c r="QR2" s="440"/>
      <c r="QS2" s="440"/>
      <c r="QT2" s="440"/>
      <c r="QU2" s="440"/>
      <c r="QV2" s="440"/>
      <c r="QW2" s="440"/>
      <c r="QX2" s="440"/>
      <c r="QY2" s="440"/>
      <c r="QZ2" s="440"/>
      <c r="RA2" s="440"/>
      <c r="RB2" s="440"/>
      <c r="RC2" s="440"/>
      <c r="RD2" s="440"/>
      <c r="RE2" s="440"/>
      <c r="RF2" s="440"/>
      <c r="RG2" s="440"/>
      <c r="RH2" s="440"/>
      <c r="RI2" s="440"/>
      <c r="RJ2" s="440"/>
      <c r="RK2" s="440"/>
      <c r="RL2" s="440"/>
      <c r="RM2" s="440"/>
      <c r="RN2" s="440"/>
      <c r="RO2" s="440"/>
    </row>
    <row r="3" spans="1:483" s="448" customFormat="1" ht="14.5">
      <c r="A3" s="442" t="s">
        <v>19</v>
      </c>
      <c r="B3" s="442" t="s">
        <v>19</v>
      </c>
      <c r="C3" s="443" t="s">
        <v>149</v>
      </c>
      <c r="D3" s="444" t="s">
        <v>150</v>
      </c>
      <c r="E3" s="444" t="s">
        <v>151</v>
      </c>
      <c r="F3" s="445" t="s">
        <v>152</v>
      </c>
      <c r="G3" s="444" t="s">
        <v>149</v>
      </c>
      <c r="H3" s="444" t="s">
        <v>150</v>
      </c>
      <c r="I3" s="444" t="s">
        <v>151</v>
      </c>
      <c r="J3" s="445" t="s">
        <v>152</v>
      </c>
      <c r="K3" s="443" t="s">
        <v>149</v>
      </c>
      <c r="L3" s="444" t="s">
        <v>150</v>
      </c>
      <c r="M3" s="444" t="s">
        <v>151</v>
      </c>
      <c r="N3" s="446" t="s">
        <v>153</v>
      </c>
      <c r="O3" s="444" t="s">
        <v>149</v>
      </c>
      <c r="P3" s="444" t="s">
        <v>150</v>
      </c>
      <c r="Q3" s="444" t="s">
        <v>151</v>
      </c>
      <c r="R3" s="445" t="s">
        <v>152</v>
      </c>
      <c r="S3" s="444" t="s">
        <v>149</v>
      </c>
      <c r="T3" s="444" t="s">
        <v>150</v>
      </c>
      <c r="U3" s="444" t="s">
        <v>151</v>
      </c>
      <c r="V3" s="445" t="s">
        <v>152</v>
      </c>
      <c r="W3" s="444" t="s">
        <v>149</v>
      </c>
      <c r="X3" s="444" t="s">
        <v>150</v>
      </c>
      <c r="Y3" s="444" t="s">
        <v>151</v>
      </c>
      <c r="Z3" s="445" t="s">
        <v>152</v>
      </c>
      <c r="AA3" s="447" t="s">
        <v>149</v>
      </c>
      <c r="AB3" s="444" t="s">
        <v>150</v>
      </c>
      <c r="AC3" s="444" t="s">
        <v>151</v>
      </c>
      <c r="AD3" s="445" t="s">
        <v>152</v>
      </c>
      <c r="AE3" s="447" t="s">
        <v>149</v>
      </c>
      <c r="AF3" s="444" t="s">
        <v>150</v>
      </c>
      <c r="AG3" s="444" t="s">
        <v>151</v>
      </c>
      <c r="AH3" s="445" t="s">
        <v>152</v>
      </c>
      <c r="AI3" s="447" t="s">
        <v>149</v>
      </c>
      <c r="AJ3" s="444" t="s">
        <v>150</v>
      </c>
      <c r="AK3" s="444" t="s">
        <v>151</v>
      </c>
      <c r="AL3" s="445" t="s">
        <v>152</v>
      </c>
      <c r="AM3" s="447" t="s">
        <v>149</v>
      </c>
      <c r="AN3" s="444" t="s">
        <v>150</v>
      </c>
      <c r="AO3" s="444" t="s">
        <v>151</v>
      </c>
      <c r="AP3" s="445" t="s">
        <v>152</v>
      </c>
      <c r="AQ3" s="447" t="s">
        <v>149</v>
      </c>
      <c r="AR3" s="444" t="s">
        <v>150</v>
      </c>
      <c r="AS3" s="444" t="s">
        <v>151</v>
      </c>
      <c r="AT3" s="445" t="s">
        <v>152</v>
      </c>
      <c r="AU3" s="447" t="s">
        <v>149</v>
      </c>
      <c r="AV3" s="444" t="s">
        <v>150</v>
      </c>
      <c r="AW3" s="444" t="s">
        <v>151</v>
      </c>
      <c r="AX3" s="445" t="s">
        <v>152</v>
      </c>
    </row>
    <row r="4" spans="1:483" s="453" customFormat="1" ht="16.5" customHeight="1">
      <c r="A4" s="449"/>
      <c r="B4" s="450"/>
      <c r="C4" s="451" t="s">
        <v>154</v>
      </c>
      <c r="D4" s="451" t="s">
        <v>155</v>
      </c>
      <c r="E4" s="422" t="s">
        <v>156</v>
      </c>
      <c r="F4" s="452" t="s">
        <v>157</v>
      </c>
      <c r="G4" s="451" t="s">
        <v>154</v>
      </c>
      <c r="H4" s="451" t="s">
        <v>155</v>
      </c>
      <c r="I4" s="422" t="s">
        <v>156</v>
      </c>
      <c r="J4" s="452" t="s">
        <v>157</v>
      </c>
      <c r="K4" s="451" t="s">
        <v>154</v>
      </c>
      <c r="L4" s="451" t="s">
        <v>155</v>
      </c>
      <c r="M4" s="422" t="s">
        <v>156</v>
      </c>
      <c r="N4" s="452" t="s">
        <v>158</v>
      </c>
      <c r="O4" s="451" t="s">
        <v>154</v>
      </c>
      <c r="P4" s="451" t="s">
        <v>155</v>
      </c>
      <c r="Q4" s="422" t="s">
        <v>156</v>
      </c>
      <c r="R4" s="452" t="s">
        <v>157</v>
      </c>
      <c r="S4" s="451" t="s">
        <v>154</v>
      </c>
      <c r="T4" s="451" t="s">
        <v>155</v>
      </c>
      <c r="U4" s="422" t="s">
        <v>156</v>
      </c>
      <c r="V4" s="452" t="s">
        <v>157</v>
      </c>
      <c r="W4" s="451" t="s">
        <v>154</v>
      </c>
      <c r="X4" s="451" t="s">
        <v>155</v>
      </c>
      <c r="Y4" s="422" t="s">
        <v>156</v>
      </c>
      <c r="Z4" s="452" t="s">
        <v>157</v>
      </c>
      <c r="AA4" s="451" t="s">
        <v>154</v>
      </c>
      <c r="AB4" s="451" t="s">
        <v>155</v>
      </c>
      <c r="AC4" s="422" t="s">
        <v>156</v>
      </c>
      <c r="AD4" s="452" t="s">
        <v>157</v>
      </c>
      <c r="AE4" s="451" t="s">
        <v>154</v>
      </c>
      <c r="AF4" s="451" t="s">
        <v>155</v>
      </c>
      <c r="AG4" s="422" t="s">
        <v>156</v>
      </c>
      <c r="AH4" s="452" t="s">
        <v>157</v>
      </c>
      <c r="AI4" s="451" t="s">
        <v>154</v>
      </c>
      <c r="AJ4" s="451" t="s">
        <v>155</v>
      </c>
      <c r="AK4" s="422" t="s">
        <v>156</v>
      </c>
      <c r="AL4" s="452" t="s">
        <v>157</v>
      </c>
      <c r="AM4" s="451" t="s">
        <v>154</v>
      </c>
      <c r="AN4" s="451" t="s">
        <v>155</v>
      </c>
      <c r="AO4" s="422" t="s">
        <v>156</v>
      </c>
      <c r="AP4" s="452" t="s">
        <v>157</v>
      </c>
      <c r="AQ4" s="451" t="s">
        <v>154</v>
      </c>
      <c r="AR4" s="451" t="s">
        <v>155</v>
      </c>
      <c r="AS4" s="422" t="s">
        <v>156</v>
      </c>
      <c r="AT4" s="452" t="s">
        <v>157</v>
      </c>
      <c r="AU4" s="451" t="s">
        <v>154</v>
      </c>
      <c r="AV4" s="451" t="s">
        <v>155</v>
      </c>
      <c r="AW4" s="422" t="s">
        <v>156</v>
      </c>
      <c r="AX4" s="452" t="s">
        <v>157</v>
      </c>
    </row>
    <row r="5" spans="1:483" s="398" customFormat="1" ht="38.25" customHeight="1" thickBot="1">
      <c r="A5" s="396" t="s">
        <v>159</v>
      </c>
      <c r="B5" s="397" t="s">
        <v>160</v>
      </c>
      <c r="C5" s="435"/>
      <c r="D5" s="435"/>
      <c r="E5" s="436"/>
      <c r="F5" s="437"/>
      <c r="G5" s="435"/>
      <c r="H5" s="435"/>
      <c r="I5" s="436"/>
      <c r="J5" s="437"/>
      <c r="K5" s="435"/>
      <c r="L5" s="435"/>
      <c r="M5" s="436"/>
      <c r="N5" s="437"/>
      <c r="O5" s="435"/>
      <c r="P5" s="435"/>
      <c r="Q5" s="436"/>
      <c r="R5" s="437"/>
      <c r="S5" s="435"/>
      <c r="T5" s="435"/>
      <c r="U5" s="436"/>
      <c r="V5" s="437"/>
      <c r="W5" s="435"/>
      <c r="X5" s="435"/>
      <c r="Y5" s="436"/>
      <c r="Z5" s="437"/>
      <c r="AA5" s="435"/>
      <c r="AB5" s="435"/>
      <c r="AC5" s="436"/>
      <c r="AD5" s="437"/>
      <c r="AE5" s="435"/>
      <c r="AF5" s="435"/>
      <c r="AG5" s="436"/>
      <c r="AH5" s="437"/>
      <c r="AI5" s="435"/>
      <c r="AJ5" s="435"/>
      <c r="AK5" s="436"/>
      <c r="AL5" s="437"/>
      <c r="AM5" s="435"/>
      <c r="AN5" s="435"/>
      <c r="AO5" s="436"/>
      <c r="AP5" s="437"/>
      <c r="AQ5" s="435"/>
      <c r="AR5" s="435"/>
      <c r="AS5" s="436"/>
      <c r="AT5" s="437"/>
      <c r="AU5" s="435"/>
      <c r="AV5" s="879"/>
      <c r="AW5" s="436"/>
      <c r="AX5" s="437"/>
      <c r="AZ5" s="979"/>
    </row>
    <row r="6" spans="1:483" s="7" customFormat="1" ht="20.149999999999999" customHeight="1">
      <c r="A6" s="27" t="s">
        <v>763</v>
      </c>
      <c r="B6" s="125" t="s">
        <v>762</v>
      </c>
      <c r="C6" s="17">
        <f>415.308</f>
        <v>415.30799999999999</v>
      </c>
      <c r="D6" s="17">
        <f>419.479</f>
        <v>419.47899999999998</v>
      </c>
      <c r="E6" s="30">
        <f>(425068)*0.001</f>
        <v>425.06799999999998</v>
      </c>
      <c r="F6" s="209">
        <f>(420060)*0.001</f>
        <v>420.06</v>
      </c>
      <c r="G6" s="30">
        <f>(419894)*0.001</f>
        <v>419.89400000000001</v>
      </c>
      <c r="H6" s="30">
        <f>(418521)*0.001</f>
        <v>418.52100000000002</v>
      </c>
      <c r="I6" s="30">
        <f>(409736)*0.001</f>
        <v>409.73599999999999</v>
      </c>
      <c r="J6" s="209">
        <f>(407579)*0.001</f>
        <v>407.57900000000001</v>
      </c>
      <c r="K6" s="40">
        <f>(395393)*0.001</f>
        <v>395.39300000000003</v>
      </c>
      <c r="L6" s="17">
        <v>384.8</v>
      </c>
      <c r="M6" s="17">
        <v>417</v>
      </c>
      <c r="N6" s="209">
        <v>421.1</v>
      </c>
      <c r="O6" s="17">
        <v>416.6</v>
      </c>
      <c r="P6" s="17">
        <v>401.1</v>
      </c>
      <c r="Q6" s="17">
        <v>377</v>
      </c>
      <c r="R6" s="209">
        <v>371</v>
      </c>
      <c r="S6" s="86">
        <v>356.7</v>
      </c>
      <c r="T6" s="86">
        <v>353.3</v>
      </c>
      <c r="U6" s="86">
        <v>350.4</v>
      </c>
      <c r="V6" s="209">
        <v>350.9</v>
      </c>
      <c r="W6" s="86">
        <v>342.2</v>
      </c>
      <c r="X6" s="86">
        <v>332.9</v>
      </c>
      <c r="Y6" s="86">
        <v>324</v>
      </c>
      <c r="Z6" s="209">
        <v>325.3</v>
      </c>
      <c r="AA6" s="86">
        <v>312.5</v>
      </c>
      <c r="AB6" s="86">
        <v>294.10000000000002</v>
      </c>
      <c r="AC6" s="86">
        <v>275.8</v>
      </c>
      <c r="AD6" s="209">
        <v>264.5</v>
      </c>
      <c r="AE6" s="86">
        <v>258.2</v>
      </c>
      <c r="AF6" s="86">
        <v>249.4</v>
      </c>
      <c r="AG6" s="34">
        <v>248.8</v>
      </c>
      <c r="AH6" s="209">
        <v>262.7</v>
      </c>
      <c r="AI6" s="86">
        <v>267.39999999999998</v>
      </c>
      <c r="AJ6" s="86">
        <v>277</v>
      </c>
      <c r="AK6" s="34">
        <v>288</v>
      </c>
      <c r="AL6" s="209">
        <v>293.39999999999998</v>
      </c>
      <c r="AM6" s="86">
        <v>297.3</v>
      </c>
      <c r="AN6" s="86">
        <v>288.60000000000002</v>
      </c>
      <c r="AO6" s="34">
        <v>279.89999999999998</v>
      </c>
      <c r="AP6" s="209">
        <v>284</v>
      </c>
      <c r="AQ6" s="86">
        <v>292.7</v>
      </c>
      <c r="AR6" s="752">
        <v>288.8</v>
      </c>
      <c r="AS6" s="752">
        <v>278.5</v>
      </c>
      <c r="AT6" s="209">
        <v>282</v>
      </c>
      <c r="AU6" s="86">
        <v>278.7</v>
      </c>
      <c r="AV6" s="880">
        <v>273.3</v>
      </c>
      <c r="AW6" s="906">
        <v>287.2</v>
      </c>
      <c r="AX6" s="978"/>
      <c r="AY6" s="986"/>
      <c r="AZ6" s="986"/>
      <c r="BA6" s="844"/>
      <c r="BB6" s="845"/>
      <c r="BC6" s="845"/>
    </row>
    <row r="7" spans="1:483" s="7" customFormat="1" ht="20.149999999999999" customHeight="1">
      <c r="A7" s="27" t="s">
        <v>161</v>
      </c>
      <c r="B7" s="125" t="s">
        <v>162</v>
      </c>
      <c r="C7" s="17">
        <f>258.7</f>
        <v>258.7</v>
      </c>
      <c r="D7" s="17">
        <f>258.506</f>
        <v>258.50599999999997</v>
      </c>
      <c r="E7" s="30">
        <f>(257043)*0.001</f>
        <v>257.04300000000001</v>
      </c>
      <c r="F7" s="209">
        <f>(276407)*0.001</f>
        <v>276.40699999999998</v>
      </c>
      <c r="G7" s="30">
        <f>(266252)*0.001</f>
        <v>266.25200000000001</v>
      </c>
      <c r="H7" s="30">
        <f>(265011)*0.001</f>
        <v>265.01100000000002</v>
      </c>
      <c r="I7" s="30">
        <f>(252063)*0.001</f>
        <v>252.06300000000002</v>
      </c>
      <c r="J7" s="209">
        <f>(251152)*0.001</f>
        <v>251.15200000000002</v>
      </c>
      <c r="K7" s="40">
        <f>(248178)*0.001</f>
        <v>248.178</v>
      </c>
      <c r="L7" s="16">
        <v>3010.6</v>
      </c>
      <c r="M7" s="16">
        <v>2933.8</v>
      </c>
      <c r="N7" s="209">
        <v>2714.9</v>
      </c>
      <c r="O7" s="17">
        <v>2855.8</v>
      </c>
      <c r="P7" s="17">
        <v>2541.1999999999998</v>
      </c>
      <c r="Q7" s="16">
        <v>2535.1999999999998</v>
      </c>
      <c r="R7" s="209">
        <v>2548.6</v>
      </c>
      <c r="S7" s="86">
        <v>3002.2</v>
      </c>
      <c r="T7" s="86">
        <v>2931</v>
      </c>
      <c r="U7" s="86">
        <v>2882.8</v>
      </c>
      <c r="V7" s="209">
        <v>2964.3</v>
      </c>
      <c r="W7" s="86">
        <v>2885.9</v>
      </c>
      <c r="X7" s="86">
        <v>2904.7</v>
      </c>
      <c r="Y7" s="86">
        <v>2866.4</v>
      </c>
      <c r="Z7" s="209">
        <v>2867.1</v>
      </c>
      <c r="AA7" s="86">
        <v>2797</v>
      </c>
      <c r="AB7" s="86">
        <v>4419.8999999999996</v>
      </c>
      <c r="AC7" s="86">
        <v>4438</v>
      </c>
      <c r="AD7" s="209">
        <v>4792.2</v>
      </c>
      <c r="AE7" s="86">
        <v>4720.3</v>
      </c>
      <c r="AF7" s="86">
        <v>4782.7</v>
      </c>
      <c r="AG7" s="34">
        <v>4797.3</v>
      </c>
      <c r="AH7" s="209">
        <v>4976.8999999999996</v>
      </c>
      <c r="AI7" s="86">
        <v>5004.3</v>
      </c>
      <c r="AJ7" s="86">
        <v>5041.8</v>
      </c>
      <c r="AK7" s="34">
        <v>5135.3999999999996</v>
      </c>
      <c r="AL7" s="209">
        <v>5391</v>
      </c>
      <c r="AM7" s="86">
        <v>2877.2</v>
      </c>
      <c r="AN7" s="86">
        <v>3072.7</v>
      </c>
      <c r="AO7" s="34">
        <v>3206.2</v>
      </c>
      <c r="AP7" s="209">
        <v>3326.9</v>
      </c>
      <c r="AQ7" s="86">
        <v>3375.4</v>
      </c>
      <c r="AR7" s="752">
        <v>3566.7</v>
      </c>
      <c r="AS7" s="752">
        <v>3481</v>
      </c>
      <c r="AT7" s="209">
        <v>3600.9</v>
      </c>
      <c r="AU7" s="86">
        <v>3601.5</v>
      </c>
      <c r="AV7" s="770">
        <v>3592.7</v>
      </c>
      <c r="AW7" s="770">
        <v>5680.9</v>
      </c>
      <c r="AX7" s="978">
        <v>6494.3</v>
      </c>
      <c r="AY7" s="986"/>
      <c r="AZ7" s="986"/>
      <c r="BA7" s="844"/>
      <c r="BB7" s="845"/>
      <c r="BC7" s="845"/>
    </row>
    <row r="8" spans="1:483" s="7" customFormat="1" ht="20.149999999999999" customHeight="1">
      <c r="A8" s="27" t="s">
        <v>163</v>
      </c>
      <c r="B8" s="125" t="s">
        <v>164</v>
      </c>
      <c r="C8" s="17">
        <f>2422.989</f>
        <v>2422.989</v>
      </c>
      <c r="D8" s="17">
        <f>2575.456</f>
        <v>2575.4560000000001</v>
      </c>
      <c r="E8" s="17">
        <f>(2575456)*0.001</f>
        <v>2575.4560000000001</v>
      </c>
      <c r="F8" s="210">
        <f>(2568033)*0.001</f>
        <v>2568.0329999999999</v>
      </c>
      <c r="G8" s="17">
        <f>(2568033)*0.001</f>
        <v>2568.0329999999999</v>
      </c>
      <c r="H8" s="17">
        <f>(2568033)*0.001</f>
        <v>2568.0329999999999</v>
      </c>
      <c r="I8" s="17">
        <f>(2637594)*0.001</f>
        <v>2637.5940000000001</v>
      </c>
      <c r="J8" s="210">
        <f>(2602804)*0.001</f>
        <v>2602.8040000000001</v>
      </c>
      <c r="K8" s="17">
        <f>(2602804)*0.001</f>
        <v>2602.8040000000001</v>
      </c>
      <c r="L8" s="16">
        <v>11735.5</v>
      </c>
      <c r="M8" s="16">
        <v>11735.5</v>
      </c>
      <c r="N8" s="210">
        <v>10585.3</v>
      </c>
      <c r="O8" s="17">
        <v>10831.2</v>
      </c>
      <c r="P8" s="17">
        <v>10606.4</v>
      </c>
      <c r="Q8" s="16">
        <v>10606.4</v>
      </c>
      <c r="R8" s="210">
        <v>10606.4</v>
      </c>
      <c r="S8" s="86">
        <v>11675.3</v>
      </c>
      <c r="T8" s="86">
        <v>10975.2</v>
      </c>
      <c r="U8" s="86">
        <v>10975.3</v>
      </c>
      <c r="V8" s="210">
        <v>10975.4</v>
      </c>
      <c r="W8" s="86">
        <v>10975.4</v>
      </c>
      <c r="X8" s="86">
        <v>10975.4</v>
      </c>
      <c r="Y8" s="86">
        <v>10975.4</v>
      </c>
      <c r="Z8" s="210">
        <v>11041.7</v>
      </c>
      <c r="AA8" s="86">
        <v>11060.5</v>
      </c>
      <c r="AB8" s="86">
        <v>11530</v>
      </c>
      <c r="AC8" s="86">
        <v>11519.3</v>
      </c>
      <c r="AD8" s="210">
        <v>11309.4</v>
      </c>
      <c r="AE8" s="86">
        <v>11309.4</v>
      </c>
      <c r="AF8" s="86">
        <v>11316.4</v>
      </c>
      <c r="AG8" s="34">
        <v>11316.4</v>
      </c>
      <c r="AH8" s="210">
        <v>11336.4</v>
      </c>
      <c r="AI8" s="86">
        <v>11349.5</v>
      </c>
      <c r="AJ8" s="86">
        <v>11349.5</v>
      </c>
      <c r="AK8" s="34">
        <v>11801.8</v>
      </c>
      <c r="AL8" s="210">
        <v>11808.4</v>
      </c>
      <c r="AM8" s="86">
        <v>11808.4</v>
      </c>
      <c r="AN8" s="86">
        <v>10664.9</v>
      </c>
      <c r="AO8" s="34">
        <v>10809</v>
      </c>
      <c r="AP8" s="210">
        <v>10802</v>
      </c>
      <c r="AQ8" s="86">
        <v>10831.9</v>
      </c>
      <c r="AR8" s="752">
        <v>10788</v>
      </c>
      <c r="AS8" s="752">
        <v>10810.9</v>
      </c>
      <c r="AT8" s="210">
        <v>10818.1</v>
      </c>
      <c r="AU8" s="86">
        <v>10818.2</v>
      </c>
      <c r="AV8" s="770">
        <v>10818.2</v>
      </c>
      <c r="AW8" s="770">
        <v>11276.7</v>
      </c>
      <c r="AX8" s="978">
        <v>10980.2</v>
      </c>
      <c r="AY8" s="986"/>
      <c r="AZ8" s="986"/>
      <c r="BA8" s="844"/>
      <c r="BB8" s="845"/>
      <c r="BC8" s="845"/>
    </row>
    <row r="9" spans="1:483" s="7" customFormat="1" ht="20.149999999999999" customHeight="1">
      <c r="A9" s="27" t="s">
        <v>165</v>
      </c>
      <c r="B9" s="126" t="s">
        <v>166</v>
      </c>
      <c r="C9" s="18">
        <f>0</f>
        <v>0</v>
      </c>
      <c r="D9" s="18">
        <v>0</v>
      </c>
      <c r="E9" s="18">
        <f>0</f>
        <v>0</v>
      </c>
      <c r="F9" s="211">
        <v>0</v>
      </c>
      <c r="G9" s="18">
        <f>0</f>
        <v>0</v>
      </c>
      <c r="H9" s="18">
        <f>0</f>
        <v>0</v>
      </c>
      <c r="I9" s="18">
        <f>0</f>
        <v>0</v>
      </c>
      <c r="J9" s="211">
        <f>0</f>
        <v>0</v>
      </c>
      <c r="K9" s="31">
        <v>0</v>
      </c>
      <c r="L9" s="16">
        <v>4482</v>
      </c>
      <c r="M9" s="16">
        <v>4331.8999999999996</v>
      </c>
      <c r="N9" s="211">
        <v>4255.8</v>
      </c>
      <c r="O9" s="20">
        <v>4002.2</v>
      </c>
      <c r="P9" s="20">
        <v>3944.6</v>
      </c>
      <c r="Q9" s="16">
        <v>3791.6</v>
      </c>
      <c r="R9" s="211">
        <v>3638.5</v>
      </c>
      <c r="S9" s="34">
        <v>3488.7</v>
      </c>
      <c r="T9" s="34">
        <v>3337.3</v>
      </c>
      <c r="U9" s="34">
        <v>3184.2</v>
      </c>
      <c r="V9" s="211">
        <v>3031.2</v>
      </c>
      <c r="W9" s="34">
        <v>2883.1</v>
      </c>
      <c r="X9" s="34">
        <v>2762.8</v>
      </c>
      <c r="Y9" s="34">
        <v>2660.5</v>
      </c>
      <c r="Z9" s="211">
        <v>2557.3000000000002</v>
      </c>
      <c r="AA9" s="86">
        <v>2458.6</v>
      </c>
      <c r="AB9" s="85">
        <v>2358.6999999999998</v>
      </c>
      <c r="AC9" s="86">
        <v>2257.6999999999998</v>
      </c>
      <c r="AD9" s="211">
        <v>2212.1999999999998</v>
      </c>
      <c r="AE9" s="86">
        <v>2111.6</v>
      </c>
      <c r="AF9" s="34">
        <v>2009.9</v>
      </c>
      <c r="AG9" s="34">
        <v>1907</v>
      </c>
      <c r="AH9" s="211">
        <v>1821.4</v>
      </c>
      <c r="AI9" s="86">
        <v>1723.5</v>
      </c>
      <c r="AJ9" s="34">
        <v>1620.6</v>
      </c>
      <c r="AK9" s="34">
        <v>1516.7</v>
      </c>
      <c r="AL9" s="210">
        <v>1412.7</v>
      </c>
      <c r="AM9" s="86">
        <v>1310.9</v>
      </c>
      <c r="AN9" s="86">
        <v>1208</v>
      </c>
      <c r="AO9" s="34">
        <v>1110</v>
      </c>
      <c r="AP9" s="210">
        <v>1005.7</v>
      </c>
      <c r="AQ9" s="86">
        <v>903.6</v>
      </c>
      <c r="AR9" s="752">
        <v>858.2</v>
      </c>
      <c r="AS9" s="752">
        <v>750.9</v>
      </c>
      <c r="AT9" s="210">
        <v>643.70000000000005</v>
      </c>
      <c r="AU9" s="86">
        <v>538.70000000000005</v>
      </c>
      <c r="AV9" s="769">
        <v>432.6</v>
      </c>
      <c r="AW9" s="770">
        <v>325.3</v>
      </c>
      <c r="AX9" s="978">
        <v>300.2</v>
      </c>
      <c r="AY9" s="986"/>
      <c r="AZ9" s="986"/>
      <c r="BA9" s="844"/>
      <c r="BB9" s="845"/>
      <c r="BC9" s="845"/>
    </row>
    <row r="10" spans="1:483" s="7" customFormat="1" ht="20.149999999999999" customHeight="1">
      <c r="A10" s="27" t="s">
        <v>167</v>
      </c>
      <c r="B10" s="125" t="s">
        <v>168</v>
      </c>
      <c r="C10" s="17">
        <f>840</f>
        <v>840</v>
      </c>
      <c r="D10" s="30">
        <f>(840000)*0.001</f>
        <v>840</v>
      </c>
      <c r="E10" s="30">
        <f>(840000)*0.001</f>
        <v>840</v>
      </c>
      <c r="F10" s="209">
        <f>(847800)*0.001</f>
        <v>847.80000000000007</v>
      </c>
      <c r="G10" s="30">
        <f>(847800)*0.001</f>
        <v>847.80000000000007</v>
      </c>
      <c r="H10" s="30">
        <f>(847800)*0.001</f>
        <v>847.80000000000007</v>
      </c>
      <c r="I10" s="30">
        <f>(847800)*0.001</f>
        <v>847.80000000000007</v>
      </c>
      <c r="J10" s="209">
        <f>(890800)*0.001</f>
        <v>890.80000000000007</v>
      </c>
      <c r="K10" s="40">
        <f>(890800)*0.001</f>
        <v>890.80000000000007</v>
      </c>
      <c r="L10" s="21">
        <v>890.8</v>
      </c>
      <c r="M10" s="21">
        <v>890.8</v>
      </c>
      <c r="N10" s="209">
        <v>2085.9</v>
      </c>
      <c r="O10" s="17">
        <v>1783.7</v>
      </c>
      <c r="P10" s="17">
        <v>2092.6999999999998</v>
      </c>
      <c r="Q10" s="21">
        <v>2086.6</v>
      </c>
      <c r="R10" s="209">
        <v>2080.6</v>
      </c>
      <c r="S10" s="86">
        <v>2074.6</v>
      </c>
      <c r="T10" s="86">
        <v>2068.6</v>
      </c>
      <c r="U10" s="86">
        <v>2062.5</v>
      </c>
      <c r="V10" s="209">
        <v>2056.5</v>
      </c>
      <c r="W10" s="86">
        <v>2050.5</v>
      </c>
      <c r="X10" s="86">
        <v>2044.4</v>
      </c>
      <c r="Y10" s="86">
        <v>2038.4</v>
      </c>
      <c r="Z10" s="209">
        <v>2037.1</v>
      </c>
      <c r="AA10" s="86">
        <v>2031</v>
      </c>
      <c r="AB10" s="86">
        <v>2024.8</v>
      </c>
      <c r="AC10" s="86">
        <v>2019</v>
      </c>
      <c r="AD10" s="209">
        <v>2096.1</v>
      </c>
      <c r="AE10" s="86">
        <v>2087.9</v>
      </c>
      <c r="AF10" s="86">
        <v>2079.6999999999998</v>
      </c>
      <c r="AG10" s="34">
        <v>2071.4</v>
      </c>
      <c r="AH10" s="209">
        <v>2063.1999999999998</v>
      </c>
      <c r="AI10" s="86">
        <v>2054.9</v>
      </c>
      <c r="AJ10" s="86">
        <v>2048.1999999999998</v>
      </c>
      <c r="AK10" s="34">
        <v>2040</v>
      </c>
      <c r="AL10" s="209">
        <v>2031.7</v>
      </c>
      <c r="AM10" s="86">
        <v>2023.5</v>
      </c>
      <c r="AN10" s="86">
        <v>2095.1999999999998</v>
      </c>
      <c r="AO10" s="34">
        <v>2078.5</v>
      </c>
      <c r="AP10" s="209">
        <v>2069.6</v>
      </c>
      <c r="AQ10" s="86">
        <v>2060.6</v>
      </c>
      <c r="AR10" s="752">
        <v>2079.1999999999998</v>
      </c>
      <c r="AS10" s="752">
        <v>2070.1</v>
      </c>
      <c r="AT10" s="209">
        <v>2060.9</v>
      </c>
      <c r="AU10" s="86">
        <v>2041.2</v>
      </c>
      <c r="AV10" s="770">
        <v>2021.5</v>
      </c>
      <c r="AW10" s="770">
        <v>2000</v>
      </c>
      <c r="AX10" s="978">
        <v>1979.7</v>
      </c>
      <c r="AY10" s="986"/>
      <c r="AZ10" s="986"/>
      <c r="BA10" s="844"/>
      <c r="BB10" s="845"/>
      <c r="BC10" s="845"/>
    </row>
    <row r="11" spans="1:483" s="7" customFormat="1" ht="20.149999999999999" customHeight="1">
      <c r="A11" s="27" t="s">
        <v>169</v>
      </c>
      <c r="B11" s="125" t="s">
        <v>170</v>
      </c>
      <c r="C11" s="17">
        <f>69.466</f>
        <v>69.465999999999994</v>
      </c>
      <c r="D11" s="30">
        <f>(69627)*0.001</f>
        <v>69.626999999999995</v>
      </c>
      <c r="E11" s="30">
        <f>(68459)*0.001</f>
        <v>68.459000000000003</v>
      </c>
      <c r="F11" s="209">
        <f>(81380)*0.001</f>
        <v>81.38</v>
      </c>
      <c r="G11" s="30">
        <f>(82841)*0.001</f>
        <v>82.841000000000008</v>
      </c>
      <c r="H11" s="30">
        <f>(83804)*0.001</f>
        <v>83.804000000000002</v>
      </c>
      <c r="I11" s="30">
        <f>(115337)*0.001</f>
        <v>115.337</v>
      </c>
      <c r="J11" s="209">
        <f>(137401)*0.001</f>
        <v>137.40100000000001</v>
      </c>
      <c r="K11" s="40">
        <f>(136697)*0.001</f>
        <v>136.697</v>
      </c>
      <c r="L11" s="16">
        <v>2360.6</v>
      </c>
      <c r="M11" s="16">
        <v>2624.2</v>
      </c>
      <c r="N11" s="209">
        <v>2591.4</v>
      </c>
      <c r="O11" s="17">
        <v>2527.5</v>
      </c>
      <c r="P11" s="17">
        <v>2525.8000000000002</v>
      </c>
      <c r="Q11" s="16">
        <v>2464.1999999999998</v>
      </c>
      <c r="R11" s="209">
        <v>2422.1999999999998</v>
      </c>
      <c r="S11" s="86">
        <v>2988.7</v>
      </c>
      <c r="T11" s="86">
        <v>3903</v>
      </c>
      <c r="U11" s="86">
        <v>3769.5</v>
      </c>
      <c r="V11" s="209">
        <v>3656.2</v>
      </c>
      <c r="W11" s="86">
        <v>3540.5</v>
      </c>
      <c r="X11" s="86">
        <v>3471.1</v>
      </c>
      <c r="Y11" s="86">
        <v>3343.6</v>
      </c>
      <c r="Z11" s="209">
        <v>3261.5</v>
      </c>
      <c r="AA11" s="86">
        <v>3146.4</v>
      </c>
      <c r="AB11" s="86">
        <v>3097.5</v>
      </c>
      <c r="AC11" s="86">
        <v>3015.6</v>
      </c>
      <c r="AD11" s="209">
        <v>3005.5</v>
      </c>
      <c r="AE11" s="86">
        <v>2967.8</v>
      </c>
      <c r="AF11" s="86">
        <v>2943.7</v>
      </c>
      <c r="AG11" s="34">
        <v>2911.7</v>
      </c>
      <c r="AH11" s="209">
        <v>2857.8</v>
      </c>
      <c r="AI11" s="86">
        <v>2749.9</v>
      </c>
      <c r="AJ11" s="86">
        <v>2648.1</v>
      </c>
      <c r="AK11" s="34">
        <v>2602.3000000000002</v>
      </c>
      <c r="AL11" s="209">
        <v>2616.4</v>
      </c>
      <c r="AM11" s="86">
        <v>2503.3000000000002</v>
      </c>
      <c r="AN11" s="86">
        <v>2462.9</v>
      </c>
      <c r="AO11" s="34">
        <v>2400.1</v>
      </c>
      <c r="AP11" s="209">
        <v>2374.1</v>
      </c>
      <c r="AQ11" s="86">
        <v>2299.9</v>
      </c>
      <c r="AR11" s="752">
        <v>2228.9</v>
      </c>
      <c r="AS11" s="752">
        <v>2165.4</v>
      </c>
      <c r="AT11" s="209">
        <v>3340.6</v>
      </c>
      <c r="AU11" s="86">
        <v>3255.2</v>
      </c>
      <c r="AV11" s="770">
        <v>3166.5</v>
      </c>
      <c r="AW11" s="770">
        <v>3450.2</v>
      </c>
      <c r="AX11" s="978">
        <v>4835.8</v>
      </c>
      <c r="AY11" s="986"/>
      <c r="AZ11" s="986"/>
      <c r="BA11" s="844"/>
      <c r="BB11" s="845"/>
      <c r="BC11" s="845"/>
    </row>
    <row r="12" spans="1:483" s="7" customFormat="1" ht="20.149999999999999" customHeight="1">
      <c r="A12" s="27" t="s">
        <v>171</v>
      </c>
      <c r="B12" s="127" t="s">
        <v>172</v>
      </c>
      <c r="C12" s="17"/>
      <c r="D12" s="30"/>
      <c r="E12" s="30"/>
      <c r="F12" s="209"/>
      <c r="G12" s="30"/>
      <c r="H12" s="30"/>
      <c r="I12" s="30"/>
      <c r="J12" s="209"/>
      <c r="K12" s="40"/>
      <c r="L12" s="16"/>
      <c r="M12" s="16"/>
      <c r="N12" s="209"/>
      <c r="O12" s="17"/>
      <c r="P12" s="17"/>
      <c r="Q12" s="16"/>
      <c r="R12" s="209"/>
      <c r="S12" s="86"/>
      <c r="T12" s="86"/>
      <c r="U12" s="86"/>
      <c r="V12" s="209"/>
      <c r="W12" s="86"/>
      <c r="X12" s="86"/>
      <c r="Y12" s="86"/>
      <c r="Z12" s="209"/>
      <c r="AA12" s="86"/>
      <c r="AB12" s="86"/>
      <c r="AC12" s="86"/>
      <c r="AD12" s="209"/>
      <c r="AE12" s="86">
        <v>1482</v>
      </c>
      <c r="AF12" s="86">
        <v>1408.2</v>
      </c>
      <c r="AG12" s="34">
        <v>1340.8</v>
      </c>
      <c r="AH12" s="209">
        <v>1420.3</v>
      </c>
      <c r="AI12" s="86">
        <v>1383.8</v>
      </c>
      <c r="AJ12" s="86">
        <v>1410.2</v>
      </c>
      <c r="AK12" s="34">
        <v>1398.7</v>
      </c>
      <c r="AL12" s="209">
        <v>1519.4</v>
      </c>
      <c r="AM12" s="86">
        <v>727</v>
      </c>
      <c r="AN12" s="86">
        <v>712.6</v>
      </c>
      <c r="AO12" s="34">
        <v>685.2</v>
      </c>
      <c r="AP12" s="209">
        <v>696.5</v>
      </c>
      <c r="AQ12" s="86">
        <v>671.8</v>
      </c>
      <c r="AR12" s="752">
        <v>545.79999999999995</v>
      </c>
      <c r="AS12" s="752">
        <v>517.5</v>
      </c>
      <c r="AT12" s="209">
        <v>527</v>
      </c>
      <c r="AU12" s="86">
        <v>527</v>
      </c>
      <c r="AV12" s="769">
        <v>520.5</v>
      </c>
      <c r="AW12" s="769">
        <v>597.9</v>
      </c>
      <c r="AX12" s="978">
        <v>644.6</v>
      </c>
      <c r="AY12" s="986"/>
      <c r="AZ12" s="986"/>
      <c r="BA12" s="844"/>
      <c r="BB12" s="845"/>
      <c r="BC12" s="845"/>
    </row>
    <row r="13" spans="1:483" s="7" customFormat="1" ht="20.149999999999999" customHeight="1">
      <c r="A13" s="27" t="s">
        <v>173</v>
      </c>
      <c r="B13" s="125" t="s">
        <v>174</v>
      </c>
      <c r="C13" s="17">
        <f>91.415</f>
        <v>91.415000000000006</v>
      </c>
      <c r="D13" s="30">
        <f>(95405)*0.001</f>
        <v>95.405000000000001</v>
      </c>
      <c r="E13" s="30">
        <f>(95323)*0.001</f>
        <v>95.323000000000008</v>
      </c>
      <c r="F13" s="209">
        <f>(97988)*0.001</f>
        <v>97.988</v>
      </c>
      <c r="G13" s="30">
        <f>(104074)*0.001</f>
        <v>104.074</v>
      </c>
      <c r="H13" s="30">
        <f>(115904)*0.001</f>
        <v>115.904</v>
      </c>
      <c r="I13" s="30">
        <f>(82162)*0.001</f>
        <v>82.162000000000006</v>
      </c>
      <c r="J13" s="209">
        <f>(71571)*0.001</f>
        <v>71.570999999999998</v>
      </c>
      <c r="K13" s="40">
        <f>(107548)*0.001</f>
        <v>107.548</v>
      </c>
      <c r="L13" s="21">
        <v>128.1</v>
      </c>
      <c r="M13" s="21">
        <v>148.80000000000001</v>
      </c>
      <c r="N13" s="209">
        <v>135.80000000000001</v>
      </c>
      <c r="O13" s="17">
        <v>158.69999999999999</v>
      </c>
      <c r="P13" s="17">
        <v>174.6</v>
      </c>
      <c r="Q13" s="21">
        <v>109</v>
      </c>
      <c r="R13" s="209">
        <v>145</v>
      </c>
      <c r="S13" s="86">
        <v>129.80000000000001</v>
      </c>
      <c r="T13" s="86">
        <v>156.19999999999999</v>
      </c>
      <c r="U13" s="86">
        <v>125.6</v>
      </c>
      <c r="V13" s="209">
        <v>151.80000000000001</v>
      </c>
      <c r="W13" s="86">
        <v>150</v>
      </c>
      <c r="X13" s="86">
        <v>167.3</v>
      </c>
      <c r="Y13" s="86">
        <v>180.5</v>
      </c>
      <c r="Z13" s="209">
        <v>170.1</v>
      </c>
      <c r="AA13" s="86">
        <v>170.1</v>
      </c>
      <c r="AB13" s="86">
        <v>211.1</v>
      </c>
      <c r="AC13" s="86">
        <v>584.29999999999995</v>
      </c>
      <c r="AD13" s="209">
        <v>503.8</v>
      </c>
      <c r="AE13" s="86">
        <v>474</v>
      </c>
      <c r="AF13" s="86">
        <v>517.5</v>
      </c>
      <c r="AG13" s="34">
        <v>445.4</v>
      </c>
      <c r="AH13" s="209">
        <v>402.6</v>
      </c>
      <c r="AI13" s="86">
        <v>330.4</v>
      </c>
      <c r="AJ13" s="86">
        <v>270.8</v>
      </c>
      <c r="AK13" s="34">
        <v>261.60000000000002</v>
      </c>
      <c r="AL13" s="209">
        <v>282.5</v>
      </c>
      <c r="AM13" s="86">
        <v>290.5</v>
      </c>
      <c r="AN13" s="86">
        <v>243.3</v>
      </c>
      <c r="AO13" s="34">
        <v>542.29999999999995</v>
      </c>
      <c r="AP13" s="209">
        <v>739.4</v>
      </c>
      <c r="AQ13" s="86">
        <v>460.9</v>
      </c>
      <c r="AR13" s="752">
        <v>606</v>
      </c>
      <c r="AS13" s="752">
        <v>442.8</v>
      </c>
      <c r="AT13" s="209">
        <v>501.8</v>
      </c>
      <c r="AU13" s="86">
        <v>372.3</v>
      </c>
      <c r="AV13" s="881">
        <v>342</v>
      </c>
      <c r="AW13" s="769">
        <v>327.9</v>
      </c>
      <c r="AX13" s="978">
        <v>304.8</v>
      </c>
      <c r="AY13" s="986"/>
      <c r="AZ13" s="986"/>
      <c r="BA13" s="844"/>
      <c r="BB13" s="845"/>
      <c r="BC13" s="845"/>
    </row>
    <row r="14" spans="1:483" s="7" customFormat="1" ht="20.149999999999999" customHeight="1">
      <c r="A14" s="27" t="s">
        <v>175</v>
      </c>
      <c r="B14" s="125" t="s">
        <v>176</v>
      </c>
      <c r="C14" s="17">
        <f>8.419</f>
        <v>8.4190000000000005</v>
      </c>
      <c r="D14" s="30">
        <f>(8398)*0.001</f>
        <v>8.3979999999999997</v>
      </c>
      <c r="E14" s="30">
        <f>(8378)*0.001</f>
        <v>8.3780000000000001</v>
      </c>
      <c r="F14" s="209">
        <f>(8357)*0.001</f>
        <v>8.3569999999999993</v>
      </c>
      <c r="G14" s="30">
        <f>(8336)*0.001</f>
        <v>8.3360000000000003</v>
      </c>
      <c r="H14" s="30">
        <f>(7788)*0.001</f>
        <v>7.7880000000000003</v>
      </c>
      <c r="I14" s="30">
        <f>(7427)*0.001</f>
        <v>7.4270000000000005</v>
      </c>
      <c r="J14" s="209">
        <f>(5330)*0.001</f>
        <v>5.33</v>
      </c>
      <c r="K14" s="40">
        <f>(5315)*0.001</f>
        <v>5.3150000000000004</v>
      </c>
      <c r="L14" s="21">
        <v>5.3</v>
      </c>
      <c r="M14" s="21">
        <v>5.3</v>
      </c>
      <c r="N14" s="209">
        <v>5.3</v>
      </c>
      <c r="O14" s="17">
        <v>5.2</v>
      </c>
      <c r="P14" s="17">
        <v>5.2</v>
      </c>
      <c r="Q14" s="21">
        <v>5.2</v>
      </c>
      <c r="R14" s="209">
        <v>5.2</v>
      </c>
      <c r="S14" s="86">
        <v>5.2</v>
      </c>
      <c r="T14" s="86">
        <v>5.2</v>
      </c>
      <c r="U14" s="86">
        <v>5.2</v>
      </c>
      <c r="V14" s="209">
        <v>5.0999999999999996</v>
      </c>
      <c r="W14" s="86">
        <v>5.0999999999999996</v>
      </c>
      <c r="X14" s="86">
        <v>5.0999999999999996</v>
      </c>
      <c r="Y14" s="86">
        <v>5.0999999999999996</v>
      </c>
      <c r="Z14" s="209">
        <v>5.0999999999999996</v>
      </c>
      <c r="AA14" s="86">
        <v>5.0999999999999996</v>
      </c>
      <c r="AB14" s="86">
        <v>30</v>
      </c>
      <c r="AC14" s="86">
        <v>29.9</v>
      </c>
      <c r="AD14" s="209">
        <v>29.9</v>
      </c>
      <c r="AE14" s="86">
        <v>29.7</v>
      </c>
      <c r="AF14" s="86">
        <v>29.6</v>
      </c>
      <c r="AG14" s="86">
        <v>29.5</v>
      </c>
      <c r="AH14" s="209">
        <v>29.4</v>
      </c>
      <c r="AI14" s="86">
        <v>29.3</v>
      </c>
      <c r="AJ14" s="86">
        <v>29.1</v>
      </c>
      <c r="AK14" s="86">
        <v>29</v>
      </c>
      <c r="AL14" s="209">
        <v>50</v>
      </c>
      <c r="AM14" s="86">
        <v>50.2</v>
      </c>
      <c r="AN14" s="86">
        <v>49.8</v>
      </c>
      <c r="AO14" s="86">
        <v>49.7</v>
      </c>
      <c r="AP14" s="209">
        <v>28.4</v>
      </c>
      <c r="AQ14" s="86">
        <v>28.3</v>
      </c>
      <c r="AR14" s="752">
        <v>1103.5</v>
      </c>
      <c r="AS14" s="752">
        <v>1107.0999999999999</v>
      </c>
      <c r="AT14" s="209">
        <v>647</v>
      </c>
      <c r="AU14" s="86">
        <v>652.4</v>
      </c>
      <c r="AV14" s="769">
        <v>594.1</v>
      </c>
      <c r="AW14" s="881">
        <v>579.79999999999995</v>
      </c>
      <c r="AX14" s="978">
        <v>700</v>
      </c>
      <c r="AY14" s="986"/>
      <c r="AZ14" s="986"/>
      <c r="BA14" s="844"/>
      <c r="BB14" s="844"/>
      <c r="BC14" s="845"/>
    </row>
    <row r="15" spans="1:483" s="7" customFormat="1" ht="20.149999999999999" customHeight="1">
      <c r="A15" s="27" t="s">
        <v>177</v>
      </c>
      <c r="B15" s="125" t="s">
        <v>178</v>
      </c>
      <c r="C15" s="45">
        <v>0</v>
      </c>
      <c r="D15" s="41">
        <f>(33259)*0.001</f>
        <v>33.259</v>
      </c>
      <c r="E15" s="41">
        <f>(33252)*0.001</f>
        <v>33.252000000000002</v>
      </c>
      <c r="F15" s="212">
        <f>(35125)*0.001</f>
        <v>35.125</v>
      </c>
      <c r="G15" s="41">
        <f>(34399)*0.001</f>
        <v>34.399000000000001</v>
      </c>
      <c r="H15" s="41">
        <f>(32935)*0.001</f>
        <v>32.935000000000002</v>
      </c>
      <c r="I15" s="41">
        <f>(29318)*0.001</f>
        <v>29.318000000000001</v>
      </c>
      <c r="J15" s="212">
        <f>(29551)*0.001</f>
        <v>29.551000000000002</v>
      </c>
      <c r="K15" s="42">
        <f>(26502)*0.001</f>
        <v>26.501999999999999</v>
      </c>
      <c r="L15" s="21">
        <v>46.2</v>
      </c>
      <c r="M15" s="21">
        <v>67</v>
      </c>
      <c r="N15" s="212">
        <v>81</v>
      </c>
      <c r="O15" s="17">
        <v>84.1</v>
      </c>
      <c r="P15" s="17">
        <v>82.3</v>
      </c>
      <c r="Q15" s="21">
        <v>81.2</v>
      </c>
      <c r="R15" s="212">
        <v>83.3</v>
      </c>
      <c r="S15" s="86">
        <v>81.099999999999994</v>
      </c>
      <c r="T15" s="86">
        <v>79.7</v>
      </c>
      <c r="U15" s="86">
        <v>80.400000000000006</v>
      </c>
      <c r="V15" s="212">
        <v>82.8</v>
      </c>
      <c r="W15" s="86">
        <v>83.8</v>
      </c>
      <c r="X15" s="86">
        <v>82.9</v>
      </c>
      <c r="Y15" s="86">
        <v>85.8</v>
      </c>
      <c r="Z15" s="212">
        <v>91.4</v>
      </c>
      <c r="AA15" s="86">
        <v>90.4</v>
      </c>
      <c r="AB15" s="86">
        <v>93</v>
      </c>
      <c r="AC15" s="86">
        <v>94.8</v>
      </c>
      <c r="AD15" s="212">
        <v>99.7</v>
      </c>
      <c r="AE15" s="86">
        <v>97.9</v>
      </c>
      <c r="AF15" s="86">
        <v>93.9</v>
      </c>
      <c r="AG15" s="86">
        <v>98.1</v>
      </c>
      <c r="AH15" s="212">
        <v>100.5</v>
      </c>
      <c r="AI15" s="86">
        <v>96</v>
      </c>
      <c r="AJ15" s="86">
        <v>91.1</v>
      </c>
      <c r="AK15" s="86">
        <v>94.9</v>
      </c>
      <c r="AL15" s="212">
        <v>93.5</v>
      </c>
      <c r="AM15" s="86">
        <v>90.6</v>
      </c>
      <c r="AN15" s="86">
        <v>82.1</v>
      </c>
      <c r="AO15" s="86">
        <v>77.099999999999994</v>
      </c>
      <c r="AP15" s="212">
        <v>73.5</v>
      </c>
      <c r="AQ15" s="86">
        <v>72.599999999999994</v>
      </c>
      <c r="AR15" s="752">
        <v>75</v>
      </c>
      <c r="AS15" s="752">
        <v>77.099999999999994</v>
      </c>
      <c r="AT15" s="212">
        <v>79.8</v>
      </c>
      <c r="AU15" s="86">
        <v>79.8</v>
      </c>
      <c r="AV15" s="769">
        <v>76.3</v>
      </c>
      <c r="AW15" s="769">
        <v>77.7</v>
      </c>
      <c r="AX15" s="978">
        <v>85</v>
      </c>
      <c r="AY15" s="986"/>
      <c r="AZ15" s="986"/>
      <c r="BA15" s="844"/>
      <c r="BB15" s="845"/>
      <c r="BC15" s="845"/>
    </row>
    <row r="16" spans="1:483" s="7" customFormat="1" ht="20.149999999999999" customHeight="1">
      <c r="A16" s="27" t="s">
        <v>179</v>
      </c>
      <c r="B16" s="128" t="s">
        <v>180</v>
      </c>
      <c r="C16" s="24">
        <v>0</v>
      </c>
      <c r="D16" s="24">
        <v>0</v>
      </c>
      <c r="E16" s="24">
        <v>0</v>
      </c>
      <c r="F16" s="213">
        <v>0</v>
      </c>
      <c r="G16" s="24">
        <v>0</v>
      </c>
      <c r="H16" s="24">
        <v>0</v>
      </c>
      <c r="I16" s="24">
        <v>0</v>
      </c>
      <c r="J16" s="213">
        <v>0</v>
      </c>
      <c r="K16" s="24">
        <v>0</v>
      </c>
      <c r="L16" s="24">
        <v>0</v>
      </c>
      <c r="M16" s="24">
        <v>0</v>
      </c>
      <c r="N16" s="213">
        <v>0</v>
      </c>
      <c r="O16" s="24">
        <v>0</v>
      </c>
      <c r="P16" s="24">
        <v>0</v>
      </c>
      <c r="Q16" s="24">
        <v>0</v>
      </c>
      <c r="R16" s="213">
        <v>0</v>
      </c>
      <c r="S16" s="86">
        <v>180.5</v>
      </c>
      <c r="T16" s="86">
        <v>0</v>
      </c>
      <c r="U16" s="86">
        <v>0</v>
      </c>
      <c r="V16" s="213">
        <v>0</v>
      </c>
      <c r="W16" s="86">
        <v>0</v>
      </c>
      <c r="X16" s="86">
        <v>0</v>
      </c>
      <c r="Y16" s="86">
        <v>0</v>
      </c>
      <c r="Z16" s="213">
        <v>0</v>
      </c>
      <c r="AA16" s="86">
        <v>0</v>
      </c>
      <c r="AB16" s="86">
        <v>0</v>
      </c>
      <c r="AC16" s="86">
        <v>0</v>
      </c>
      <c r="AD16" s="213">
        <v>0</v>
      </c>
      <c r="AE16" s="86">
        <v>0</v>
      </c>
      <c r="AF16" s="86">
        <v>0</v>
      </c>
      <c r="AG16" s="86">
        <v>0</v>
      </c>
      <c r="AH16" s="213">
        <v>0</v>
      </c>
      <c r="AI16" s="86">
        <v>0</v>
      </c>
      <c r="AJ16" s="86">
        <v>0</v>
      </c>
      <c r="AK16" s="86">
        <v>0</v>
      </c>
      <c r="AL16" s="213">
        <v>0</v>
      </c>
      <c r="AM16" s="86">
        <v>0</v>
      </c>
      <c r="AN16" s="86">
        <v>0</v>
      </c>
      <c r="AO16" s="86">
        <v>0</v>
      </c>
      <c r="AP16" s="213">
        <v>0</v>
      </c>
      <c r="AQ16" s="86">
        <v>0</v>
      </c>
      <c r="AR16" s="752">
        <v>0</v>
      </c>
      <c r="AS16" s="752">
        <v>0</v>
      </c>
      <c r="AT16" s="213">
        <v>0</v>
      </c>
      <c r="AU16" s="86">
        <v>0</v>
      </c>
      <c r="AV16" s="752">
        <v>0</v>
      </c>
      <c r="AW16" s="752">
        <v>0</v>
      </c>
      <c r="AX16" s="992">
        <v>0</v>
      </c>
      <c r="AY16" s="986"/>
      <c r="AZ16" s="986"/>
      <c r="BA16" s="844"/>
      <c r="BB16" s="845"/>
      <c r="BC16" s="845"/>
      <c r="BN16" s="844"/>
    </row>
    <row r="17" spans="1:56" s="7" customFormat="1" ht="20.149999999999999" customHeight="1">
      <c r="A17" s="27" t="s">
        <v>181</v>
      </c>
      <c r="B17" s="128" t="s">
        <v>182</v>
      </c>
      <c r="C17" s="24"/>
      <c r="D17" s="24"/>
      <c r="E17" s="24"/>
      <c r="F17" s="213"/>
      <c r="G17" s="24"/>
      <c r="H17" s="24"/>
      <c r="I17" s="24"/>
      <c r="J17" s="213"/>
      <c r="K17" s="24"/>
      <c r="L17" s="24"/>
      <c r="M17" s="24"/>
      <c r="N17" s="213"/>
      <c r="O17" s="24"/>
      <c r="P17" s="24"/>
      <c r="Q17" s="24"/>
      <c r="R17" s="213"/>
      <c r="S17" s="86"/>
      <c r="T17" s="86"/>
      <c r="U17" s="86"/>
      <c r="V17" s="213"/>
      <c r="W17" s="86"/>
      <c r="X17" s="86"/>
      <c r="Y17" s="86"/>
      <c r="Z17" s="213"/>
      <c r="AA17" s="86"/>
      <c r="AB17" s="86"/>
      <c r="AC17" s="86"/>
      <c r="AD17" s="645">
        <v>616.9</v>
      </c>
      <c r="AE17" s="86"/>
      <c r="AF17" s="86"/>
      <c r="AG17" s="86"/>
      <c r="AH17" s="645">
        <v>776.5</v>
      </c>
      <c r="AI17" s="86">
        <v>749.5</v>
      </c>
      <c r="AJ17" s="86">
        <v>747.8</v>
      </c>
      <c r="AK17" s="86">
        <v>791.7</v>
      </c>
      <c r="AL17" s="645">
        <v>832</v>
      </c>
      <c r="AM17" s="86">
        <v>797.7</v>
      </c>
      <c r="AN17" s="86">
        <v>774</v>
      </c>
      <c r="AO17" s="86">
        <v>751.8</v>
      </c>
      <c r="AP17" s="209">
        <v>777.1</v>
      </c>
      <c r="AQ17" s="86">
        <v>748.7</v>
      </c>
      <c r="AR17" s="752">
        <v>775.8</v>
      </c>
      <c r="AS17" s="752">
        <v>839.8</v>
      </c>
      <c r="AT17" s="209">
        <v>930</v>
      </c>
      <c r="AU17" s="216">
        <v>931.1</v>
      </c>
      <c r="AV17" s="769">
        <v>979.3</v>
      </c>
      <c r="AW17" s="769">
        <v>964.2</v>
      </c>
      <c r="AX17" s="978">
        <v>968.1</v>
      </c>
      <c r="AY17" s="986"/>
      <c r="AZ17" s="986"/>
      <c r="BA17" s="844"/>
      <c r="BB17" s="845"/>
      <c r="BC17" s="845"/>
    </row>
    <row r="18" spans="1:56" ht="20.149999999999999" customHeight="1">
      <c r="A18" s="710" t="s">
        <v>183</v>
      </c>
      <c r="B18" s="128" t="s">
        <v>184</v>
      </c>
      <c r="C18" s="228"/>
      <c r="D18" s="228"/>
      <c r="E18" s="228"/>
      <c r="F18" s="227"/>
      <c r="G18" s="228"/>
      <c r="H18" s="228"/>
      <c r="I18" s="228"/>
      <c r="J18" s="227"/>
      <c r="K18" s="228"/>
      <c r="L18" s="228"/>
      <c r="M18" s="228"/>
      <c r="N18" s="227"/>
      <c r="O18" s="228"/>
      <c r="P18" s="228"/>
      <c r="Q18" s="228"/>
      <c r="R18" s="227"/>
      <c r="S18" s="216"/>
      <c r="T18" s="216"/>
      <c r="U18" s="216"/>
      <c r="V18" s="227"/>
      <c r="W18" s="216"/>
      <c r="X18" s="216"/>
      <c r="Y18" s="216"/>
      <c r="Z18" s="227"/>
      <c r="AA18" s="216"/>
      <c r="AB18" s="216"/>
      <c r="AC18" s="216"/>
      <c r="AD18" s="227"/>
      <c r="AE18" s="216"/>
      <c r="AF18" s="216"/>
      <c r="AG18" s="216"/>
      <c r="AH18" s="227"/>
      <c r="AI18" s="216"/>
      <c r="AJ18" s="216"/>
      <c r="AK18" s="216"/>
      <c r="AL18" s="786"/>
      <c r="AM18" s="216"/>
      <c r="AN18" s="216"/>
      <c r="AO18" s="216"/>
      <c r="AP18" s="242">
        <v>57.1</v>
      </c>
      <c r="AQ18" s="216"/>
      <c r="AR18" s="756"/>
      <c r="AS18" s="756"/>
      <c r="AT18" s="242">
        <v>325.60000000000002</v>
      </c>
      <c r="AU18" s="216">
        <v>576.29999999999995</v>
      </c>
      <c r="AV18" s="769">
        <v>758.5</v>
      </c>
      <c r="AW18" s="769">
        <v>117.6</v>
      </c>
      <c r="AX18" s="978">
        <v>10.9</v>
      </c>
      <c r="AY18" s="986"/>
      <c r="AZ18" s="986"/>
      <c r="BA18" s="844"/>
      <c r="BB18" s="845"/>
      <c r="BC18" s="845"/>
    </row>
    <row r="19" spans="1:56" ht="20.149999999999999" customHeight="1">
      <c r="A19" s="710" t="s">
        <v>764</v>
      </c>
      <c r="B19" s="128" t="s">
        <v>185</v>
      </c>
      <c r="C19" s="231">
        <f>92.159</f>
        <v>92.159000000000006</v>
      </c>
      <c r="D19" s="237">
        <f>(84770)*0.001</f>
        <v>84.77</v>
      </c>
      <c r="E19" s="237">
        <f>(116704)*0.001</f>
        <v>116.70400000000001</v>
      </c>
      <c r="F19" s="242">
        <f>(109642)*0.001</f>
        <v>109.642</v>
      </c>
      <c r="G19" s="237">
        <f>(62960)*0.001</f>
        <v>62.96</v>
      </c>
      <c r="H19" s="237">
        <f>(61422)*0.001</f>
        <v>61.422000000000004</v>
      </c>
      <c r="I19" s="237">
        <f>(27107)*0.001</f>
        <v>27.106999999999999</v>
      </c>
      <c r="J19" s="242">
        <f>(20803)*0.001</f>
        <v>20.803000000000001</v>
      </c>
      <c r="K19" s="243">
        <f>(6430)*0.001</f>
        <v>6.43</v>
      </c>
      <c r="L19" s="787">
        <v>107.4</v>
      </c>
      <c r="M19" s="787">
        <v>141.4</v>
      </c>
      <c r="N19" s="242">
        <v>198.5</v>
      </c>
      <c r="O19" s="231">
        <v>238</v>
      </c>
      <c r="P19" s="231">
        <v>232.8</v>
      </c>
      <c r="Q19" s="787">
        <v>232.7</v>
      </c>
      <c r="R19" s="242">
        <v>272.8</v>
      </c>
      <c r="S19" s="216">
        <v>295.39999999999998</v>
      </c>
      <c r="T19" s="216">
        <v>331.8</v>
      </c>
      <c r="U19" s="216">
        <v>373.3</v>
      </c>
      <c r="V19" s="242">
        <v>452</v>
      </c>
      <c r="W19" s="216">
        <v>476.3</v>
      </c>
      <c r="X19" s="216">
        <v>508.1</v>
      </c>
      <c r="Y19" s="216">
        <v>544.20000000000005</v>
      </c>
      <c r="Z19" s="242">
        <v>1270.7</v>
      </c>
      <c r="AA19" s="216">
        <v>1280.5999999999999</v>
      </c>
      <c r="AB19" s="216">
        <v>649.29999999999995</v>
      </c>
      <c r="AC19" s="216">
        <v>647.9</v>
      </c>
      <c r="AD19" s="242">
        <v>84.2</v>
      </c>
      <c r="AE19" s="216">
        <v>714.5</v>
      </c>
      <c r="AF19" s="216">
        <v>781.6</v>
      </c>
      <c r="AG19" s="216">
        <v>830.6</v>
      </c>
      <c r="AH19" s="242">
        <v>1315.8</v>
      </c>
      <c r="AI19" s="216">
        <v>1337.2</v>
      </c>
      <c r="AJ19" s="216">
        <v>1314.7</v>
      </c>
      <c r="AK19" s="216">
        <v>1329.2</v>
      </c>
      <c r="AL19" s="242">
        <v>1283.5999999999999</v>
      </c>
      <c r="AM19" s="216">
        <v>1330.6</v>
      </c>
      <c r="AN19" s="216">
        <v>1799.7</v>
      </c>
      <c r="AO19" s="216">
        <v>1820.5</v>
      </c>
      <c r="AP19" s="242">
        <v>1845.2</v>
      </c>
      <c r="AQ19" s="216">
        <v>2037.6</v>
      </c>
      <c r="AR19" s="756">
        <v>2659.2</v>
      </c>
      <c r="AS19" s="756">
        <v>2285.3000000000002</v>
      </c>
      <c r="AT19" s="788">
        <v>1918</v>
      </c>
      <c r="AU19" s="216">
        <v>1933.7</v>
      </c>
      <c r="AV19" s="770">
        <v>2028.6</v>
      </c>
      <c r="AW19" s="890">
        <v>746.3</v>
      </c>
      <c r="AX19" s="997">
        <v>702.8</v>
      </c>
      <c r="AY19" s="986"/>
      <c r="AZ19" s="986"/>
      <c r="BA19" s="844"/>
      <c r="BB19" s="845"/>
      <c r="BC19" s="845"/>
      <c r="BD19" s="844"/>
    </row>
    <row r="20" spans="1:56" ht="26">
      <c r="A20" s="789" t="s">
        <v>765</v>
      </c>
      <c r="B20" s="963" t="s">
        <v>186</v>
      </c>
      <c r="C20" s="66"/>
      <c r="D20" s="66"/>
      <c r="E20" s="66"/>
      <c r="F20" s="242"/>
      <c r="G20" s="66"/>
      <c r="H20" s="66"/>
      <c r="I20" s="66"/>
      <c r="J20" s="214"/>
      <c r="K20" s="66"/>
      <c r="L20" s="66"/>
      <c r="M20" s="66"/>
      <c r="N20" s="214"/>
      <c r="O20" s="66"/>
      <c r="P20" s="66"/>
      <c r="Q20" s="66"/>
      <c r="R20" s="214"/>
      <c r="S20" s="66"/>
      <c r="T20" s="66"/>
      <c r="U20" s="66"/>
      <c r="V20" s="227">
        <v>0</v>
      </c>
      <c r="W20" s="66"/>
      <c r="X20" s="66"/>
      <c r="Y20" s="66"/>
      <c r="Z20" s="790">
        <v>665.2</v>
      </c>
      <c r="AA20" s="196">
        <v>681.2</v>
      </c>
      <c r="AB20" s="196">
        <v>40.4</v>
      </c>
      <c r="AC20" s="196">
        <v>36.9</v>
      </c>
      <c r="AD20" s="790">
        <v>43</v>
      </c>
      <c r="AE20" s="196">
        <v>41.3</v>
      </c>
      <c r="AF20" s="66">
        <v>67.5</v>
      </c>
      <c r="AG20" s="196">
        <v>66.2</v>
      </c>
      <c r="AH20" s="790">
        <v>1282.4000000000001</v>
      </c>
      <c r="AI20" s="196">
        <v>1306.0999999999999</v>
      </c>
      <c r="AJ20" s="196">
        <v>1284.0999999999999</v>
      </c>
      <c r="AK20" s="196">
        <v>1298.2</v>
      </c>
      <c r="AL20" s="790">
        <v>1257.8</v>
      </c>
      <c r="AM20" s="196">
        <v>1274.3</v>
      </c>
      <c r="AN20" s="196">
        <v>1740.2</v>
      </c>
      <c r="AO20" s="196">
        <v>1752.6</v>
      </c>
      <c r="AP20" s="647">
        <v>1764.4</v>
      </c>
      <c r="AQ20" s="196">
        <v>1774.8</v>
      </c>
      <c r="AR20" s="753">
        <v>2232.6999999999998</v>
      </c>
      <c r="AS20" s="753">
        <v>1786.1</v>
      </c>
      <c r="AT20" s="791">
        <v>1884.2</v>
      </c>
      <c r="AU20" s="196">
        <v>1904.6</v>
      </c>
      <c r="AV20" s="882">
        <v>1821.8</v>
      </c>
      <c r="AW20" s="934">
        <v>80.5</v>
      </c>
      <c r="AX20" s="998">
        <v>10.1</v>
      </c>
      <c r="AY20" s="986"/>
      <c r="AZ20" s="986"/>
      <c r="BA20" s="844"/>
      <c r="BB20" s="845"/>
      <c r="BC20" s="845"/>
    </row>
    <row r="21" spans="1:56" ht="26">
      <c r="A21" s="789" t="s">
        <v>736</v>
      </c>
      <c r="B21" s="963" t="s">
        <v>757</v>
      </c>
      <c r="C21" s="66"/>
      <c r="D21" s="66"/>
      <c r="E21" s="66"/>
      <c r="F21" s="242"/>
      <c r="G21" s="66"/>
      <c r="H21" s="66"/>
      <c r="I21" s="66"/>
      <c r="J21" s="214"/>
      <c r="K21" s="66"/>
      <c r="L21" s="66"/>
      <c r="M21" s="66"/>
      <c r="N21" s="214"/>
      <c r="O21" s="66"/>
      <c r="P21" s="66"/>
      <c r="Q21" s="66"/>
      <c r="R21" s="214"/>
      <c r="S21" s="66"/>
      <c r="T21" s="66"/>
      <c r="U21" s="66"/>
      <c r="V21" s="227"/>
      <c r="W21" s="66"/>
      <c r="X21" s="66"/>
      <c r="Y21" s="66"/>
      <c r="Z21" s="790"/>
      <c r="AA21" s="196"/>
      <c r="AB21" s="196"/>
      <c r="AC21" s="196"/>
      <c r="AD21" s="790"/>
      <c r="AE21" s="86">
        <v>0</v>
      </c>
      <c r="AF21" s="86">
        <v>0</v>
      </c>
      <c r="AG21" s="86">
        <v>0</v>
      </c>
      <c r="AH21" s="213">
        <v>0</v>
      </c>
      <c r="AI21" s="86">
        <v>0</v>
      </c>
      <c r="AJ21" s="86">
        <v>0</v>
      </c>
      <c r="AK21" s="86">
        <v>0</v>
      </c>
      <c r="AL21" s="213">
        <v>0</v>
      </c>
      <c r="AM21" s="86">
        <v>0</v>
      </c>
      <c r="AN21" s="86">
        <v>0</v>
      </c>
      <c r="AO21" s="86">
        <v>0</v>
      </c>
      <c r="AP21" s="213">
        <v>0</v>
      </c>
      <c r="AQ21" s="86">
        <v>0</v>
      </c>
      <c r="AR21" s="752">
        <v>0</v>
      </c>
      <c r="AS21" s="752">
        <v>0</v>
      </c>
      <c r="AT21" s="645">
        <v>1.6</v>
      </c>
      <c r="AU21" s="86">
        <v>0</v>
      </c>
      <c r="AV21" s="752">
        <v>0</v>
      </c>
      <c r="AW21" s="934">
        <v>604.20000000000005</v>
      </c>
      <c r="AX21" s="998">
        <v>615.9</v>
      </c>
      <c r="AY21" s="986"/>
      <c r="AZ21" s="986"/>
      <c r="BA21" s="844"/>
      <c r="BB21" s="845"/>
      <c r="BC21" s="845"/>
    </row>
    <row r="22" spans="1:56" s="15" customFormat="1" ht="20.149999999999999" customHeight="1">
      <c r="A22" s="29" t="s">
        <v>766</v>
      </c>
      <c r="B22" s="129" t="s">
        <v>187</v>
      </c>
      <c r="C22" s="23">
        <v>0</v>
      </c>
      <c r="D22" s="23">
        <v>0</v>
      </c>
      <c r="E22" s="23">
        <v>0</v>
      </c>
      <c r="F22" s="209"/>
      <c r="G22" s="23">
        <v>0</v>
      </c>
      <c r="H22" s="23">
        <v>0</v>
      </c>
      <c r="I22" s="23">
        <v>0</v>
      </c>
      <c r="J22" s="215">
        <v>0</v>
      </c>
      <c r="K22" s="32">
        <v>0</v>
      </c>
      <c r="L22" s="23">
        <v>0</v>
      </c>
      <c r="M22" s="23">
        <v>0</v>
      </c>
      <c r="N22" s="215">
        <v>1.2</v>
      </c>
      <c r="O22" s="23">
        <v>0</v>
      </c>
      <c r="P22" s="23">
        <v>0</v>
      </c>
      <c r="Q22" s="23">
        <v>0</v>
      </c>
      <c r="R22" s="215">
        <v>6.9</v>
      </c>
      <c r="S22" s="87">
        <v>0.6</v>
      </c>
      <c r="T22" s="87">
        <v>0</v>
      </c>
      <c r="U22" s="87">
        <v>3.5</v>
      </c>
      <c r="V22" s="474">
        <v>9.5</v>
      </c>
      <c r="W22" s="87">
        <v>7.8</v>
      </c>
      <c r="X22" s="87">
        <v>4.9000000000000004</v>
      </c>
      <c r="Y22" s="87">
        <v>2.5</v>
      </c>
      <c r="Z22" s="474">
        <v>1.9</v>
      </c>
      <c r="AA22" s="87">
        <v>0.1</v>
      </c>
      <c r="AB22" s="87">
        <v>1.4</v>
      </c>
      <c r="AC22" s="87">
        <v>2.7</v>
      </c>
      <c r="AD22" s="488">
        <v>0</v>
      </c>
      <c r="AE22" s="87">
        <v>0</v>
      </c>
      <c r="AF22" s="87">
        <v>0</v>
      </c>
      <c r="AG22" s="87">
        <v>0.2</v>
      </c>
      <c r="AH22" s="474">
        <v>1.2</v>
      </c>
      <c r="AI22" s="87">
        <v>0</v>
      </c>
      <c r="AJ22" s="87">
        <v>0</v>
      </c>
      <c r="AK22" s="87">
        <v>0</v>
      </c>
      <c r="AL22" s="474">
        <v>0.4</v>
      </c>
      <c r="AM22" s="87">
        <v>2.9</v>
      </c>
      <c r="AN22" s="196">
        <v>4</v>
      </c>
      <c r="AO22" s="87">
        <v>6.5</v>
      </c>
      <c r="AP22" s="646">
        <v>23</v>
      </c>
      <c r="AQ22" s="196">
        <v>23</v>
      </c>
      <c r="AR22" s="753">
        <v>36.9</v>
      </c>
      <c r="AS22" s="753">
        <v>34.4</v>
      </c>
      <c r="AT22" s="784">
        <v>17.399999999999999</v>
      </c>
      <c r="AU22" s="196">
        <v>10.1</v>
      </c>
      <c r="AV22" s="889">
        <v>158.80000000000001</v>
      </c>
      <c r="AW22" s="889">
        <v>8.9</v>
      </c>
      <c r="AX22" s="998">
        <v>35.200000000000003</v>
      </c>
      <c r="AY22" s="986"/>
      <c r="AZ22" s="986"/>
      <c r="BA22" s="844"/>
      <c r="BB22" s="845"/>
      <c r="BC22" s="845"/>
    </row>
    <row r="23" spans="1:56" s="7" customFormat="1" ht="20.149999999999999" customHeight="1" thickBot="1">
      <c r="A23" s="27" t="s">
        <v>188</v>
      </c>
      <c r="B23" s="125" t="s">
        <v>189</v>
      </c>
      <c r="C23" s="17">
        <f>30.5</f>
        <v>30.5</v>
      </c>
      <c r="D23" s="30">
        <f>(40245)*0.001</f>
        <v>40.244999999999997</v>
      </c>
      <c r="E23" s="30">
        <f>(37018)*0.001</f>
        <v>37.018000000000001</v>
      </c>
      <c r="F23" s="209">
        <f>(31356)*0.001</f>
        <v>31.356000000000002</v>
      </c>
      <c r="G23" s="30">
        <f>(30260)*0.001</f>
        <v>30.26</v>
      </c>
      <c r="H23" s="30">
        <f>(27326)*0.001</f>
        <v>27.326000000000001</v>
      </c>
      <c r="I23" s="30">
        <f>(27552)*0.001</f>
        <v>27.552</v>
      </c>
      <c r="J23" s="209">
        <f>(38854)*0.001</f>
        <v>38.853999999999999</v>
      </c>
      <c r="K23" s="40">
        <f>(34685)*0.001</f>
        <v>34.685000000000002</v>
      </c>
      <c r="L23" s="21">
        <v>240.5</v>
      </c>
      <c r="M23" s="21">
        <v>285.7</v>
      </c>
      <c r="N23" s="209">
        <v>281.10000000000002</v>
      </c>
      <c r="O23" s="17">
        <v>229</v>
      </c>
      <c r="P23" s="17">
        <v>260.89999999999998</v>
      </c>
      <c r="Q23" s="21">
        <v>107.2</v>
      </c>
      <c r="R23" s="209">
        <v>87.6</v>
      </c>
      <c r="S23" s="86">
        <v>211.3</v>
      </c>
      <c r="T23" s="86">
        <v>236.5</v>
      </c>
      <c r="U23" s="86">
        <v>238.4</v>
      </c>
      <c r="V23" s="209">
        <v>232.7</v>
      </c>
      <c r="W23" s="86">
        <v>249.3</v>
      </c>
      <c r="X23" s="86">
        <v>199.9</v>
      </c>
      <c r="Y23" s="86">
        <v>192.1</v>
      </c>
      <c r="Z23" s="209">
        <v>197.2</v>
      </c>
      <c r="AA23" s="86">
        <v>178.4</v>
      </c>
      <c r="AB23" s="86">
        <v>216</v>
      </c>
      <c r="AC23" s="86">
        <v>213</v>
      </c>
      <c r="AD23" s="209">
        <v>259.7</v>
      </c>
      <c r="AE23" s="86">
        <v>258.2</v>
      </c>
      <c r="AF23" s="86">
        <v>260.5</v>
      </c>
      <c r="AG23" s="86">
        <v>267.3</v>
      </c>
      <c r="AH23" s="209">
        <v>241.2</v>
      </c>
      <c r="AI23" s="86">
        <v>243.2</v>
      </c>
      <c r="AJ23" s="86">
        <v>260.7</v>
      </c>
      <c r="AK23" s="86">
        <v>242.5</v>
      </c>
      <c r="AL23" s="209">
        <v>223.2</v>
      </c>
      <c r="AM23" s="86">
        <v>158.6</v>
      </c>
      <c r="AN23" s="86">
        <v>106.6</v>
      </c>
      <c r="AO23" s="86">
        <v>119.2</v>
      </c>
      <c r="AP23" s="209">
        <v>80.2</v>
      </c>
      <c r="AQ23" s="216">
        <v>87.6</v>
      </c>
      <c r="AR23" s="752">
        <v>104.2</v>
      </c>
      <c r="AS23" s="752">
        <v>112.1</v>
      </c>
      <c r="AT23" s="783">
        <v>99.9</v>
      </c>
      <c r="AU23" s="216">
        <v>110.5</v>
      </c>
      <c r="AV23" s="883">
        <v>108.8</v>
      </c>
      <c r="AW23" s="883">
        <v>151.9</v>
      </c>
      <c r="AX23" s="997">
        <v>142.80000000000001</v>
      </c>
      <c r="AY23" s="986"/>
      <c r="AZ23" s="986"/>
      <c r="BA23" s="844"/>
      <c r="BB23" s="845"/>
      <c r="BC23" s="845"/>
    </row>
    <row r="24" spans="1:56" s="225" customFormat="1" ht="25.25" customHeight="1" thickBot="1">
      <c r="A24" s="399" t="s">
        <v>190</v>
      </c>
      <c r="B24" s="399" t="s">
        <v>191</v>
      </c>
      <c r="C24" s="400">
        <f t="shared" ref="C24:K24" si="0">(SUM(C6:C23))</f>
        <v>4228.9560000000001</v>
      </c>
      <c r="D24" s="401">
        <f t="shared" si="0"/>
        <v>4425.1450000000004</v>
      </c>
      <c r="E24" s="401">
        <f t="shared" si="0"/>
        <v>4456.701</v>
      </c>
      <c r="F24" s="402">
        <f t="shared" si="0"/>
        <v>4476.1480000000001</v>
      </c>
      <c r="G24" s="401">
        <f t="shared" si="0"/>
        <v>4424.8490000000011</v>
      </c>
      <c r="H24" s="401">
        <f t="shared" si="0"/>
        <v>4428.5439999999999</v>
      </c>
      <c r="I24" s="401">
        <f t="shared" si="0"/>
        <v>4436.0960000000005</v>
      </c>
      <c r="J24" s="402">
        <f t="shared" si="0"/>
        <v>4455.8450000000003</v>
      </c>
      <c r="K24" s="400">
        <f t="shared" si="0"/>
        <v>4454.3520000000008</v>
      </c>
      <c r="L24" s="401">
        <f>SUM(L6:L23)</f>
        <v>23391.8</v>
      </c>
      <c r="M24" s="401">
        <f>SUM(M6:M23)</f>
        <v>23581.399999999998</v>
      </c>
      <c r="N24" s="402">
        <f t="shared" ref="N24:Y24" si="1">(SUM(N6:N23))-N22</f>
        <v>23356.1</v>
      </c>
      <c r="O24" s="400">
        <f t="shared" si="1"/>
        <v>23132</v>
      </c>
      <c r="P24" s="401">
        <f t="shared" si="1"/>
        <v>22867.599999999999</v>
      </c>
      <c r="Q24" s="401">
        <f t="shared" si="1"/>
        <v>22396.3</v>
      </c>
      <c r="R24" s="402">
        <f t="shared" si="1"/>
        <v>22261.199999999997</v>
      </c>
      <c r="S24" s="400">
        <f t="shared" si="1"/>
        <v>24489.499999999996</v>
      </c>
      <c r="T24" s="401">
        <f t="shared" si="1"/>
        <v>24377.8</v>
      </c>
      <c r="U24" s="401">
        <f t="shared" si="1"/>
        <v>24047.600000000002</v>
      </c>
      <c r="V24" s="402">
        <f t="shared" si="1"/>
        <v>23958.899999999998</v>
      </c>
      <c r="W24" s="400">
        <f t="shared" si="1"/>
        <v>23642.099999999995</v>
      </c>
      <c r="X24" s="401">
        <f t="shared" si="1"/>
        <v>23454.6</v>
      </c>
      <c r="Y24" s="401">
        <f t="shared" si="1"/>
        <v>23215.999999999996</v>
      </c>
      <c r="Z24" s="402">
        <f>(SUM(Z6:Z23))-Z22-Z20</f>
        <v>23824.5</v>
      </c>
      <c r="AA24" s="400">
        <f>SUM(AA6:AA19,AA23)</f>
        <v>23530.6</v>
      </c>
      <c r="AB24" s="401">
        <f>SUM(AB6:AB19,AB23)</f>
        <v>24924.399999999998</v>
      </c>
      <c r="AC24" s="401">
        <f>SUM(AC6:AC19,AC23)</f>
        <v>25095.3</v>
      </c>
      <c r="AD24" s="402">
        <f>(SUM(AD6:AD23))-AD22-AD20</f>
        <v>25274.100000000002</v>
      </c>
      <c r="AE24" s="400">
        <f>SUM(AE6:AE19,AE23)</f>
        <v>26511.500000000004</v>
      </c>
      <c r="AF24" s="401">
        <f>SUM(AF6:AF19,AF23)</f>
        <v>26473.100000000002</v>
      </c>
      <c r="AG24" s="401">
        <f>SUM(AG6:AG19,AG23)</f>
        <v>26264.3</v>
      </c>
      <c r="AH24" s="402">
        <f>(SUM(AH6:AH23))-AH22-AH20</f>
        <v>27604.7</v>
      </c>
      <c r="AI24" s="400">
        <f>SUM(AI6:AI19,AI23)</f>
        <v>27318.900000000005</v>
      </c>
      <c r="AJ24" s="401">
        <f>SUM(AJ6:AJ19,AJ23)</f>
        <v>27109.599999999995</v>
      </c>
      <c r="AK24" s="401">
        <f>SUM(AK6:AK19,AK23)</f>
        <v>27531.8</v>
      </c>
      <c r="AL24" s="402">
        <f>(SUM(AL6:AL23))-AL22-AL20</f>
        <v>27837.800000000003</v>
      </c>
      <c r="AM24" s="400">
        <f>SUM(AM6:AM19,AM23)</f>
        <v>24265.799999999996</v>
      </c>
      <c r="AN24" s="401">
        <f>SUM(AN6:AN19,AN23)</f>
        <v>23560.399999999994</v>
      </c>
      <c r="AO24" s="401">
        <f>SUM(AO6:AO19,AO23)</f>
        <v>23929.499999999996</v>
      </c>
      <c r="AP24" s="402">
        <f>(SUM(AP6:AP23))-AP22-AP20</f>
        <v>24159.7</v>
      </c>
      <c r="AQ24" s="400">
        <f t="shared" ref="AQ24:AX24" si="2">SUM(AQ6:AQ19,AQ23)</f>
        <v>23871.599999999999</v>
      </c>
      <c r="AR24" s="754">
        <f t="shared" si="2"/>
        <v>25679.300000000003</v>
      </c>
      <c r="AS24" s="401">
        <f t="shared" si="2"/>
        <v>24938.499999999993</v>
      </c>
      <c r="AT24" s="401">
        <f t="shared" si="2"/>
        <v>25775.3</v>
      </c>
      <c r="AU24" s="400">
        <f t="shared" si="2"/>
        <v>25716.600000000002</v>
      </c>
      <c r="AV24" s="754">
        <f t="shared" si="2"/>
        <v>25712.899999999998</v>
      </c>
      <c r="AW24" s="401">
        <f t="shared" si="2"/>
        <v>26583.600000000002</v>
      </c>
      <c r="AX24" s="402">
        <f t="shared" si="2"/>
        <v>28149.199999999997</v>
      </c>
      <c r="AY24" s="986"/>
      <c r="AZ24" s="986"/>
      <c r="BA24" s="844"/>
      <c r="BB24" s="844"/>
      <c r="BC24" s="844"/>
    </row>
    <row r="25" spans="1:56" s="8" customFormat="1" ht="20.149999999999999" customHeight="1">
      <c r="A25" s="27" t="s">
        <v>192</v>
      </c>
      <c r="B25" s="125" t="s">
        <v>193</v>
      </c>
      <c r="C25" s="17">
        <f>176.114</f>
        <v>176.114</v>
      </c>
      <c r="D25" s="30">
        <f>(167251)*0.001</f>
        <v>167.251</v>
      </c>
      <c r="E25" s="30">
        <f>(171461)*0.001</f>
        <v>171.46100000000001</v>
      </c>
      <c r="F25" s="209">
        <f>(141652)*0.001</f>
        <v>141.65200000000002</v>
      </c>
      <c r="G25" s="30">
        <f>(155399)*0.001</f>
        <v>155.399</v>
      </c>
      <c r="H25" s="30">
        <f>(170743)*0.001</f>
        <v>170.74299999999999</v>
      </c>
      <c r="I25" s="30">
        <f>(208533)*0.001</f>
        <v>208.53300000000002</v>
      </c>
      <c r="J25" s="209">
        <f>(181341)*0.001</f>
        <v>181.34100000000001</v>
      </c>
      <c r="K25" s="40">
        <f>(228936)*0.001</f>
        <v>228.93600000000001</v>
      </c>
      <c r="L25" s="21">
        <v>199.1</v>
      </c>
      <c r="M25" s="21">
        <v>172.6</v>
      </c>
      <c r="N25" s="209">
        <v>152.1</v>
      </c>
      <c r="O25" s="17">
        <v>163.1</v>
      </c>
      <c r="P25" s="17">
        <v>170.4</v>
      </c>
      <c r="Q25" s="21">
        <v>255.6</v>
      </c>
      <c r="R25" s="209">
        <v>192.2</v>
      </c>
      <c r="S25" s="86">
        <v>234.7</v>
      </c>
      <c r="T25" s="86">
        <v>163.5</v>
      </c>
      <c r="U25" s="86">
        <v>219.1</v>
      </c>
      <c r="V25" s="209">
        <v>192</v>
      </c>
      <c r="W25" s="86">
        <v>179.8</v>
      </c>
      <c r="X25" s="86">
        <v>214.3</v>
      </c>
      <c r="Y25" s="86">
        <v>243.6</v>
      </c>
      <c r="Z25" s="209">
        <v>251.7</v>
      </c>
      <c r="AA25" s="86">
        <v>256.60000000000002</v>
      </c>
      <c r="AB25" s="86">
        <v>353.2</v>
      </c>
      <c r="AC25" s="86">
        <v>544.5</v>
      </c>
      <c r="AD25" s="209">
        <v>543.20000000000005</v>
      </c>
      <c r="AE25" s="86">
        <v>539.79999999999995</v>
      </c>
      <c r="AF25" s="86">
        <v>538.9</v>
      </c>
      <c r="AG25" s="86">
        <v>552.6</v>
      </c>
      <c r="AH25" s="209">
        <v>512.29999999999995</v>
      </c>
      <c r="AI25" s="86">
        <v>535.20000000000005</v>
      </c>
      <c r="AJ25" s="86">
        <v>516.20000000000005</v>
      </c>
      <c r="AK25" s="86">
        <v>525.9</v>
      </c>
      <c r="AL25" s="209">
        <v>413.2</v>
      </c>
      <c r="AM25" s="86">
        <v>412.7</v>
      </c>
      <c r="AN25" s="86">
        <v>477</v>
      </c>
      <c r="AO25" s="86">
        <v>925.1</v>
      </c>
      <c r="AP25" s="209">
        <v>630.6</v>
      </c>
      <c r="AQ25" s="86">
        <v>826.8</v>
      </c>
      <c r="AR25" s="752">
        <v>678.2</v>
      </c>
      <c r="AS25" s="769">
        <v>829.1</v>
      </c>
      <c r="AT25" s="209">
        <v>699.2</v>
      </c>
      <c r="AU25" s="86">
        <v>769.8</v>
      </c>
      <c r="AV25" s="769">
        <v>722.8</v>
      </c>
      <c r="AW25" s="769">
        <v>752.1</v>
      </c>
      <c r="AX25" s="978">
        <v>678.2</v>
      </c>
      <c r="AY25" s="986"/>
      <c r="AZ25" s="986"/>
      <c r="BA25" s="844"/>
      <c r="BB25" s="845"/>
      <c r="BC25" s="845"/>
    </row>
    <row r="26" spans="1:56" s="8" customFormat="1" ht="20.149999999999999" customHeight="1">
      <c r="A26" s="27" t="s">
        <v>194</v>
      </c>
      <c r="B26" s="125" t="s">
        <v>195</v>
      </c>
      <c r="C26" s="17"/>
      <c r="D26" s="30"/>
      <c r="E26" s="30"/>
      <c r="F26" s="209"/>
      <c r="G26" s="30"/>
      <c r="H26" s="30"/>
      <c r="I26" s="30"/>
      <c r="J26" s="209"/>
      <c r="K26" s="40"/>
      <c r="L26" s="21"/>
      <c r="M26" s="21"/>
      <c r="N26" s="209"/>
      <c r="O26" s="17"/>
      <c r="P26" s="17"/>
      <c r="Q26" s="21"/>
      <c r="R26" s="209"/>
      <c r="S26" s="86"/>
      <c r="T26" s="86"/>
      <c r="U26" s="86"/>
      <c r="V26" s="209"/>
      <c r="W26" s="86"/>
      <c r="X26" s="86"/>
      <c r="Y26" s="86"/>
      <c r="Z26" s="209"/>
      <c r="AA26" s="86">
        <v>680.8</v>
      </c>
      <c r="AB26" s="86">
        <v>681.5</v>
      </c>
      <c r="AC26" s="86">
        <v>655.20000000000005</v>
      </c>
      <c r="AD26" s="209">
        <v>648.4</v>
      </c>
      <c r="AE26" s="86">
        <v>657.6</v>
      </c>
      <c r="AF26" s="86">
        <v>651.70000000000005</v>
      </c>
      <c r="AG26" s="86">
        <v>639.20000000000005</v>
      </c>
      <c r="AH26" s="209">
        <v>638.70000000000005</v>
      </c>
      <c r="AI26" s="86">
        <v>628.1</v>
      </c>
      <c r="AJ26" s="86">
        <v>592.5</v>
      </c>
      <c r="AK26" s="86">
        <v>567.5</v>
      </c>
      <c r="AL26" s="209">
        <v>537.70000000000005</v>
      </c>
      <c r="AM26" s="86">
        <v>505.6</v>
      </c>
      <c r="AN26" s="86">
        <v>476.2</v>
      </c>
      <c r="AO26" s="86">
        <v>438.7</v>
      </c>
      <c r="AP26" s="209">
        <v>418</v>
      </c>
      <c r="AQ26" s="86">
        <v>393.8</v>
      </c>
      <c r="AR26" s="752">
        <v>374.1</v>
      </c>
      <c r="AS26" s="769">
        <v>361.5</v>
      </c>
      <c r="AT26" s="209">
        <v>362.9</v>
      </c>
      <c r="AU26" s="86">
        <v>377.5</v>
      </c>
      <c r="AV26" s="769">
        <v>375.3</v>
      </c>
      <c r="AW26" s="769">
        <v>352.2</v>
      </c>
      <c r="AX26" s="978">
        <v>349</v>
      </c>
      <c r="AY26" s="986"/>
      <c r="AZ26" s="986"/>
      <c r="BA26" s="844"/>
      <c r="BB26" s="845"/>
      <c r="BC26" s="845"/>
    </row>
    <row r="27" spans="1:56" s="7" customFormat="1" ht="20.149999999999999" customHeight="1">
      <c r="A27" s="27" t="s">
        <v>196</v>
      </c>
      <c r="B27" s="125" t="s">
        <v>197</v>
      </c>
      <c r="C27" s="17">
        <f>185.376</f>
        <v>185.376</v>
      </c>
      <c r="D27" s="30">
        <f>(185528)*0.001</f>
        <v>185.52799999999999</v>
      </c>
      <c r="E27" s="30">
        <f>(177054)*0.001</f>
        <v>177.054</v>
      </c>
      <c r="F27" s="209">
        <f>(161974)*0.001</f>
        <v>161.97399999999999</v>
      </c>
      <c r="G27" s="30">
        <f>(150701)*0.001</f>
        <v>150.70099999999999</v>
      </c>
      <c r="H27" s="30">
        <f>(157445)*0.001</f>
        <v>157.44499999999999</v>
      </c>
      <c r="I27" s="30">
        <f>(155698)*0.001</f>
        <v>155.69800000000001</v>
      </c>
      <c r="J27" s="209">
        <f>(146771)*0.001</f>
        <v>146.77100000000002</v>
      </c>
      <c r="K27" s="40">
        <f>(163072)*0.001</f>
        <v>163.072</v>
      </c>
      <c r="L27" s="16">
        <v>343.8</v>
      </c>
      <c r="M27" s="16">
        <v>316.60000000000002</v>
      </c>
      <c r="N27" s="209">
        <v>301.39999999999998</v>
      </c>
      <c r="O27" s="17">
        <v>252.9</v>
      </c>
      <c r="P27" s="17">
        <v>261.7</v>
      </c>
      <c r="Q27" s="16">
        <v>264.10000000000002</v>
      </c>
      <c r="R27" s="209">
        <v>281</v>
      </c>
      <c r="S27" s="86">
        <v>260.2</v>
      </c>
      <c r="T27" s="86">
        <v>270</v>
      </c>
      <c r="U27" s="86">
        <v>281</v>
      </c>
      <c r="V27" s="209">
        <v>278.7</v>
      </c>
      <c r="W27" s="86">
        <v>237.2</v>
      </c>
      <c r="X27" s="86">
        <v>279</v>
      </c>
      <c r="Y27" s="86">
        <v>295.60000000000002</v>
      </c>
      <c r="Z27" s="209">
        <v>283.7</v>
      </c>
      <c r="AA27" s="85">
        <v>305.3</v>
      </c>
      <c r="AB27" s="86">
        <v>362.1</v>
      </c>
      <c r="AC27" s="86">
        <v>387.6</v>
      </c>
      <c r="AD27" s="209">
        <v>394</v>
      </c>
      <c r="AE27" s="85">
        <v>333.7</v>
      </c>
      <c r="AF27" s="86">
        <v>344.5</v>
      </c>
      <c r="AG27" s="86">
        <v>359.6</v>
      </c>
      <c r="AH27" s="209">
        <v>306.8</v>
      </c>
      <c r="AI27" s="85">
        <v>398.3</v>
      </c>
      <c r="AJ27" s="86">
        <v>502.8</v>
      </c>
      <c r="AK27" s="86">
        <v>409</v>
      </c>
      <c r="AL27" s="209">
        <v>299.39999999999998</v>
      </c>
      <c r="AM27" s="85">
        <v>359.8</v>
      </c>
      <c r="AN27" s="85">
        <v>439.1</v>
      </c>
      <c r="AO27" s="86">
        <v>515</v>
      </c>
      <c r="AP27" s="209">
        <v>595.70000000000005</v>
      </c>
      <c r="AQ27" s="85">
        <v>597.5</v>
      </c>
      <c r="AR27" s="85">
        <v>935.5</v>
      </c>
      <c r="AS27" s="769">
        <v>888.7</v>
      </c>
      <c r="AT27" s="209">
        <v>1162.4000000000001</v>
      </c>
      <c r="AU27" s="85">
        <v>1272.2</v>
      </c>
      <c r="AV27" s="770">
        <v>1269.8</v>
      </c>
      <c r="AW27" s="770">
        <v>1341</v>
      </c>
      <c r="AX27" s="978">
        <v>1215.5999999999999</v>
      </c>
      <c r="AY27" s="986"/>
      <c r="AZ27" s="986"/>
      <c r="BA27" s="844"/>
      <c r="BB27" s="845"/>
      <c r="BC27" s="845"/>
    </row>
    <row r="28" spans="1:56" ht="20.149999999999999" customHeight="1">
      <c r="A28" s="710" t="s">
        <v>198</v>
      </c>
      <c r="B28" s="128" t="s">
        <v>199</v>
      </c>
      <c r="C28" s="231">
        <f>342.386</f>
        <v>342.38600000000002</v>
      </c>
      <c r="D28" s="237">
        <f>(382365)*0.001</f>
        <v>382.36500000000001</v>
      </c>
      <c r="E28" s="237">
        <f>(376949)*0.001</f>
        <v>376.94900000000001</v>
      </c>
      <c r="F28" s="242">
        <f>(375659)*0.001</f>
        <v>375.65899999999999</v>
      </c>
      <c r="G28" s="237">
        <f>(403593)*0.001</f>
        <v>403.59300000000002</v>
      </c>
      <c r="H28" s="237">
        <f>(410902)*0.001</f>
        <v>410.90199999999999</v>
      </c>
      <c r="I28" s="237">
        <f>(401503)*0.001</f>
        <v>401.50299999999999</v>
      </c>
      <c r="J28" s="242">
        <f>(374424)*0.001</f>
        <v>374.42400000000004</v>
      </c>
      <c r="K28" s="243">
        <f>(398589)*0.001</f>
        <v>398.589</v>
      </c>
      <c r="L28" s="234">
        <v>1374.4</v>
      </c>
      <c r="M28" s="234">
        <v>1369.9</v>
      </c>
      <c r="N28" s="242">
        <v>1453.4</v>
      </c>
      <c r="O28" s="231">
        <v>1599.5</v>
      </c>
      <c r="P28" s="231">
        <v>1988.6</v>
      </c>
      <c r="Q28" s="234">
        <v>1699.4</v>
      </c>
      <c r="R28" s="242">
        <v>1619.1</v>
      </c>
      <c r="S28" s="216">
        <v>1503.9</v>
      </c>
      <c r="T28" s="216">
        <v>1541.1</v>
      </c>
      <c r="U28" s="216">
        <v>1571.8</v>
      </c>
      <c r="V28" s="242">
        <v>1688</v>
      </c>
      <c r="W28" s="216">
        <v>1608.5</v>
      </c>
      <c r="X28" s="216">
        <v>1727</v>
      </c>
      <c r="Y28" s="216">
        <v>1758.5</v>
      </c>
      <c r="Z28" s="242">
        <v>1983.2</v>
      </c>
      <c r="AA28" s="216">
        <v>1990.7</v>
      </c>
      <c r="AB28" s="216">
        <v>2161.3000000000002</v>
      </c>
      <c r="AC28" s="216">
        <v>2197.3000000000002</v>
      </c>
      <c r="AD28" s="242">
        <v>2370.4</v>
      </c>
      <c r="AE28" s="216">
        <v>2334.6999999999998</v>
      </c>
      <c r="AF28" s="216">
        <v>2284.4</v>
      </c>
      <c r="AG28" s="216">
        <v>2291.6</v>
      </c>
      <c r="AH28" s="242">
        <v>2511.6</v>
      </c>
      <c r="AI28" s="216">
        <v>2335.9</v>
      </c>
      <c r="AJ28" s="216">
        <v>2298.1</v>
      </c>
      <c r="AK28" s="216">
        <v>2348.1999999999998</v>
      </c>
      <c r="AL28" s="242">
        <v>2390.4</v>
      </c>
      <c r="AM28" s="216">
        <v>2387.4</v>
      </c>
      <c r="AN28" s="216">
        <v>2441.5</v>
      </c>
      <c r="AO28" s="216">
        <v>2413.9</v>
      </c>
      <c r="AP28" s="242">
        <v>2435</v>
      </c>
      <c r="AQ28" s="792">
        <v>2424.3000000000002</v>
      </c>
      <c r="AR28" s="792">
        <v>2623.1</v>
      </c>
      <c r="AS28" s="792">
        <v>2669.6</v>
      </c>
      <c r="AT28" s="242">
        <v>2751.3</v>
      </c>
      <c r="AU28" s="792">
        <v>2614.1999999999998</v>
      </c>
      <c r="AV28" s="890">
        <v>2565.5</v>
      </c>
      <c r="AW28" s="890">
        <v>3022.5</v>
      </c>
      <c r="AX28" s="978">
        <v>2947.1</v>
      </c>
      <c r="AY28" s="986"/>
      <c r="AZ28" s="986"/>
      <c r="BA28" s="844"/>
      <c r="BB28" s="845"/>
      <c r="BC28" s="845"/>
    </row>
    <row r="29" spans="1:56" ht="20.149999999999999" customHeight="1">
      <c r="A29" s="710" t="s">
        <v>200</v>
      </c>
      <c r="B29" s="128" t="s">
        <v>201</v>
      </c>
      <c r="C29" s="231">
        <f>1.102</f>
        <v>1.1020000000000001</v>
      </c>
      <c r="D29" s="246">
        <f>0</f>
        <v>0</v>
      </c>
      <c r="E29" s="246">
        <f>0</f>
        <v>0</v>
      </c>
      <c r="F29" s="245">
        <f>0</f>
        <v>0</v>
      </c>
      <c r="G29" s="246">
        <f>0</f>
        <v>0</v>
      </c>
      <c r="H29" s="246">
        <f>0</f>
        <v>0</v>
      </c>
      <c r="I29" s="246">
        <f>0</f>
        <v>0</v>
      </c>
      <c r="J29" s="245">
        <v>0</v>
      </c>
      <c r="K29" s="247">
        <v>0</v>
      </c>
      <c r="L29" s="228">
        <v>0</v>
      </c>
      <c r="M29" s="228">
        <v>0</v>
      </c>
      <c r="N29" s="245" t="e">
        <f>0*($A$87)</f>
        <v>#VALUE!</v>
      </c>
      <c r="O29" s="246" t="e">
        <f>0*($A$87)</f>
        <v>#VALUE!</v>
      </c>
      <c r="P29" s="246">
        <v>0</v>
      </c>
      <c r="Q29" s="228">
        <v>0</v>
      </c>
      <c r="R29" s="245">
        <v>0</v>
      </c>
      <c r="S29" s="793">
        <v>0</v>
      </c>
      <c r="T29" s="793">
        <v>0</v>
      </c>
      <c r="U29" s="793">
        <v>0</v>
      </c>
      <c r="V29" s="245">
        <v>0</v>
      </c>
      <c r="W29" s="793">
        <v>0</v>
      </c>
      <c r="X29" s="793">
        <v>0</v>
      </c>
      <c r="Y29" s="793">
        <v>0</v>
      </c>
      <c r="Z29" s="245">
        <v>0</v>
      </c>
      <c r="AA29" s="216">
        <v>0</v>
      </c>
      <c r="AB29" s="794">
        <v>0</v>
      </c>
      <c r="AC29" s="216">
        <v>0</v>
      </c>
      <c r="AD29" s="245">
        <v>0</v>
      </c>
      <c r="AE29" s="216">
        <v>0</v>
      </c>
      <c r="AF29" s="793">
        <v>0</v>
      </c>
      <c r="AG29" s="216">
        <v>0</v>
      </c>
      <c r="AH29" s="245">
        <v>0</v>
      </c>
      <c r="AI29" s="216">
        <v>0</v>
      </c>
      <c r="AJ29" s="793">
        <v>0</v>
      </c>
      <c r="AK29" s="216">
        <v>0</v>
      </c>
      <c r="AL29" s="245">
        <v>0</v>
      </c>
      <c r="AM29" s="216">
        <v>0</v>
      </c>
      <c r="AN29" s="216">
        <v>0</v>
      </c>
      <c r="AO29" s="216">
        <v>0</v>
      </c>
      <c r="AP29" s="242">
        <v>15.3</v>
      </c>
      <c r="AQ29" s="795">
        <v>0</v>
      </c>
      <c r="AR29" s="796">
        <v>0</v>
      </c>
      <c r="AS29" s="796">
        <v>0</v>
      </c>
      <c r="AT29" s="242">
        <v>250.5</v>
      </c>
      <c r="AU29" s="792">
        <v>86.2</v>
      </c>
      <c r="AV29" s="769">
        <v>19.3</v>
      </c>
      <c r="AW29" s="769">
        <v>19.399999999999999</v>
      </c>
      <c r="AX29" s="978">
        <v>116.2</v>
      </c>
      <c r="AY29" s="986"/>
      <c r="AZ29" s="986"/>
      <c r="BA29" s="844"/>
      <c r="BB29" s="845"/>
      <c r="BC29" s="845"/>
    </row>
    <row r="30" spans="1:56" s="7" customFormat="1" ht="20.149999999999999" customHeight="1">
      <c r="A30" s="27" t="s">
        <v>202</v>
      </c>
      <c r="B30" s="125" t="s">
        <v>203</v>
      </c>
      <c r="C30" s="17">
        <f>9.894</f>
        <v>9.8940000000000001</v>
      </c>
      <c r="D30" s="30">
        <f>(263)*0.001</f>
        <v>0.26300000000000001</v>
      </c>
      <c r="E30" s="30">
        <f>(321)*0.001</f>
        <v>0.32100000000000001</v>
      </c>
      <c r="F30" s="209">
        <f>(6494)*0.001</f>
        <v>6.4939999999999998</v>
      </c>
      <c r="G30" s="30">
        <f>(1372)*0.001</f>
        <v>1.3720000000000001</v>
      </c>
      <c r="H30" s="30">
        <f>(1952)*0.001</f>
        <v>1.952</v>
      </c>
      <c r="I30" s="30">
        <f>(1195)*0.001</f>
        <v>1.1950000000000001</v>
      </c>
      <c r="J30" s="209">
        <f>(183)*0.001</f>
        <v>0.183</v>
      </c>
      <c r="K30" s="40">
        <f>(365)*0.001</f>
        <v>0.36499999999999999</v>
      </c>
      <c r="L30" s="16">
        <v>28</v>
      </c>
      <c r="M30" s="16">
        <v>26</v>
      </c>
      <c r="N30" s="209">
        <v>26</v>
      </c>
      <c r="O30" s="17">
        <v>28.9</v>
      </c>
      <c r="P30" s="17">
        <v>1.5</v>
      </c>
      <c r="Q30" s="16">
        <v>0.7</v>
      </c>
      <c r="R30" s="209">
        <v>0.7</v>
      </c>
      <c r="S30" s="86">
        <v>1.9</v>
      </c>
      <c r="T30" s="86">
        <v>1.4</v>
      </c>
      <c r="U30" s="86">
        <v>0.9</v>
      </c>
      <c r="V30" s="209">
        <v>29.1</v>
      </c>
      <c r="W30" s="86">
        <v>30.3</v>
      </c>
      <c r="X30" s="86">
        <v>17</v>
      </c>
      <c r="Y30" s="86">
        <v>25.3</v>
      </c>
      <c r="Z30" s="209">
        <v>1.3</v>
      </c>
      <c r="AA30" s="86">
        <v>55.8</v>
      </c>
      <c r="AB30" s="86">
        <v>68.7</v>
      </c>
      <c r="AC30" s="86">
        <v>65.400000000000006</v>
      </c>
      <c r="AD30" s="209">
        <v>34.6</v>
      </c>
      <c r="AE30" s="86">
        <v>36.799999999999997</v>
      </c>
      <c r="AF30" s="86">
        <v>5.6</v>
      </c>
      <c r="AG30" s="86">
        <v>4.5</v>
      </c>
      <c r="AH30" s="209">
        <v>4.8</v>
      </c>
      <c r="AI30" s="86">
        <v>7.1</v>
      </c>
      <c r="AJ30" s="86">
        <v>4.7</v>
      </c>
      <c r="AK30" s="86">
        <v>4.8</v>
      </c>
      <c r="AL30" s="209">
        <v>9</v>
      </c>
      <c r="AM30" s="86">
        <v>9.4</v>
      </c>
      <c r="AN30" s="86">
        <v>11.8</v>
      </c>
      <c r="AO30" s="86">
        <v>4.5999999999999996</v>
      </c>
      <c r="AP30" s="209">
        <v>4.5</v>
      </c>
      <c r="AQ30" s="86">
        <v>15.2</v>
      </c>
      <c r="AR30" s="752">
        <v>16.600000000000001</v>
      </c>
      <c r="AS30" s="771">
        <v>3.6</v>
      </c>
      <c r="AT30" s="209">
        <v>5</v>
      </c>
      <c r="AU30" s="86">
        <v>5.8</v>
      </c>
      <c r="AV30" s="769">
        <v>9.1</v>
      </c>
      <c r="AW30" s="769">
        <v>1.3</v>
      </c>
      <c r="AX30" s="978">
        <v>20</v>
      </c>
      <c r="AY30" s="986"/>
      <c r="AZ30" s="986"/>
      <c r="BA30" s="844"/>
      <c r="BB30" s="845"/>
      <c r="BC30" s="845"/>
    </row>
    <row r="31" spans="1:56" s="7" customFormat="1" ht="20.149999999999999" customHeight="1">
      <c r="A31" s="27" t="s">
        <v>204</v>
      </c>
      <c r="B31" s="125" t="s">
        <v>205</v>
      </c>
      <c r="C31" s="18">
        <v>0</v>
      </c>
      <c r="D31" s="30">
        <f>(53916)*0.001</f>
        <v>53.916000000000004</v>
      </c>
      <c r="E31" s="30">
        <f>(54038)*0.001</f>
        <v>54.038000000000004</v>
      </c>
      <c r="F31" s="209">
        <f>(57096)*0.001</f>
        <v>57.096000000000004</v>
      </c>
      <c r="G31" s="30">
        <f>(60035)*0.001</f>
        <v>60.035000000000004</v>
      </c>
      <c r="H31" s="30">
        <f>(63564)*0.001</f>
        <v>63.564</v>
      </c>
      <c r="I31" s="30">
        <f>(65852)*0.001</f>
        <v>65.852000000000004</v>
      </c>
      <c r="J31" s="209">
        <f>(70055)*0.001</f>
        <v>70.055000000000007</v>
      </c>
      <c r="K31" s="40">
        <f>(70958)*0.001</f>
        <v>70.957999999999998</v>
      </c>
      <c r="L31" s="16">
        <v>91.2</v>
      </c>
      <c r="M31" s="16">
        <v>117.3</v>
      </c>
      <c r="N31" s="209">
        <v>141.69999999999999</v>
      </c>
      <c r="O31" s="17">
        <v>165.3</v>
      </c>
      <c r="P31" s="17">
        <v>186.1</v>
      </c>
      <c r="Q31" s="16">
        <v>200.4</v>
      </c>
      <c r="R31" s="209">
        <v>212.7</v>
      </c>
      <c r="S31" s="86">
        <v>213.3</v>
      </c>
      <c r="T31" s="86">
        <v>209.1</v>
      </c>
      <c r="U31" s="86">
        <v>207.6</v>
      </c>
      <c r="V31" s="209">
        <v>207.2</v>
      </c>
      <c r="W31" s="86">
        <v>205.7</v>
      </c>
      <c r="X31" s="86">
        <v>202.3</v>
      </c>
      <c r="Y31" s="86">
        <v>203.5</v>
      </c>
      <c r="Z31" s="209">
        <v>207.9</v>
      </c>
      <c r="AA31" s="86">
        <v>206.9</v>
      </c>
      <c r="AB31" s="86">
        <v>230.1</v>
      </c>
      <c r="AC31" s="86">
        <v>230.1</v>
      </c>
      <c r="AD31" s="209">
        <v>218.5</v>
      </c>
      <c r="AE31" s="86">
        <v>221.6</v>
      </c>
      <c r="AF31" s="86">
        <v>221.7</v>
      </c>
      <c r="AG31" s="86">
        <v>227.5</v>
      </c>
      <c r="AH31" s="209">
        <v>225.7</v>
      </c>
      <c r="AI31" s="86">
        <v>222.1</v>
      </c>
      <c r="AJ31" s="86">
        <v>221.4</v>
      </c>
      <c r="AK31" s="86">
        <v>218.5</v>
      </c>
      <c r="AL31" s="209">
        <v>222.4</v>
      </c>
      <c r="AM31" s="86">
        <v>222.9</v>
      </c>
      <c r="AN31" s="86">
        <v>222.5</v>
      </c>
      <c r="AO31" s="86">
        <v>223.8</v>
      </c>
      <c r="AP31" s="209">
        <v>226.8</v>
      </c>
      <c r="AQ31" s="86">
        <v>221.2</v>
      </c>
      <c r="AR31" s="752">
        <v>220</v>
      </c>
      <c r="AS31" s="769">
        <v>216.6</v>
      </c>
      <c r="AT31" s="209">
        <v>217.3</v>
      </c>
      <c r="AU31" s="86">
        <v>214.8</v>
      </c>
      <c r="AV31" s="769">
        <v>213.5</v>
      </c>
      <c r="AW31" s="769">
        <v>226.3</v>
      </c>
      <c r="AX31" s="978">
        <v>227.4</v>
      </c>
      <c r="AY31" s="986"/>
      <c r="AZ31" s="986"/>
      <c r="BA31" s="844"/>
      <c r="BB31" s="845"/>
      <c r="BC31" s="845"/>
    </row>
    <row r="32" spans="1:56" s="7" customFormat="1" ht="20.149999999999999" customHeight="1">
      <c r="A32" s="27" t="s">
        <v>767</v>
      </c>
      <c r="B32" s="125" t="s">
        <v>206</v>
      </c>
      <c r="C32" s="17">
        <f>136.299</f>
        <v>136.29900000000001</v>
      </c>
      <c r="D32" s="30">
        <f>(73814)*0.001</f>
        <v>73.814000000000007</v>
      </c>
      <c r="E32" s="30">
        <f>(53239)*0.001</f>
        <v>53.239000000000004</v>
      </c>
      <c r="F32" s="209">
        <f>(71968)*0.001</f>
        <v>71.968000000000004</v>
      </c>
      <c r="G32" s="30">
        <f>(109187)*0.001</f>
        <v>109.187</v>
      </c>
      <c r="H32" s="30">
        <f>(93754)*0.001</f>
        <v>93.754000000000005</v>
      </c>
      <c r="I32" s="30">
        <f>(113708)*0.001</f>
        <v>113.708</v>
      </c>
      <c r="J32" s="209">
        <f>(105360)*0.001</f>
        <v>105.36</v>
      </c>
      <c r="K32" s="40">
        <f>(106732)*0.001</f>
        <v>106.732</v>
      </c>
      <c r="L32" s="16">
        <v>221.9</v>
      </c>
      <c r="M32" s="16">
        <v>224.2</v>
      </c>
      <c r="N32" s="209">
        <v>160.1</v>
      </c>
      <c r="O32" s="17">
        <v>212.9</v>
      </c>
      <c r="P32" s="17">
        <v>226.2</v>
      </c>
      <c r="Q32" s="16">
        <v>255</v>
      </c>
      <c r="R32" s="209">
        <v>399.5</v>
      </c>
      <c r="S32" s="86">
        <v>69.599999999999994</v>
      </c>
      <c r="T32" s="86">
        <v>62.8</v>
      </c>
      <c r="U32" s="86">
        <v>54.9</v>
      </c>
      <c r="V32" s="209">
        <v>38.700000000000003</v>
      </c>
      <c r="W32" s="86">
        <v>72.3</v>
      </c>
      <c r="X32" s="86">
        <v>60.7</v>
      </c>
      <c r="Y32" s="86">
        <v>61.7</v>
      </c>
      <c r="Z32" s="209">
        <v>31.7</v>
      </c>
      <c r="AA32" s="86">
        <v>70.2</v>
      </c>
      <c r="AB32" s="86">
        <v>82.5</v>
      </c>
      <c r="AC32" s="86">
        <v>56.8</v>
      </c>
      <c r="AD32" s="209">
        <v>34.9</v>
      </c>
      <c r="AE32" s="86">
        <v>71.099999999999994</v>
      </c>
      <c r="AF32" s="86">
        <v>55.5</v>
      </c>
      <c r="AG32" s="86">
        <v>52.2</v>
      </c>
      <c r="AH32" s="209">
        <v>31.9</v>
      </c>
      <c r="AI32" s="86">
        <v>72.3</v>
      </c>
      <c r="AJ32" s="86">
        <v>57</v>
      </c>
      <c r="AK32" s="86">
        <v>44.2</v>
      </c>
      <c r="AL32" s="209">
        <v>39.299999999999997</v>
      </c>
      <c r="AM32" s="86">
        <v>57.7</v>
      </c>
      <c r="AN32" s="86">
        <v>44.2</v>
      </c>
      <c r="AO32" s="86">
        <v>44.5</v>
      </c>
      <c r="AP32" s="209">
        <v>107.1</v>
      </c>
      <c r="AQ32" s="86">
        <v>191.1</v>
      </c>
      <c r="AR32" s="752">
        <v>225.2</v>
      </c>
      <c r="AS32" s="769">
        <v>182.5</v>
      </c>
      <c r="AT32" s="209">
        <v>137.19999999999999</v>
      </c>
      <c r="AU32" s="86">
        <v>152.4</v>
      </c>
      <c r="AV32" s="769">
        <v>148.69999999999999</v>
      </c>
      <c r="AW32" s="881">
        <v>158.69999999999999</v>
      </c>
      <c r="AX32" s="978">
        <v>139.69999999999999</v>
      </c>
      <c r="AY32" s="986"/>
      <c r="AZ32" s="986"/>
      <c r="BA32" s="844"/>
      <c r="BB32" s="845"/>
      <c r="BC32" s="845"/>
    </row>
    <row r="33" spans="1:57" s="15" customFormat="1" ht="20.149999999999999" customHeight="1">
      <c r="A33" s="29" t="s">
        <v>766</v>
      </c>
      <c r="B33" s="129" t="s">
        <v>207</v>
      </c>
      <c r="C33" s="18">
        <v>0</v>
      </c>
      <c r="D33" s="18">
        <f>0</f>
        <v>0</v>
      </c>
      <c r="E33" s="18">
        <v>0</v>
      </c>
      <c r="F33" s="211">
        <f>0</f>
        <v>0</v>
      </c>
      <c r="G33" s="18">
        <f>0</f>
        <v>0</v>
      </c>
      <c r="H33" s="18">
        <v>0</v>
      </c>
      <c r="I33" s="18">
        <f>0</f>
        <v>0</v>
      </c>
      <c r="J33" s="211">
        <v>0</v>
      </c>
      <c r="K33" s="31">
        <v>0</v>
      </c>
      <c r="L33" s="18" t="e">
        <f>0*($A$87)</f>
        <v>#VALUE!</v>
      </c>
      <c r="M33" s="18" t="e">
        <f>0*($A$87)</f>
        <v>#VALUE!</v>
      </c>
      <c r="N33" s="211">
        <v>22.2</v>
      </c>
      <c r="O33" s="22">
        <v>26.3</v>
      </c>
      <c r="P33" s="22">
        <v>27.3</v>
      </c>
      <c r="Q33" s="25">
        <v>3.8</v>
      </c>
      <c r="R33" s="211">
        <v>10.5</v>
      </c>
      <c r="S33" s="87">
        <v>0.2</v>
      </c>
      <c r="T33" s="87">
        <v>3.6</v>
      </c>
      <c r="U33" s="87">
        <v>4.8</v>
      </c>
      <c r="V33" s="211">
        <v>6.7</v>
      </c>
      <c r="W33" s="87">
        <v>4.9000000000000004</v>
      </c>
      <c r="X33" s="87">
        <v>5.3</v>
      </c>
      <c r="Y33" s="87">
        <v>6.4</v>
      </c>
      <c r="Z33" s="211">
        <v>5.0999999999999996</v>
      </c>
      <c r="AA33" s="87">
        <v>2.7</v>
      </c>
      <c r="AB33" s="87">
        <v>1.6</v>
      </c>
      <c r="AC33" s="87">
        <v>0.4</v>
      </c>
      <c r="AD33" s="211">
        <v>0</v>
      </c>
      <c r="AE33" s="87">
        <v>0</v>
      </c>
      <c r="AF33" s="87">
        <v>0</v>
      </c>
      <c r="AG33" s="86">
        <v>0</v>
      </c>
      <c r="AH33" s="211">
        <v>0.2</v>
      </c>
      <c r="AI33" s="87">
        <v>0</v>
      </c>
      <c r="AJ33" s="87">
        <v>0.2</v>
      </c>
      <c r="AK33" s="87">
        <v>0</v>
      </c>
      <c r="AL33" s="647">
        <v>2</v>
      </c>
      <c r="AM33" s="87">
        <v>1.6</v>
      </c>
      <c r="AN33" s="196">
        <v>1.6</v>
      </c>
      <c r="AO33" s="87">
        <v>3.6</v>
      </c>
      <c r="AP33" s="647">
        <v>60.9</v>
      </c>
      <c r="AQ33" s="196">
        <v>108.8</v>
      </c>
      <c r="AR33" s="753">
        <v>138.80000000000001</v>
      </c>
      <c r="AS33" s="775">
        <v>99.3</v>
      </c>
      <c r="AT33" s="646">
        <v>63.9</v>
      </c>
      <c r="AU33" s="196">
        <v>36.5</v>
      </c>
      <c r="AV33" s="889">
        <v>29.6</v>
      </c>
      <c r="AW33" s="937">
        <v>12</v>
      </c>
      <c r="AX33" s="989">
        <v>21.6</v>
      </c>
      <c r="AY33" s="986"/>
      <c r="AZ33" s="986"/>
      <c r="BA33" s="844"/>
      <c r="BB33" s="845"/>
      <c r="BC33" s="845"/>
    </row>
    <row r="34" spans="1:57" s="7" customFormat="1" ht="20.149999999999999" customHeight="1">
      <c r="A34" s="27" t="s">
        <v>208</v>
      </c>
      <c r="B34" s="125" t="s">
        <v>209</v>
      </c>
      <c r="C34" s="18">
        <v>0</v>
      </c>
      <c r="D34" s="18">
        <f>0</f>
        <v>0</v>
      </c>
      <c r="E34" s="18">
        <v>0</v>
      </c>
      <c r="F34" s="211">
        <v>0</v>
      </c>
      <c r="G34" s="18">
        <f>0</f>
        <v>0</v>
      </c>
      <c r="H34" s="18">
        <v>0</v>
      </c>
      <c r="I34" s="18">
        <f>0</f>
        <v>0</v>
      </c>
      <c r="J34" s="211">
        <v>0</v>
      </c>
      <c r="K34" s="31">
        <v>0</v>
      </c>
      <c r="L34" s="26">
        <v>270</v>
      </c>
      <c r="M34" s="26">
        <v>30</v>
      </c>
      <c r="N34" s="211" t="e">
        <f>0*($A$87)</f>
        <v>#VALUE!</v>
      </c>
      <c r="O34" s="17">
        <v>42.7</v>
      </c>
      <c r="P34" s="17">
        <v>43.1</v>
      </c>
      <c r="Q34" s="19">
        <v>0</v>
      </c>
      <c r="R34" s="211">
        <v>0</v>
      </c>
      <c r="S34" s="86">
        <v>12.4</v>
      </c>
      <c r="T34" s="86">
        <v>0</v>
      </c>
      <c r="U34" s="86">
        <v>0</v>
      </c>
      <c r="V34" s="211">
        <v>0</v>
      </c>
      <c r="W34" s="86">
        <v>0</v>
      </c>
      <c r="X34" s="86">
        <v>0</v>
      </c>
      <c r="Y34" s="86">
        <v>0</v>
      </c>
      <c r="Z34" s="211">
        <v>0</v>
      </c>
      <c r="AA34" s="86">
        <v>0</v>
      </c>
      <c r="AB34" s="86">
        <v>0</v>
      </c>
      <c r="AC34" s="86">
        <v>0</v>
      </c>
      <c r="AD34" s="211">
        <v>0</v>
      </c>
      <c r="AE34" s="86">
        <v>0</v>
      </c>
      <c r="AF34" s="86">
        <v>0</v>
      </c>
      <c r="AG34" s="86">
        <v>0</v>
      </c>
      <c r="AH34" s="211">
        <v>0</v>
      </c>
      <c r="AI34" s="86">
        <v>0</v>
      </c>
      <c r="AJ34" s="86">
        <v>0</v>
      </c>
      <c r="AK34" s="86">
        <v>0</v>
      </c>
      <c r="AL34" s="211">
        <v>0</v>
      </c>
      <c r="AM34" s="86">
        <v>0</v>
      </c>
      <c r="AN34" s="86">
        <v>0</v>
      </c>
      <c r="AO34" s="86">
        <v>0</v>
      </c>
      <c r="AP34" s="211">
        <v>0</v>
      </c>
      <c r="AQ34" s="86">
        <v>0</v>
      </c>
      <c r="AR34" s="752">
        <v>0</v>
      </c>
      <c r="AS34" s="752">
        <v>0</v>
      </c>
      <c r="AT34" s="211">
        <v>0</v>
      </c>
      <c r="AU34" s="86">
        <v>0</v>
      </c>
      <c r="AV34" s="752">
        <v>0</v>
      </c>
      <c r="AW34" s="752">
        <v>0</v>
      </c>
      <c r="AX34" s="245">
        <v>0</v>
      </c>
      <c r="AY34" s="986"/>
      <c r="AZ34" s="986"/>
      <c r="BA34" s="844"/>
      <c r="BB34" s="845"/>
      <c r="BC34" s="845"/>
    </row>
    <row r="35" spans="1:57" s="7" customFormat="1" ht="20.149999999999999" customHeight="1">
      <c r="A35" s="27" t="s">
        <v>210</v>
      </c>
      <c r="B35" s="125" t="s">
        <v>211</v>
      </c>
      <c r="C35" s="17">
        <f>422.627</f>
        <v>422.62700000000001</v>
      </c>
      <c r="D35" s="30">
        <f>(309519)*0.001</f>
        <v>309.51900000000001</v>
      </c>
      <c r="E35" s="30">
        <f>(225111)*0.001</f>
        <v>225.11100000000002</v>
      </c>
      <c r="F35" s="209">
        <f>(270354)*0.001</f>
        <v>270.35399999999998</v>
      </c>
      <c r="G35" s="30">
        <f>(324338)*0.001</f>
        <v>324.33800000000002</v>
      </c>
      <c r="H35" s="30">
        <f>(265803)*0.001</f>
        <v>265.803</v>
      </c>
      <c r="I35" s="30">
        <f>(215396)*0.001</f>
        <v>215.39600000000002</v>
      </c>
      <c r="J35" s="209">
        <f>(342251)*0.001</f>
        <v>342.25100000000003</v>
      </c>
      <c r="K35" s="40">
        <f>(428190)*0.001</f>
        <v>428.19</v>
      </c>
      <c r="L35" s="16">
        <v>1894.3</v>
      </c>
      <c r="M35" s="16">
        <v>1631</v>
      </c>
      <c r="N35" s="209">
        <v>1735.3</v>
      </c>
      <c r="O35" s="17">
        <v>1478.9</v>
      </c>
      <c r="P35" s="17">
        <v>1383.8</v>
      </c>
      <c r="Q35" s="16">
        <v>1059.5999999999999</v>
      </c>
      <c r="R35" s="209">
        <v>1512</v>
      </c>
      <c r="S35" s="86">
        <v>1538.6</v>
      </c>
      <c r="T35" s="86">
        <v>944.5</v>
      </c>
      <c r="U35" s="86">
        <v>1099.4000000000001</v>
      </c>
      <c r="V35" s="209">
        <v>1326</v>
      </c>
      <c r="W35" s="86">
        <v>1567.7</v>
      </c>
      <c r="X35" s="86">
        <v>1354.6</v>
      </c>
      <c r="Y35" s="86">
        <v>1080.2</v>
      </c>
      <c r="Z35" s="209">
        <v>1161.5</v>
      </c>
      <c r="AA35" s="86">
        <v>785.9</v>
      </c>
      <c r="AB35" s="86">
        <v>876.1</v>
      </c>
      <c r="AC35" s="86">
        <v>1151.5</v>
      </c>
      <c r="AD35" s="209">
        <v>1167</v>
      </c>
      <c r="AE35" s="86">
        <v>745.7</v>
      </c>
      <c r="AF35" s="86">
        <v>774.9</v>
      </c>
      <c r="AG35" s="86">
        <v>878.2</v>
      </c>
      <c r="AH35" s="209">
        <v>743.5</v>
      </c>
      <c r="AI35" s="86">
        <v>1130.5999999999999</v>
      </c>
      <c r="AJ35" s="86">
        <v>1310.4000000000001</v>
      </c>
      <c r="AK35" s="86">
        <v>1153.0999999999999</v>
      </c>
      <c r="AL35" s="209">
        <v>1355.4</v>
      </c>
      <c r="AM35" s="86">
        <v>1147.5999999999999</v>
      </c>
      <c r="AN35" s="86">
        <v>659.8</v>
      </c>
      <c r="AO35" s="86">
        <v>7462.8</v>
      </c>
      <c r="AP35" s="209">
        <v>3632.4</v>
      </c>
      <c r="AQ35" s="86">
        <v>3342.9</v>
      </c>
      <c r="AR35" s="752">
        <v>1053</v>
      </c>
      <c r="AS35" s="770">
        <v>1586</v>
      </c>
      <c r="AT35" s="209">
        <v>808.5</v>
      </c>
      <c r="AU35" s="86">
        <v>1463.5</v>
      </c>
      <c r="AV35" s="770">
        <v>3466.3</v>
      </c>
      <c r="AW35" s="770">
        <v>4162</v>
      </c>
      <c r="AX35" s="978">
        <v>3306</v>
      </c>
      <c r="AY35" s="986"/>
      <c r="AZ35" s="986"/>
      <c r="BA35" s="844"/>
      <c r="BB35" s="845"/>
      <c r="BC35" s="845"/>
    </row>
    <row r="36" spans="1:57" s="7" customFormat="1" ht="20.149999999999999" customHeight="1" thickBot="1">
      <c r="A36" s="27" t="s">
        <v>212</v>
      </c>
      <c r="B36" s="125" t="s">
        <v>213</v>
      </c>
      <c r="C36" s="18">
        <v>0</v>
      </c>
      <c r="D36" s="18">
        <f>0</f>
        <v>0</v>
      </c>
      <c r="E36" s="18">
        <f>0</f>
        <v>0</v>
      </c>
      <c r="F36" s="211">
        <v>0</v>
      </c>
      <c r="G36" s="18">
        <f>0</f>
        <v>0</v>
      </c>
      <c r="H36" s="18">
        <v>0</v>
      </c>
      <c r="I36" s="18">
        <f>0</f>
        <v>0</v>
      </c>
      <c r="J36" s="211">
        <v>0</v>
      </c>
      <c r="K36" s="31">
        <v>0</v>
      </c>
      <c r="L36" s="26">
        <v>12.6</v>
      </c>
      <c r="M36" s="26">
        <v>12.2</v>
      </c>
      <c r="N36" s="211">
        <v>12.6</v>
      </c>
      <c r="O36" s="17">
        <v>12.7</v>
      </c>
      <c r="P36" s="17">
        <v>12.8</v>
      </c>
      <c r="Q36" s="26">
        <v>12.4</v>
      </c>
      <c r="R36" s="211">
        <v>11.7</v>
      </c>
      <c r="S36" s="86">
        <v>31.4</v>
      </c>
      <c r="T36" s="86">
        <v>10.9</v>
      </c>
      <c r="U36" s="86">
        <v>10.8</v>
      </c>
      <c r="V36" s="211">
        <v>10.7</v>
      </c>
      <c r="W36" s="86">
        <v>9.6</v>
      </c>
      <c r="X36" s="86">
        <v>8</v>
      </c>
      <c r="Y36" s="86">
        <v>8.1999999999999993</v>
      </c>
      <c r="Z36" s="211">
        <v>10.5</v>
      </c>
      <c r="AA36" s="86">
        <v>11.6</v>
      </c>
      <c r="AB36" s="86">
        <v>11.7</v>
      </c>
      <c r="AC36" s="86">
        <v>11.6</v>
      </c>
      <c r="AD36" s="211">
        <v>11.7</v>
      </c>
      <c r="AE36" s="86">
        <v>11.3</v>
      </c>
      <c r="AF36" s="86">
        <v>8.9</v>
      </c>
      <c r="AG36" s="86">
        <v>8</v>
      </c>
      <c r="AH36" s="211">
        <v>9.6</v>
      </c>
      <c r="AI36" s="86">
        <v>10.199999999999999</v>
      </c>
      <c r="AJ36" s="86">
        <v>10.1</v>
      </c>
      <c r="AK36" s="86">
        <v>11.1</v>
      </c>
      <c r="AL36" s="211">
        <v>10.4</v>
      </c>
      <c r="AM36" s="86">
        <v>11.2</v>
      </c>
      <c r="AN36" s="86">
        <v>8.6999999999999993</v>
      </c>
      <c r="AO36" s="86">
        <v>9.5</v>
      </c>
      <c r="AP36" s="209">
        <v>11.9</v>
      </c>
      <c r="AQ36" s="86">
        <v>10.8</v>
      </c>
      <c r="AR36" s="752">
        <v>9</v>
      </c>
      <c r="AS36" s="86">
        <v>10.1</v>
      </c>
      <c r="AT36" s="209">
        <v>9.3000000000000007</v>
      </c>
      <c r="AU36" s="86">
        <v>9.9</v>
      </c>
      <c r="AV36" s="883">
        <v>12.2</v>
      </c>
      <c r="AW36" s="883">
        <v>19.7</v>
      </c>
      <c r="AX36" s="978">
        <v>19.7</v>
      </c>
      <c r="AY36" s="986"/>
      <c r="AZ36" s="986"/>
      <c r="BA36" s="844"/>
      <c r="BB36" s="845"/>
      <c r="BC36" s="845"/>
    </row>
    <row r="37" spans="1:57" s="225" customFormat="1" ht="25.25" customHeight="1" thickBot="1">
      <c r="A37" s="399" t="s">
        <v>214</v>
      </c>
      <c r="B37" s="399" t="s">
        <v>215</v>
      </c>
      <c r="C37" s="400">
        <f t="shared" ref="C37:M37" si="3">SUM(C25:C36)</f>
        <v>1273.798</v>
      </c>
      <c r="D37" s="401">
        <f t="shared" si="3"/>
        <v>1172.6559999999999</v>
      </c>
      <c r="E37" s="401">
        <f t="shared" si="3"/>
        <v>1058.173</v>
      </c>
      <c r="F37" s="402">
        <f t="shared" si="3"/>
        <v>1085.1969999999999</v>
      </c>
      <c r="G37" s="401">
        <f t="shared" si="3"/>
        <v>1204.625</v>
      </c>
      <c r="H37" s="401">
        <f t="shared" si="3"/>
        <v>1164.163</v>
      </c>
      <c r="I37" s="401">
        <f t="shared" si="3"/>
        <v>1161.885</v>
      </c>
      <c r="J37" s="402">
        <f t="shared" si="3"/>
        <v>1220.3850000000002</v>
      </c>
      <c r="K37" s="400">
        <f t="shared" si="3"/>
        <v>1396.8419999999999</v>
      </c>
      <c r="L37" s="401" t="e">
        <f t="shared" si="3"/>
        <v>#VALUE!</v>
      </c>
      <c r="M37" s="401" t="e">
        <f t="shared" si="3"/>
        <v>#VALUE!</v>
      </c>
      <c r="N37" s="402" t="e">
        <f t="shared" ref="N37:AQ37" si="4">SUM(N25:N36)-N33</f>
        <v>#VALUE!</v>
      </c>
      <c r="O37" s="400" t="e">
        <f t="shared" si="4"/>
        <v>#VALUE!</v>
      </c>
      <c r="P37" s="401">
        <f t="shared" si="4"/>
        <v>4274.2</v>
      </c>
      <c r="Q37" s="401">
        <f t="shared" si="4"/>
        <v>3747.2000000000003</v>
      </c>
      <c r="R37" s="402">
        <f t="shared" si="4"/>
        <v>4228.8999999999987</v>
      </c>
      <c r="S37" s="400">
        <f t="shared" si="4"/>
        <v>3866.0000000000005</v>
      </c>
      <c r="T37" s="401">
        <f t="shared" si="4"/>
        <v>3203.3</v>
      </c>
      <c r="U37" s="401">
        <f t="shared" si="4"/>
        <v>3445.5000000000005</v>
      </c>
      <c r="V37" s="402">
        <f t="shared" si="4"/>
        <v>3770.3999999999992</v>
      </c>
      <c r="W37" s="400">
        <f t="shared" si="4"/>
        <v>3911.1000000000004</v>
      </c>
      <c r="X37" s="401">
        <f t="shared" si="4"/>
        <v>3862.9</v>
      </c>
      <c r="Y37" s="401">
        <f t="shared" si="4"/>
        <v>3676.6</v>
      </c>
      <c r="Z37" s="402">
        <f t="shared" si="4"/>
        <v>3931.5</v>
      </c>
      <c r="AA37" s="400">
        <f t="shared" si="4"/>
        <v>4363.8</v>
      </c>
      <c r="AB37" s="401">
        <f t="shared" si="4"/>
        <v>4827.2</v>
      </c>
      <c r="AC37" s="401">
        <f t="shared" si="4"/>
        <v>5300.0000000000009</v>
      </c>
      <c r="AD37" s="402">
        <f t="shared" si="4"/>
        <v>5422.7</v>
      </c>
      <c r="AE37" s="400">
        <f t="shared" si="4"/>
        <v>4952.3000000000011</v>
      </c>
      <c r="AF37" s="401">
        <f t="shared" si="4"/>
        <v>4886.0999999999985</v>
      </c>
      <c r="AG37" s="401">
        <f t="shared" si="4"/>
        <v>5013.3999999999996</v>
      </c>
      <c r="AH37" s="402">
        <f t="shared" si="4"/>
        <v>4984.8999999999996</v>
      </c>
      <c r="AI37" s="400">
        <f t="shared" si="4"/>
        <v>5339.8</v>
      </c>
      <c r="AJ37" s="401">
        <f t="shared" si="4"/>
        <v>5513.2</v>
      </c>
      <c r="AK37" s="401">
        <f t="shared" si="4"/>
        <v>5282.3000000000011</v>
      </c>
      <c r="AL37" s="402">
        <f t="shared" si="4"/>
        <v>5277.2000000000007</v>
      </c>
      <c r="AM37" s="400">
        <f t="shared" si="4"/>
        <v>5114.2999999999993</v>
      </c>
      <c r="AN37" s="401">
        <f t="shared" si="4"/>
        <v>4780.8</v>
      </c>
      <c r="AO37" s="401">
        <f t="shared" si="4"/>
        <v>12037.9</v>
      </c>
      <c r="AP37" s="402">
        <f t="shared" si="4"/>
        <v>8077.3000000000011</v>
      </c>
      <c r="AQ37" s="400">
        <f t="shared" si="4"/>
        <v>8023.6</v>
      </c>
      <c r="AR37" s="754">
        <f>SUM(AR25:AR36)-AR33</f>
        <v>6134.7</v>
      </c>
      <c r="AS37" s="401">
        <f>SUM(AS25:AS36)-AS33</f>
        <v>6747.7000000000007</v>
      </c>
      <c r="AT37" s="402">
        <f>SUM(AT25:AT36)-AT33</f>
        <v>6403.6</v>
      </c>
      <c r="AU37" s="400">
        <f t="shared" ref="AU37:AV37" si="5">SUM(AU25:AU36)-AU33</f>
        <v>6966.2999999999993</v>
      </c>
      <c r="AV37" s="754">
        <f t="shared" si="5"/>
        <v>8802.5000000000018</v>
      </c>
      <c r="AW37" s="401">
        <f>SUM(AW25:AW36)-AW33</f>
        <v>10055.200000000001</v>
      </c>
      <c r="AX37" s="402">
        <f>SUM(AX25:AX36)-AX33</f>
        <v>9018.9</v>
      </c>
      <c r="AY37" s="986"/>
      <c r="AZ37" s="986"/>
      <c r="BA37" s="844"/>
      <c r="BB37" s="845"/>
      <c r="BC37" s="844"/>
    </row>
    <row r="38" spans="1:57" s="7" customFormat="1" ht="20.149999999999999" customHeight="1">
      <c r="A38" s="224" t="s">
        <v>768</v>
      </c>
      <c r="B38" s="207" t="s">
        <v>216</v>
      </c>
      <c r="C38" s="18"/>
      <c r="D38" s="18"/>
      <c r="E38" s="18"/>
      <c r="F38" s="211"/>
      <c r="G38" s="18"/>
      <c r="H38" s="18"/>
      <c r="I38" s="18"/>
      <c r="J38" s="211"/>
      <c r="K38" s="31"/>
      <c r="L38" s="26"/>
      <c r="M38" s="26"/>
      <c r="N38" s="211"/>
      <c r="O38" s="17"/>
      <c r="P38" s="17"/>
      <c r="Q38" s="19"/>
      <c r="R38" s="211"/>
      <c r="S38" s="86"/>
      <c r="T38" s="86"/>
      <c r="U38" s="86"/>
      <c r="V38" s="211"/>
      <c r="W38" s="86"/>
      <c r="X38" s="86"/>
      <c r="Y38" s="86"/>
      <c r="Z38" s="211"/>
      <c r="AA38" s="86"/>
      <c r="AB38" s="86"/>
      <c r="AC38" s="86"/>
      <c r="AD38" s="211"/>
      <c r="AE38" s="86"/>
      <c r="AF38" s="86"/>
      <c r="AG38" s="86"/>
      <c r="AH38" s="211"/>
      <c r="AI38" s="86"/>
      <c r="AJ38" s="86"/>
      <c r="AK38" s="86"/>
      <c r="AL38" s="211"/>
      <c r="AM38" s="86">
        <v>3574.4</v>
      </c>
      <c r="AN38" s="208">
        <v>4581.1000000000004</v>
      </c>
      <c r="AO38" s="86">
        <v>0</v>
      </c>
      <c r="AP38" s="211">
        <v>0</v>
      </c>
      <c r="AQ38" s="86"/>
      <c r="AR38" s="544"/>
      <c r="AS38" s="86"/>
      <c r="AT38" s="209">
        <v>127.7</v>
      </c>
      <c r="AU38" s="86">
        <v>127.7</v>
      </c>
      <c r="AV38" s="544">
        <v>183.2</v>
      </c>
      <c r="AW38" s="86">
        <v>133.5</v>
      </c>
      <c r="AX38" s="209">
        <v>8.6</v>
      </c>
      <c r="AY38" s="986"/>
      <c r="AZ38" s="986"/>
      <c r="BA38" s="844"/>
      <c r="BB38" s="845"/>
      <c r="BC38" s="845"/>
    </row>
    <row r="39" spans="1:57" s="7" customFormat="1" ht="20.149999999999999" customHeight="1">
      <c r="A39" s="394" t="s">
        <v>769</v>
      </c>
      <c r="B39" s="395" t="s">
        <v>217</v>
      </c>
      <c r="C39" s="18"/>
      <c r="D39" s="18"/>
      <c r="E39" s="18"/>
      <c r="F39" s="211"/>
      <c r="G39" s="18"/>
      <c r="H39" s="18"/>
      <c r="I39" s="18"/>
      <c r="J39" s="211"/>
      <c r="K39" s="31"/>
      <c r="L39" s="26"/>
      <c r="M39" s="26"/>
      <c r="N39" s="211"/>
      <c r="O39" s="17"/>
      <c r="P39" s="17"/>
      <c r="Q39" s="19"/>
      <c r="R39" s="211"/>
      <c r="S39" s="86"/>
      <c r="T39" s="86"/>
      <c r="U39" s="86"/>
      <c r="V39" s="211"/>
      <c r="W39" s="86"/>
      <c r="X39" s="86"/>
      <c r="Y39" s="86"/>
      <c r="Z39" s="211"/>
      <c r="AA39" s="86"/>
      <c r="AB39" s="86"/>
      <c r="AC39" s="86"/>
      <c r="AD39" s="211"/>
      <c r="AE39" s="86"/>
      <c r="AF39" s="86"/>
      <c r="AG39" s="86"/>
      <c r="AH39" s="211"/>
      <c r="AI39" s="86"/>
      <c r="AJ39" s="86"/>
      <c r="AK39" s="86"/>
      <c r="AL39" s="211"/>
      <c r="AM39" s="87">
        <v>108.5</v>
      </c>
      <c r="AN39" s="87">
        <v>95.5</v>
      </c>
      <c r="AO39" s="86">
        <v>0</v>
      </c>
      <c r="AP39" s="211"/>
      <c r="AQ39" s="87"/>
      <c r="AR39" s="755"/>
      <c r="AS39" s="86"/>
      <c r="AT39" s="211"/>
      <c r="AU39" s="87"/>
      <c r="AV39" s="755"/>
      <c r="AW39" s="86"/>
      <c r="AX39" s="989">
        <v>1.2</v>
      </c>
      <c r="AY39" s="843"/>
      <c r="AZ39" s="986"/>
      <c r="BA39" s="844"/>
      <c r="BB39" s="845"/>
      <c r="BC39" s="845"/>
    </row>
    <row r="40" spans="1:57" s="226" customFormat="1" ht="25.25" customHeight="1">
      <c r="A40" s="390" t="s">
        <v>218</v>
      </c>
      <c r="B40" s="390" t="s">
        <v>219</v>
      </c>
      <c r="C40" s="391">
        <f t="shared" ref="C40:AL40" si="6">C24+C37</f>
        <v>5502.7539999999999</v>
      </c>
      <c r="D40" s="392">
        <f t="shared" si="6"/>
        <v>5597.8010000000004</v>
      </c>
      <c r="E40" s="392">
        <f t="shared" si="6"/>
        <v>5514.8739999999998</v>
      </c>
      <c r="F40" s="393">
        <f t="shared" si="6"/>
        <v>5561.3450000000003</v>
      </c>
      <c r="G40" s="392">
        <f t="shared" si="6"/>
        <v>5629.4740000000011</v>
      </c>
      <c r="H40" s="392">
        <f t="shared" si="6"/>
        <v>5592.7070000000003</v>
      </c>
      <c r="I40" s="392">
        <f t="shared" si="6"/>
        <v>5597.9810000000007</v>
      </c>
      <c r="J40" s="393">
        <f t="shared" si="6"/>
        <v>5676.2300000000005</v>
      </c>
      <c r="K40" s="391">
        <f t="shared" si="6"/>
        <v>5851.1940000000004</v>
      </c>
      <c r="L40" s="392" t="e">
        <f t="shared" si="6"/>
        <v>#VALUE!</v>
      </c>
      <c r="M40" s="392" t="e">
        <f t="shared" si="6"/>
        <v>#VALUE!</v>
      </c>
      <c r="N40" s="393" t="e">
        <f t="shared" si="6"/>
        <v>#VALUE!</v>
      </c>
      <c r="O40" s="391" t="e">
        <f t="shared" si="6"/>
        <v>#VALUE!</v>
      </c>
      <c r="P40" s="392">
        <f t="shared" si="6"/>
        <v>27141.8</v>
      </c>
      <c r="Q40" s="392">
        <f t="shared" si="6"/>
        <v>26143.5</v>
      </c>
      <c r="R40" s="393">
        <f t="shared" si="6"/>
        <v>26490.099999999995</v>
      </c>
      <c r="S40" s="391">
        <f t="shared" si="6"/>
        <v>28355.499999999996</v>
      </c>
      <c r="T40" s="392">
        <f t="shared" si="6"/>
        <v>27581.1</v>
      </c>
      <c r="U40" s="392">
        <f t="shared" si="6"/>
        <v>27493.100000000002</v>
      </c>
      <c r="V40" s="393">
        <f t="shared" si="6"/>
        <v>27729.299999999996</v>
      </c>
      <c r="W40" s="391">
        <f t="shared" si="6"/>
        <v>27553.199999999997</v>
      </c>
      <c r="X40" s="392">
        <f t="shared" si="6"/>
        <v>27317.5</v>
      </c>
      <c r="Y40" s="392">
        <f t="shared" si="6"/>
        <v>26892.599999999995</v>
      </c>
      <c r="Z40" s="393">
        <f t="shared" si="6"/>
        <v>27756</v>
      </c>
      <c r="AA40" s="391">
        <f t="shared" si="6"/>
        <v>27894.399999999998</v>
      </c>
      <c r="AB40" s="392">
        <f t="shared" si="6"/>
        <v>29751.599999999999</v>
      </c>
      <c r="AC40" s="392">
        <f t="shared" si="6"/>
        <v>30395.3</v>
      </c>
      <c r="AD40" s="393">
        <f t="shared" si="6"/>
        <v>30696.800000000003</v>
      </c>
      <c r="AE40" s="391">
        <f t="shared" si="6"/>
        <v>31463.800000000003</v>
      </c>
      <c r="AF40" s="392">
        <f t="shared" si="6"/>
        <v>31359.200000000001</v>
      </c>
      <c r="AG40" s="392">
        <f t="shared" si="6"/>
        <v>31277.699999999997</v>
      </c>
      <c r="AH40" s="393">
        <f t="shared" si="6"/>
        <v>32589.599999999999</v>
      </c>
      <c r="AI40" s="391">
        <f t="shared" si="6"/>
        <v>32658.700000000004</v>
      </c>
      <c r="AJ40" s="392">
        <f t="shared" si="6"/>
        <v>32622.799999999996</v>
      </c>
      <c r="AK40" s="392">
        <f t="shared" si="6"/>
        <v>32814.1</v>
      </c>
      <c r="AL40" s="393">
        <f t="shared" si="6"/>
        <v>33115</v>
      </c>
      <c r="AM40" s="391">
        <f>AM24+AM37+AM38</f>
        <v>32954.499999999993</v>
      </c>
      <c r="AN40" s="392">
        <f>AN24+AN37+AN38</f>
        <v>32922.299999999996</v>
      </c>
      <c r="AO40" s="392">
        <f>AO24+AO37</f>
        <v>35967.399999999994</v>
      </c>
      <c r="AP40" s="393">
        <f>AP24+AP37</f>
        <v>32237</v>
      </c>
      <c r="AQ40" s="392">
        <f>AQ24+AQ37+AQ38</f>
        <v>31895.199999999997</v>
      </c>
      <c r="AR40" s="392">
        <f>AR24+AR37+AR38</f>
        <v>31814.000000000004</v>
      </c>
      <c r="AS40" s="392">
        <f>AS24+AS37</f>
        <v>31686.199999999993</v>
      </c>
      <c r="AT40" s="393">
        <f>AT24+AT37+AT38</f>
        <v>32306.600000000002</v>
      </c>
      <c r="AU40" s="392">
        <f>AU24+AU37+AU38</f>
        <v>32810.6</v>
      </c>
      <c r="AV40" s="392">
        <f>AV24+AV37+AV38</f>
        <v>34698.6</v>
      </c>
      <c r="AW40" s="392">
        <f>AW24+AW37+AW38</f>
        <v>36772.300000000003</v>
      </c>
      <c r="AX40" s="393">
        <f>AX24+AX37+AX38</f>
        <v>37176.699999999997</v>
      </c>
      <c r="AY40" s="843"/>
      <c r="AZ40" s="986"/>
      <c r="BA40" s="844"/>
      <c r="BB40" s="845"/>
      <c r="BC40" s="845"/>
      <c r="BD40" s="845"/>
      <c r="BE40" s="845"/>
    </row>
    <row r="41" spans="1:57" s="398" customFormat="1" ht="38.25" customHeight="1">
      <c r="A41" s="396" t="s">
        <v>220</v>
      </c>
      <c r="B41" s="397" t="s">
        <v>221</v>
      </c>
      <c r="C41" s="435"/>
      <c r="D41" s="435"/>
      <c r="E41" s="436"/>
      <c r="F41" s="437"/>
      <c r="G41" s="435"/>
      <c r="H41" s="435"/>
      <c r="I41" s="436"/>
      <c r="J41" s="437"/>
      <c r="K41" s="435"/>
      <c r="L41" s="435"/>
      <c r="M41" s="436"/>
      <c r="N41" s="437"/>
      <c r="O41" s="435"/>
      <c r="P41" s="435"/>
      <c r="Q41" s="436"/>
      <c r="R41" s="437"/>
      <c r="S41" s="435"/>
      <c r="T41" s="435"/>
      <c r="U41" s="436"/>
      <c r="V41" s="437"/>
      <c r="W41" s="435"/>
      <c r="X41" s="435"/>
      <c r="Y41" s="436"/>
      <c r="Z41" s="437"/>
      <c r="AA41" s="435"/>
      <c r="AB41" s="435"/>
      <c r="AC41" s="436"/>
      <c r="AD41" s="437"/>
      <c r="AE41" s="435"/>
      <c r="AF41" s="435"/>
      <c r="AG41" s="436"/>
      <c r="AH41" s="437"/>
      <c r="AI41" s="435"/>
      <c r="AJ41" s="435"/>
      <c r="AK41" s="436"/>
      <c r="AL41" s="437"/>
      <c r="AM41" s="435"/>
      <c r="AN41" s="435"/>
      <c r="AO41" s="436"/>
      <c r="AP41" s="437"/>
      <c r="AQ41" s="435"/>
      <c r="AR41" s="435"/>
      <c r="AS41" s="436"/>
      <c r="AT41" s="437"/>
      <c r="AU41" s="435"/>
      <c r="AV41" s="879"/>
      <c r="AW41" s="436"/>
      <c r="AX41" s="437"/>
      <c r="AY41" s="843"/>
      <c r="AZ41" s="986"/>
      <c r="BA41" s="844"/>
      <c r="BB41" s="845"/>
      <c r="BC41" s="845"/>
    </row>
    <row r="42" spans="1:57" s="7" customFormat="1" ht="20.149999999999999" customHeight="1">
      <c r="A42" s="27" t="s">
        <v>222</v>
      </c>
      <c r="B42" s="125" t="s">
        <v>223</v>
      </c>
      <c r="C42" s="41">
        <f>13.934</f>
        <v>13.933999999999999</v>
      </c>
      <c r="D42" s="41">
        <f t="shared" ref="D42:K42" si="7">(13934)*0.001</f>
        <v>13.934000000000001</v>
      </c>
      <c r="E42" s="41">
        <f t="shared" si="7"/>
        <v>13.934000000000001</v>
      </c>
      <c r="F42" s="235">
        <f t="shared" si="7"/>
        <v>13.934000000000001</v>
      </c>
      <c r="G42" s="236">
        <f t="shared" si="7"/>
        <v>13.934000000000001</v>
      </c>
      <c r="H42" s="236">
        <f t="shared" si="7"/>
        <v>13.934000000000001</v>
      </c>
      <c r="I42" s="236">
        <f t="shared" si="7"/>
        <v>13.934000000000001</v>
      </c>
      <c r="J42" s="236">
        <f t="shared" si="7"/>
        <v>13.934000000000001</v>
      </c>
      <c r="K42" s="248">
        <f t="shared" si="7"/>
        <v>13.934000000000001</v>
      </c>
      <c r="L42" s="234">
        <v>25.6</v>
      </c>
      <c r="M42" s="234">
        <v>25.6</v>
      </c>
      <c r="N42" s="241">
        <v>25.6</v>
      </c>
      <c r="O42" s="244">
        <v>25.6</v>
      </c>
      <c r="P42" s="244">
        <v>25.6</v>
      </c>
      <c r="Q42" s="244">
        <v>25.6</v>
      </c>
      <c r="R42" s="217">
        <v>25.6</v>
      </c>
      <c r="S42" s="216">
        <v>25.6</v>
      </c>
      <c r="T42" s="216">
        <v>25.6</v>
      </c>
      <c r="U42" s="216">
        <v>25.6</v>
      </c>
      <c r="V42" s="217">
        <v>25.6</v>
      </c>
      <c r="W42" s="216">
        <v>25.6</v>
      </c>
      <c r="X42" s="216">
        <v>25.6</v>
      </c>
      <c r="Y42" s="216">
        <v>25.6</v>
      </c>
      <c r="Z42" s="217">
        <v>25.6</v>
      </c>
      <c r="AA42" s="216">
        <v>25.6</v>
      </c>
      <c r="AB42" s="216">
        <v>25.6</v>
      </c>
      <c r="AC42" s="216">
        <v>25.6</v>
      </c>
      <c r="AD42" s="217">
        <v>25.6</v>
      </c>
      <c r="AE42" s="216">
        <v>25.6</v>
      </c>
      <c r="AF42" s="216">
        <v>25.6</v>
      </c>
      <c r="AG42" s="216">
        <v>25.6</v>
      </c>
      <c r="AH42" s="217">
        <v>25.6</v>
      </c>
      <c r="AI42" s="216">
        <v>25.6</v>
      </c>
      <c r="AJ42" s="216">
        <v>25.6</v>
      </c>
      <c r="AK42" s="216">
        <v>25.6</v>
      </c>
      <c r="AL42" s="217">
        <v>25.6</v>
      </c>
      <c r="AM42" s="216">
        <v>25.6</v>
      </c>
      <c r="AN42" s="216">
        <v>25.6</v>
      </c>
      <c r="AO42" s="216">
        <v>25.6</v>
      </c>
      <c r="AP42" s="217">
        <v>25.6</v>
      </c>
      <c r="AQ42" s="216">
        <v>25.6</v>
      </c>
      <c r="AR42" s="216">
        <v>25.6</v>
      </c>
      <c r="AS42" s="216">
        <v>25.6</v>
      </c>
      <c r="AT42" s="782">
        <v>25.6</v>
      </c>
      <c r="AU42" s="216">
        <v>25.6</v>
      </c>
      <c r="AV42" s="216">
        <v>25.6</v>
      </c>
      <c r="AW42" s="216">
        <v>25.6</v>
      </c>
      <c r="AX42" s="782">
        <v>25.6</v>
      </c>
      <c r="AY42" s="843"/>
      <c r="AZ42" s="986"/>
      <c r="BA42" s="844"/>
      <c r="BB42" s="845"/>
      <c r="BC42" s="845"/>
    </row>
    <row r="43" spans="1:57" s="7" customFormat="1" ht="20.149999999999999" customHeight="1">
      <c r="A43" s="27" t="s">
        <v>224</v>
      </c>
      <c r="B43" s="125" t="s">
        <v>225</v>
      </c>
      <c r="C43" s="41">
        <f>432.265</f>
        <v>432.26499999999999</v>
      </c>
      <c r="D43" s="24">
        <v>0</v>
      </c>
      <c r="E43" s="24">
        <v>0</v>
      </c>
      <c r="F43" s="227">
        <v>0</v>
      </c>
      <c r="G43" s="228">
        <v>0</v>
      </c>
      <c r="H43" s="228">
        <v>0</v>
      </c>
      <c r="I43" s="228">
        <v>0</v>
      </c>
      <c r="J43" s="228">
        <v>0</v>
      </c>
      <c r="K43" s="229">
        <v>0</v>
      </c>
      <c r="L43" s="228">
        <v>0</v>
      </c>
      <c r="M43" s="228">
        <v>0</v>
      </c>
      <c r="N43" s="227">
        <v>0</v>
      </c>
      <c r="O43" s="228">
        <v>0</v>
      </c>
      <c r="P43" s="228">
        <v>0</v>
      </c>
      <c r="Q43" s="228">
        <v>0</v>
      </c>
      <c r="R43" s="217">
        <v>0</v>
      </c>
      <c r="S43" s="218">
        <v>0</v>
      </c>
      <c r="T43" s="218">
        <v>0</v>
      </c>
      <c r="U43" s="218">
        <v>0</v>
      </c>
      <c r="V43" s="217">
        <v>0</v>
      </c>
      <c r="W43" s="218">
        <v>0</v>
      </c>
      <c r="X43" s="218">
        <v>0</v>
      </c>
      <c r="Y43" s="218">
        <v>0</v>
      </c>
      <c r="Z43" s="217">
        <v>0</v>
      </c>
      <c r="AA43" s="218">
        <v>0</v>
      </c>
      <c r="AB43" s="218">
        <v>0</v>
      </c>
      <c r="AC43" s="218">
        <v>0</v>
      </c>
      <c r="AD43" s="217">
        <v>0</v>
      </c>
      <c r="AE43" s="218">
        <v>0</v>
      </c>
      <c r="AF43" s="218">
        <v>0</v>
      </c>
      <c r="AG43" s="218">
        <v>0</v>
      </c>
      <c r="AH43" s="217">
        <v>0</v>
      </c>
      <c r="AI43" s="218">
        <v>0</v>
      </c>
      <c r="AJ43" s="218">
        <v>0</v>
      </c>
      <c r="AK43" s="218">
        <v>0</v>
      </c>
      <c r="AL43" s="217">
        <v>0</v>
      </c>
      <c r="AM43" s="218">
        <v>0</v>
      </c>
      <c r="AN43" s="218">
        <v>0</v>
      </c>
      <c r="AO43" s="218">
        <v>0</v>
      </c>
      <c r="AP43" s="217">
        <v>0</v>
      </c>
      <c r="AQ43" s="218">
        <v>0</v>
      </c>
      <c r="AR43" s="218">
        <v>0</v>
      </c>
      <c r="AS43" s="218">
        <v>0</v>
      </c>
      <c r="AT43" s="782">
        <v>0</v>
      </c>
      <c r="AU43" s="218">
        <v>0</v>
      </c>
      <c r="AV43" s="218">
        <v>0</v>
      </c>
      <c r="AW43" s="216">
        <v>0</v>
      </c>
      <c r="AX43" s="782">
        <v>0</v>
      </c>
      <c r="AY43" s="843"/>
      <c r="AZ43" s="986"/>
      <c r="BA43" s="844"/>
      <c r="BB43" s="845"/>
      <c r="BC43" s="845"/>
    </row>
    <row r="44" spans="1:57" s="7" customFormat="1" ht="20.149999999999999" customHeight="1">
      <c r="A44" s="27" t="s">
        <v>226</v>
      </c>
      <c r="B44" s="125" t="s">
        <v>227</v>
      </c>
      <c r="C44" s="41">
        <f>1305.277</f>
        <v>1305.277</v>
      </c>
      <c r="D44" s="24">
        <v>0</v>
      </c>
      <c r="E44" s="24">
        <v>0</v>
      </c>
      <c r="F44" s="227">
        <v>0</v>
      </c>
      <c r="G44" s="228">
        <v>0</v>
      </c>
      <c r="H44" s="228">
        <v>0</v>
      </c>
      <c r="I44" s="228">
        <v>0</v>
      </c>
      <c r="J44" s="228">
        <v>0</v>
      </c>
      <c r="K44" s="229">
        <v>0</v>
      </c>
      <c r="L44" s="228">
        <v>0</v>
      </c>
      <c r="M44" s="228">
        <v>0</v>
      </c>
      <c r="N44" s="227">
        <v>0</v>
      </c>
      <c r="O44" s="228">
        <v>0</v>
      </c>
      <c r="P44" s="228">
        <v>0</v>
      </c>
      <c r="Q44" s="228">
        <v>0</v>
      </c>
      <c r="R44" s="217">
        <v>0</v>
      </c>
      <c r="S44" s="218">
        <v>0</v>
      </c>
      <c r="T44" s="218">
        <v>0</v>
      </c>
      <c r="U44" s="218">
        <v>0</v>
      </c>
      <c r="V44" s="217">
        <v>0</v>
      </c>
      <c r="W44" s="218">
        <v>0</v>
      </c>
      <c r="X44" s="218">
        <v>0</v>
      </c>
      <c r="Y44" s="218">
        <v>0</v>
      </c>
      <c r="Z44" s="217">
        <v>0</v>
      </c>
      <c r="AA44" s="218">
        <v>0</v>
      </c>
      <c r="AB44" s="218">
        <v>0</v>
      </c>
      <c r="AC44" s="218">
        <v>0</v>
      </c>
      <c r="AD44" s="217">
        <v>0</v>
      </c>
      <c r="AE44" s="218">
        <v>0</v>
      </c>
      <c r="AF44" s="218">
        <v>0</v>
      </c>
      <c r="AG44" s="218">
        <v>0</v>
      </c>
      <c r="AH44" s="217">
        <v>0</v>
      </c>
      <c r="AI44" s="218">
        <v>0</v>
      </c>
      <c r="AJ44" s="218">
        <v>0</v>
      </c>
      <c r="AK44" s="218">
        <v>0</v>
      </c>
      <c r="AL44" s="217">
        <v>0</v>
      </c>
      <c r="AM44" s="218">
        <v>0</v>
      </c>
      <c r="AN44" s="218">
        <v>0</v>
      </c>
      <c r="AO44" s="218">
        <v>0</v>
      </c>
      <c r="AP44" s="217">
        <v>0</v>
      </c>
      <c r="AQ44" s="218">
        <v>0</v>
      </c>
      <c r="AR44" s="218">
        <v>0</v>
      </c>
      <c r="AS44" s="218">
        <v>0</v>
      </c>
      <c r="AT44" s="782">
        <v>0</v>
      </c>
      <c r="AU44" s="218">
        <v>0</v>
      </c>
      <c r="AV44" s="218">
        <v>0</v>
      </c>
      <c r="AW44" s="218">
        <v>0</v>
      </c>
      <c r="AX44" s="782">
        <v>0</v>
      </c>
      <c r="AY44" s="843"/>
      <c r="AZ44" s="986"/>
      <c r="BA44" s="844"/>
      <c r="BB44" s="845"/>
      <c r="BC44" s="845"/>
    </row>
    <row r="45" spans="1:57" s="7" customFormat="1" ht="20.149999999999999" customHeight="1">
      <c r="A45" s="27" t="s">
        <v>228</v>
      </c>
      <c r="B45" s="125" t="s">
        <v>229</v>
      </c>
      <c r="C45" s="24">
        <v>0</v>
      </c>
      <c r="D45" s="17">
        <f t="shared" ref="D45:K45" si="8">(1295103)*0.001</f>
        <v>1295.1030000000001</v>
      </c>
      <c r="E45" s="17">
        <f t="shared" si="8"/>
        <v>1295.1030000000001</v>
      </c>
      <c r="F45" s="230">
        <f t="shared" si="8"/>
        <v>1295.1030000000001</v>
      </c>
      <c r="G45" s="231">
        <f t="shared" si="8"/>
        <v>1295.1030000000001</v>
      </c>
      <c r="H45" s="231">
        <f t="shared" si="8"/>
        <v>1295.1030000000001</v>
      </c>
      <c r="I45" s="231">
        <f t="shared" si="8"/>
        <v>1295.1030000000001</v>
      </c>
      <c r="J45" s="230">
        <f t="shared" si="8"/>
        <v>1295.1030000000001</v>
      </c>
      <c r="K45" s="231">
        <f t="shared" si="8"/>
        <v>1295.1030000000001</v>
      </c>
      <c r="L45" s="232">
        <v>7237.5</v>
      </c>
      <c r="M45" s="232">
        <v>7237.5</v>
      </c>
      <c r="N45" s="233">
        <v>7174</v>
      </c>
      <c r="O45" s="234">
        <v>7237.4</v>
      </c>
      <c r="P45" s="234">
        <v>7174</v>
      </c>
      <c r="Q45" s="234">
        <v>7174</v>
      </c>
      <c r="R45" s="217">
        <v>7174</v>
      </c>
      <c r="S45" s="216">
        <v>7174</v>
      </c>
      <c r="T45" s="216">
        <v>7174</v>
      </c>
      <c r="U45" s="216">
        <v>7174</v>
      </c>
      <c r="V45" s="217">
        <v>7174</v>
      </c>
      <c r="W45" s="216">
        <v>7174</v>
      </c>
      <c r="X45" s="216">
        <v>7174</v>
      </c>
      <c r="Y45" s="216">
        <v>7174</v>
      </c>
      <c r="Z45" s="217">
        <v>7174</v>
      </c>
      <c r="AA45" s="216">
        <v>7174</v>
      </c>
      <c r="AB45" s="216">
        <v>7174</v>
      </c>
      <c r="AC45" s="216">
        <v>7174</v>
      </c>
      <c r="AD45" s="217">
        <v>7174</v>
      </c>
      <c r="AE45" s="216">
        <v>7174</v>
      </c>
      <c r="AF45" s="216">
        <v>7174</v>
      </c>
      <c r="AG45" s="216">
        <v>7174</v>
      </c>
      <c r="AH45" s="217">
        <v>7174</v>
      </c>
      <c r="AI45" s="216">
        <v>7174</v>
      </c>
      <c r="AJ45" s="216">
        <v>7174</v>
      </c>
      <c r="AK45" s="216">
        <v>7174</v>
      </c>
      <c r="AL45" s="217">
        <v>7174</v>
      </c>
      <c r="AM45" s="216">
        <v>7174</v>
      </c>
      <c r="AN45" s="216">
        <v>7174</v>
      </c>
      <c r="AO45" s="216">
        <v>7174</v>
      </c>
      <c r="AP45" s="217">
        <v>7174</v>
      </c>
      <c r="AQ45" s="216">
        <v>7174</v>
      </c>
      <c r="AR45" s="216">
        <v>7174</v>
      </c>
      <c r="AS45" s="216">
        <v>7174</v>
      </c>
      <c r="AT45" s="782">
        <v>7174</v>
      </c>
      <c r="AU45" s="216">
        <v>7174</v>
      </c>
      <c r="AV45" s="216">
        <v>7174</v>
      </c>
      <c r="AW45" s="216">
        <v>7174</v>
      </c>
      <c r="AX45" s="782">
        <v>7174</v>
      </c>
      <c r="AY45" s="843"/>
      <c r="AZ45" s="986"/>
      <c r="BA45" s="844"/>
      <c r="BB45" s="845"/>
      <c r="BC45" s="845"/>
    </row>
    <row r="46" spans="1:57" s="7" customFormat="1" ht="20.149999999999999" customHeight="1">
      <c r="A46" s="27" t="s">
        <v>230</v>
      </c>
      <c r="B46" s="125" t="s">
        <v>231</v>
      </c>
      <c r="C46" s="43">
        <f>-3.17</f>
        <v>-3.17</v>
      </c>
      <c r="D46" s="24">
        <v>0</v>
      </c>
      <c r="E46" s="24">
        <v>0</v>
      </c>
      <c r="F46" s="227">
        <v>0</v>
      </c>
      <c r="G46" s="228">
        <v>0</v>
      </c>
      <c r="H46" s="228">
        <v>0</v>
      </c>
      <c r="I46" s="228">
        <v>0</v>
      </c>
      <c r="J46" s="228">
        <v>0</v>
      </c>
      <c r="K46" s="229">
        <v>0</v>
      </c>
      <c r="L46" s="228">
        <v>0</v>
      </c>
      <c r="M46" s="228">
        <v>0</v>
      </c>
      <c r="N46" s="227">
        <v>0</v>
      </c>
      <c r="O46" s="228">
        <v>0</v>
      </c>
      <c r="P46" s="228">
        <v>0</v>
      </c>
      <c r="Q46" s="228">
        <v>0</v>
      </c>
      <c r="R46" s="217">
        <v>0</v>
      </c>
      <c r="S46" s="218">
        <v>0</v>
      </c>
      <c r="T46" s="218">
        <v>0</v>
      </c>
      <c r="U46" s="218">
        <v>0</v>
      </c>
      <c r="V46" s="217">
        <v>0</v>
      </c>
      <c r="W46" s="218">
        <v>0</v>
      </c>
      <c r="X46" s="218">
        <v>0</v>
      </c>
      <c r="Y46" s="218">
        <v>0</v>
      </c>
      <c r="Z46" s="217">
        <v>0</v>
      </c>
      <c r="AA46" s="218">
        <v>0</v>
      </c>
      <c r="AB46" s="218">
        <v>0</v>
      </c>
      <c r="AC46" s="218">
        <v>0</v>
      </c>
      <c r="AD46" s="217">
        <v>0</v>
      </c>
      <c r="AE46" s="218">
        <v>0</v>
      </c>
      <c r="AF46" s="218">
        <v>0</v>
      </c>
      <c r="AG46" s="218">
        <v>0</v>
      </c>
      <c r="AH46" s="217">
        <v>0</v>
      </c>
      <c r="AI46" s="218">
        <v>0</v>
      </c>
      <c r="AJ46" s="218">
        <v>0</v>
      </c>
      <c r="AK46" s="218">
        <v>0</v>
      </c>
      <c r="AL46" s="217">
        <v>0</v>
      </c>
      <c r="AM46" s="218">
        <v>0</v>
      </c>
      <c r="AN46" s="218">
        <v>0</v>
      </c>
      <c r="AO46" s="218">
        <v>0</v>
      </c>
      <c r="AP46" s="217">
        <v>0</v>
      </c>
      <c r="AQ46" s="218">
        <v>0</v>
      </c>
      <c r="AR46" s="218">
        <v>0</v>
      </c>
      <c r="AS46" s="218">
        <v>0</v>
      </c>
      <c r="AT46" s="782">
        <v>0</v>
      </c>
      <c r="AU46" s="218">
        <v>0</v>
      </c>
      <c r="AV46" s="218">
        <v>0</v>
      </c>
      <c r="AW46" s="218">
        <v>0</v>
      </c>
      <c r="AX46" s="782">
        <v>0</v>
      </c>
      <c r="AY46" s="843"/>
      <c r="AZ46" s="986"/>
      <c r="BA46" s="844"/>
      <c r="BB46" s="845"/>
      <c r="BC46" s="845"/>
    </row>
    <row r="47" spans="1:57" s="7" customFormat="1" ht="20.149999999999999" customHeight="1">
      <c r="A47" s="27" t="s">
        <v>232</v>
      </c>
      <c r="B47" s="125" t="s">
        <v>233</v>
      </c>
      <c r="C47" s="41">
        <f>2.396</f>
        <v>2.3959999999999999</v>
      </c>
      <c r="D47" s="24">
        <v>0</v>
      </c>
      <c r="E47" s="24">
        <v>0</v>
      </c>
      <c r="F47" s="227">
        <v>0</v>
      </c>
      <c r="G47" s="228">
        <v>0</v>
      </c>
      <c r="H47" s="228">
        <v>0</v>
      </c>
      <c r="I47" s="228">
        <v>0</v>
      </c>
      <c r="J47" s="228">
        <v>0</v>
      </c>
      <c r="K47" s="229">
        <v>0</v>
      </c>
      <c r="L47" s="228">
        <v>0</v>
      </c>
      <c r="M47" s="228">
        <v>0</v>
      </c>
      <c r="N47" s="227">
        <v>0</v>
      </c>
      <c r="O47" s="228">
        <v>0</v>
      </c>
      <c r="P47" s="228">
        <v>0</v>
      </c>
      <c r="Q47" s="228">
        <v>0</v>
      </c>
      <c r="R47" s="217">
        <v>0</v>
      </c>
      <c r="S47" s="218">
        <v>0</v>
      </c>
      <c r="T47" s="218">
        <v>0</v>
      </c>
      <c r="U47" s="218">
        <v>0</v>
      </c>
      <c r="V47" s="217">
        <v>0</v>
      </c>
      <c r="W47" s="218">
        <v>0</v>
      </c>
      <c r="X47" s="218">
        <v>0</v>
      </c>
      <c r="Y47" s="218">
        <v>0</v>
      </c>
      <c r="Z47" s="217">
        <v>0</v>
      </c>
      <c r="AA47" s="218">
        <v>0</v>
      </c>
      <c r="AB47" s="218">
        <v>0</v>
      </c>
      <c r="AC47" s="218">
        <v>0</v>
      </c>
      <c r="AD47" s="217">
        <v>0</v>
      </c>
      <c r="AE47" s="218">
        <v>0</v>
      </c>
      <c r="AF47" s="218">
        <v>0</v>
      </c>
      <c r="AG47" s="218">
        <v>0</v>
      </c>
      <c r="AH47" s="217">
        <v>0</v>
      </c>
      <c r="AI47" s="218">
        <v>0</v>
      </c>
      <c r="AJ47" s="218">
        <v>0</v>
      </c>
      <c r="AK47" s="218">
        <v>0</v>
      </c>
      <c r="AL47" s="217">
        <v>0</v>
      </c>
      <c r="AM47" s="218">
        <v>0</v>
      </c>
      <c r="AN47" s="218">
        <v>0</v>
      </c>
      <c r="AO47" s="218">
        <v>0</v>
      </c>
      <c r="AP47" s="217">
        <v>0</v>
      </c>
      <c r="AQ47" s="218">
        <v>0</v>
      </c>
      <c r="AR47" s="218">
        <v>0</v>
      </c>
      <c r="AS47" s="218">
        <v>0</v>
      </c>
      <c r="AT47" s="782">
        <v>0</v>
      </c>
      <c r="AU47" s="218">
        <v>0</v>
      </c>
      <c r="AV47" s="218">
        <v>0</v>
      </c>
      <c r="AW47" s="218">
        <v>0</v>
      </c>
      <c r="AX47" s="782">
        <v>0</v>
      </c>
      <c r="AY47" s="843"/>
      <c r="AZ47" s="986"/>
      <c r="BA47" s="844"/>
      <c r="BB47" s="845"/>
      <c r="BC47" s="845"/>
    </row>
    <row r="48" spans="1:57" s="7" customFormat="1" ht="20.149999999999999" customHeight="1">
      <c r="A48" s="27" t="s">
        <v>234</v>
      </c>
      <c r="B48" s="128" t="s">
        <v>235</v>
      </c>
      <c r="C48" s="41"/>
      <c r="D48" s="24"/>
      <c r="E48" s="24"/>
      <c r="F48" s="227"/>
      <c r="G48" s="228"/>
      <c r="H48" s="228"/>
      <c r="I48" s="228"/>
      <c r="J48" s="228"/>
      <c r="K48" s="229"/>
      <c r="L48" s="228"/>
      <c r="M48" s="228"/>
      <c r="N48" s="227"/>
      <c r="O48" s="228"/>
      <c r="P48" s="228"/>
      <c r="Q48" s="228"/>
      <c r="R48" s="217"/>
      <c r="S48" s="218"/>
      <c r="T48" s="218"/>
      <c r="U48" s="218"/>
      <c r="V48" s="217"/>
      <c r="W48" s="218"/>
      <c r="X48" s="218"/>
      <c r="Y48" s="218"/>
      <c r="Z48" s="217"/>
      <c r="AA48" s="218"/>
      <c r="AB48" s="218"/>
      <c r="AC48" s="218"/>
      <c r="AD48" s="217"/>
      <c r="AE48" s="218"/>
      <c r="AF48" s="218"/>
      <c r="AG48" s="218"/>
      <c r="AH48" s="217"/>
      <c r="AI48" s="218"/>
      <c r="AJ48" s="218">
        <v>17.100000000000001</v>
      </c>
      <c r="AK48" s="218">
        <v>17.100000000000001</v>
      </c>
      <c r="AL48" s="217">
        <v>21.2</v>
      </c>
      <c r="AM48" s="218">
        <v>21.2</v>
      </c>
      <c r="AN48" s="218">
        <v>21.3</v>
      </c>
      <c r="AO48" s="218">
        <v>21.4</v>
      </c>
      <c r="AP48" s="217">
        <v>32.1</v>
      </c>
      <c r="AQ48" s="218">
        <v>32.200000000000003</v>
      </c>
      <c r="AR48" s="218">
        <v>41.7</v>
      </c>
      <c r="AS48" s="218">
        <v>56.6</v>
      </c>
      <c r="AT48" s="782">
        <v>51.9</v>
      </c>
      <c r="AU48" s="218">
        <v>52</v>
      </c>
      <c r="AV48" s="218">
        <v>45.8</v>
      </c>
      <c r="AW48" s="218">
        <v>0</v>
      </c>
      <c r="AX48" s="782">
        <v>0</v>
      </c>
      <c r="AY48" s="843"/>
      <c r="AZ48" s="986"/>
      <c r="BA48" s="844"/>
      <c r="BB48" s="845"/>
      <c r="BC48" s="845"/>
    </row>
    <row r="49" spans="1:57" s="7" customFormat="1" ht="20.149999999999999" customHeight="1">
      <c r="A49" s="27" t="s">
        <v>236</v>
      </c>
      <c r="B49" s="125" t="s">
        <v>227</v>
      </c>
      <c r="C49" s="24">
        <v>0</v>
      </c>
      <c r="D49" s="41">
        <f>(1225)*0.001</f>
        <v>1.2250000000000001</v>
      </c>
      <c r="E49" s="43">
        <f>(-8191)*0.001</f>
        <v>-8.1910000000000007</v>
      </c>
      <c r="F49" s="258">
        <f>(-16327)*0.001</f>
        <v>-16.327000000000002</v>
      </c>
      <c r="G49" s="43">
        <f>(-17667)*0.001</f>
        <v>-17.667000000000002</v>
      </c>
      <c r="H49" s="43">
        <f>(-13285)*0.001</f>
        <v>-13.285</v>
      </c>
      <c r="I49" s="43">
        <f>(-11455)*0.001</f>
        <v>-11.455</v>
      </c>
      <c r="J49" s="258">
        <f>(-8964)*0.001</f>
        <v>-8.9640000000000004</v>
      </c>
      <c r="K49" s="229">
        <v>0</v>
      </c>
      <c r="L49" s="228">
        <v>0</v>
      </c>
      <c r="M49" s="237">
        <v>-9.1999999999999993</v>
      </c>
      <c r="N49" s="238">
        <v>-12.2</v>
      </c>
      <c r="O49" s="237">
        <v>-12.7</v>
      </c>
      <c r="P49" s="237">
        <v>-7.9</v>
      </c>
      <c r="Q49" s="237">
        <v>-8.1999999999999993</v>
      </c>
      <c r="R49" s="217">
        <v>-3.7</v>
      </c>
      <c r="S49" s="219">
        <v>-1.7</v>
      </c>
      <c r="T49" s="219">
        <v>0.1</v>
      </c>
      <c r="U49" s="219">
        <v>2.2000000000000002</v>
      </c>
      <c r="V49" s="217">
        <v>4.5</v>
      </c>
      <c r="W49" s="219">
        <v>3.8</v>
      </c>
      <c r="X49" s="219">
        <v>3.6</v>
      </c>
      <c r="Y49" s="219">
        <v>3.5</v>
      </c>
      <c r="Z49" s="217">
        <v>3.2</v>
      </c>
      <c r="AA49" s="219">
        <v>2.8</v>
      </c>
      <c r="AB49" s="219">
        <v>-204.3</v>
      </c>
      <c r="AC49" s="216">
        <v>-204.1</v>
      </c>
      <c r="AD49" s="217">
        <v>-162.5</v>
      </c>
      <c r="AE49" s="219">
        <v>-162.4</v>
      </c>
      <c r="AF49" s="219">
        <v>3.3</v>
      </c>
      <c r="AG49" s="216">
        <v>3.4</v>
      </c>
      <c r="AH49" s="217">
        <v>1.5</v>
      </c>
      <c r="AI49" s="219">
        <v>-4.8</v>
      </c>
      <c r="AJ49" s="219">
        <v>-7.2</v>
      </c>
      <c r="AK49" s="216">
        <v>-7.4</v>
      </c>
      <c r="AL49" s="217">
        <v>99.7</v>
      </c>
      <c r="AM49" s="219">
        <v>-4.3</v>
      </c>
      <c r="AN49" s="216">
        <v>-22.1</v>
      </c>
      <c r="AO49" s="216">
        <v>-126.3</v>
      </c>
      <c r="AP49" s="217">
        <v>2801.3</v>
      </c>
      <c r="AQ49" s="216">
        <v>2812.1</v>
      </c>
      <c r="AR49" s="756">
        <v>2827.1</v>
      </c>
      <c r="AS49" s="216">
        <v>2827.1</v>
      </c>
      <c r="AT49" s="782">
        <v>2815.9</v>
      </c>
      <c r="AU49" s="216">
        <v>2806</v>
      </c>
      <c r="AV49" s="544">
        <v>2795.5</v>
      </c>
      <c r="AW49" s="216">
        <v>2776.7</v>
      </c>
      <c r="AX49" s="999">
        <v>2752.8</v>
      </c>
      <c r="AY49" s="843"/>
      <c r="AZ49" s="986"/>
      <c r="BA49" s="844"/>
      <c r="BB49" s="845"/>
      <c r="BC49" s="845"/>
    </row>
    <row r="50" spans="1:57" s="7" customFormat="1" ht="20.149999999999999" customHeight="1">
      <c r="A50" s="27" t="s">
        <v>237</v>
      </c>
      <c r="B50" s="125" t="s">
        <v>238</v>
      </c>
      <c r="C50" s="41">
        <f>340.065</f>
        <v>340.065</v>
      </c>
      <c r="D50" s="41">
        <f>(882007)*0.001</f>
        <v>882.00700000000006</v>
      </c>
      <c r="E50" s="44">
        <f>(1054069)*0.001</f>
        <v>1054.069</v>
      </c>
      <c r="F50" s="239">
        <f>(1175693)*0.001</f>
        <v>1175.693</v>
      </c>
      <c r="G50" s="240">
        <f>(1270798)*0.001</f>
        <v>1270.798</v>
      </c>
      <c r="H50" s="240">
        <f>(1351543)*0.001</f>
        <v>1351.5430000000001</v>
      </c>
      <c r="I50" s="240">
        <f>(1527994)*0.001</f>
        <v>1527.9940000000001</v>
      </c>
      <c r="J50" s="239">
        <f>(1701138)*0.001</f>
        <v>1701.1380000000001</v>
      </c>
      <c r="K50" s="240">
        <f>(1799310)*0.001</f>
        <v>1799.31</v>
      </c>
      <c r="L50" s="232">
        <v>1828.6</v>
      </c>
      <c r="M50" s="232">
        <v>1876.8</v>
      </c>
      <c r="N50" s="241">
        <v>1890.8</v>
      </c>
      <c r="O50" s="232">
        <v>2061.6</v>
      </c>
      <c r="P50" s="232">
        <v>2366.1</v>
      </c>
      <c r="Q50" s="232">
        <v>2868.6</v>
      </c>
      <c r="R50" s="217">
        <v>3054.2</v>
      </c>
      <c r="S50" s="219">
        <v>3229.7</v>
      </c>
      <c r="T50" s="219">
        <v>3467.4</v>
      </c>
      <c r="U50" s="219">
        <v>3745.6</v>
      </c>
      <c r="V50" s="217">
        <v>4095.5</v>
      </c>
      <c r="W50" s="219">
        <v>4374.8999999999996</v>
      </c>
      <c r="X50" s="219">
        <v>4461.3999999999996</v>
      </c>
      <c r="Y50" s="219">
        <v>4704.3</v>
      </c>
      <c r="Z50" s="217">
        <v>4871.3999999999996</v>
      </c>
      <c r="AA50" s="219">
        <v>5668.6</v>
      </c>
      <c r="AB50" s="219">
        <v>5904.4</v>
      </c>
      <c r="AC50" s="216">
        <v>6130.5</v>
      </c>
      <c r="AD50" s="217">
        <v>6189.9</v>
      </c>
      <c r="AE50" s="219">
        <v>6481.8</v>
      </c>
      <c r="AF50" s="219">
        <v>6065.1</v>
      </c>
      <c r="AG50" s="216">
        <v>6296.4</v>
      </c>
      <c r="AH50" s="217">
        <v>6610.2</v>
      </c>
      <c r="AI50" s="219">
        <v>6792.6</v>
      </c>
      <c r="AJ50" s="219">
        <v>7081</v>
      </c>
      <c r="AK50" s="216">
        <v>6787.4</v>
      </c>
      <c r="AL50" s="217">
        <v>7112.3</v>
      </c>
      <c r="AM50" s="216">
        <v>7501.9</v>
      </c>
      <c r="AN50" s="216">
        <v>7273.7</v>
      </c>
      <c r="AO50" s="216">
        <v>10416.1</v>
      </c>
      <c r="AP50" s="217">
        <v>7823.6</v>
      </c>
      <c r="AQ50" s="216">
        <v>8038.5</v>
      </c>
      <c r="AR50" s="756">
        <v>7671</v>
      </c>
      <c r="AS50" s="772">
        <v>7899.7</v>
      </c>
      <c r="AT50" s="782">
        <v>8057.6</v>
      </c>
      <c r="AU50" s="216">
        <v>8122.1</v>
      </c>
      <c r="AV50" s="544">
        <v>8114.8</v>
      </c>
      <c r="AW50" s="216">
        <v>8233.6</v>
      </c>
      <c r="AX50" s="999">
        <v>8334.1</v>
      </c>
      <c r="AY50" s="843"/>
      <c r="AZ50" s="986"/>
      <c r="BA50" s="844"/>
      <c r="BB50" s="845"/>
      <c r="BC50" s="845"/>
    </row>
    <row r="51" spans="1:57" ht="20.149999999999999" customHeight="1" thickBot="1">
      <c r="A51" s="710" t="s">
        <v>239</v>
      </c>
      <c r="B51" s="128" t="s">
        <v>240</v>
      </c>
      <c r="C51" s="236"/>
      <c r="D51" s="236"/>
      <c r="E51" s="240"/>
      <c r="F51" s="239"/>
      <c r="G51" s="240"/>
      <c r="H51" s="240"/>
      <c r="I51" s="240"/>
      <c r="J51" s="239"/>
      <c r="K51" s="240"/>
      <c r="L51" s="232"/>
      <c r="M51" s="232"/>
      <c r="N51" s="241"/>
      <c r="O51" s="232"/>
      <c r="P51" s="232"/>
      <c r="Q51" s="232"/>
      <c r="R51" s="217"/>
      <c r="S51" s="219"/>
      <c r="T51" s="219"/>
      <c r="U51" s="219"/>
      <c r="V51" s="217"/>
      <c r="W51" s="219"/>
      <c r="X51" s="219"/>
      <c r="Y51" s="219"/>
      <c r="Z51" s="217"/>
      <c r="AA51" s="219"/>
      <c r="AB51" s="219"/>
      <c r="AC51" s="216"/>
      <c r="AD51" s="217"/>
      <c r="AE51" s="219"/>
      <c r="AF51" s="219"/>
      <c r="AG51" s="216"/>
      <c r="AH51" s="217"/>
      <c r="AI51" s="219"/>
      <c r="AJ51" s="219"/>
      <c r="AK51" s="216"/>
      <c r="AL51" s="217"/>
      <c r="AM51" s="216"/>
      <c r="AN51" s="216"/>
      <c r="AO51" s="216"/>
      <c r="AP51" s="217">
        <v>-2461</v>
      </c>
      <c r="AQ51" s="216">
        <v>-2461</v>
      </c>
      <c r="AR51" s="756">
        <v>-2854.7</v>
      </c>
      <c r="AS51" s="216">
        <v>-2854.7</v>
      </c>
      <c r="AT51" s="782">
        <v>-2854.7</v>
      </c>
      <c r="AU51" s="216">
        <v>-2854.7</v>
      </c>
      <c r="AV51" s="216">
        <v>-2854.7</v>
      </c>
      <c r="AW51" s="216">
        <v>-2854.7</v>
      </c>
      <c r="AX51" s="999">
        <v>-2854.7</v>
      </c>
      <c r="AY51" s="843"/>
      <c r="AZ51" s="986"/>
      <c r="BA51" s="844"/>
      <c r="BB51" s="845"/>
      <c r="BC51" s="845"/>
    </row>
    <row r="52" spans="1:57" s="225" customFormat="1" ht="25.25" customHeight="1" thickBot="1">
      <c r="A52" s="399" t="s">
        <v>241</v>
      </c>
      <c r="B52" s="399" t="s">
        <v>242</v>
      </c>
      <c r="C52" s="400">
        <f t="shared" ref="C52:AO52" si="9">SUM(C42:C50)</f>
        <v>2090.7669999999998</v>
      </c>
      <c r="D52" s="401">
        <f t="shared" si="9"/>
        <v>2192.2690000000002</v>
      </c>
      <c r="E52" s="401">
        <f t="shared" si="9"/>
        <v>2354.915</v>
      </c>
      <c r="F52" s="402">
        <f t="shared" si="9"/>
        <v>2468.4030000000002</v>
      </c>
      <c r="G52" s="401">
        <f t="shared" si="9"/>
        <v>2562.1680000000001</v>
      </c>
      <c r="H52" s="401">
        <f t="shared" si="9"/>
        <v>2647.2950000000001</v>
      </c>
      <c r="I52" s="401">
        <f t="shared" si="9"/>
        <v>2825.576</v>
      </c>
      <c r="J52" s="402">
        <f t="shared" si="9"/>
        <v>3001.2110000000002</v>
      </c>
      <c r="K52" s="400">
        <f t="shared" si="9"/>
        <v>3108.3469999999998</v>
      </c>
      <c r="L52" s="401">
        <f t="shared" si="9"/>
        <v>9091.7000000000007</v>
      </c>
      <c r="M52" s="401">
        <f t="shared" si="9"/>
        <v>9130.7000000000007</v>
      </c>
      <c r="N52" s="402">
        <f t="shared" si="9"/>
        <v>9078.2000000000007</v>
      </c>
      <c r="O52" s="400">
        <f t="shared" si="9"/>
        <v>9311.9</v>
      </c>
      <c r="P52" s="401">
        <f t="shared" si="9"/>
        <v>9557.8000000000011</v>
      </c>
      <c r="Q52" s="401">
        <f t="shared" si="9"/>
        <v>10060</v>
      </c>
      <c r="R52" s="402">
        <f t="shared" si="9"/>
        <v>10250.1</v>
      </c>
      <c r="S52" s="400">
        <f t="shared" si="9"/>
        <v>10427.6</v>
      </c>
      <c r="T52" s="401">
        <f t="shared" si="9"/>
        <v>10667.1</v>
      </c>
      <c r="U52" s="401">
        <f t="shared" si="9"/>
        <v>10947.4</v>
      </c>
      <c r="V52" s="402">
        <f t="shared" si="9"/>
        <v>11299.6</v>
      </c>
      <c r="W52" s="400">
        <f t="shared" si="9"/>
        <v>11578.3</v>
      </c>
      <c r="X52" s="401">
        <f t="shared" si="9"/>
        <v>11664.6</v>
      </c>
      <c r="Y52" s="401">
        <f t="shared" si="9"/>
        <v>11907.400000000001</v>
      </c>
      <c r="Z52" s="402">
        <f t="shared" si="9"/>
        <v>12074.2</v>
      </c>
      <c r="AA52" s="400">
        <f t="shared" si="9"/>
        <v>12871</v>
      </c>
      <c r="AB52" s="401">
        <f t="shared" si="9"/>
        <v>12899.7</v>
      </c>
      <c r="AC52" s="401">
        <f t="shared" si="9"/>
        <v>13126</v>
      </c>
      <c r="AD52" s="402">
        <f t="shared" si="9"/>
        <v>13227</v>
      </c>
      <c r="AE52" s="400">
        <f t="shared" si="9"/>
        <v>13519</v>
      </c>
      <c r="AF52" s="401">
        <f t="shared" si="9"/>
        <v>13268</v>
      </c>
      <c r="AG52" s="401">
        <f t="shared" si="9"/>
        <v>13499.4</v>
      </c>
      <c r="AH52" s="402">
        <f t="shared" si="9"/>
        <v>13811.3</v>
      </c>
      <c r="AI52" s="400">
        <f t="shared" si="9"/>
        <v>13987.400000000001</v>
      </c>
      <c r="AJ52" s="401">
        <f t="shared" si="9"/>
        <v>14290.5</v>
      </c>
      <c r="AK52" s="401">
        <f t="shared" si="9"/>
        <v>13996.7</v>
      </c>
      <c r="AL52" s="402">
        <f t="shared" si="9"/>
        <v>14432.8</v>
      </c>
      <c r="AM52" s="401">
        <f t="shared" si="9"/>
        <v>14718.4</v>
      </c>
      <c r="AN52" s="401">
        <f t="shared" si="9"/>
        <v>14472.5</v>
      </c>
      <c r="AO52" s="401">
        <f t="shared" si="9"/>
        <v>17510.8</v>
      </c>
      <c r="AP52" s="402">
        <f t="shared" ref="AP52:AX52" si="10">SUM(AP42:AP51)</f>
        <v>15395.599999999999</v>
      </c>
      <c r="AQ52" s="401">
        <f t="shared" si="10"/>
        <v>15621.400000000001</v>
      </c>
      <c r="AR52" s="754">
        <f t="shared" si="10"/>
        <v>14884.7</v>
      </c>
      <c r="AS52" s="754">
        <f t="shared" si="10"/>
        <v>15128.3</v>
      </c>
      <c r="AT52" s="780">
        <f t="shared" si="10"/>
        <v>15270.3</v>
      </c>
      <c r="AU52" s="401">
        <f t="shared" si="10"/>
        <v>15325</v>
      </c>
      <c r="AV52" s="754">
        <f t="shared" si="10"/>
        <v>15301</v>
      </c>
      <c r="AW52" s="754">
        <f t="shared" si="10"/>
        <v>15355.2</v>
      </c>
      <c r="AX52" s="1000">
        <f t="shared" si="10"/>
        <v>15431.8</v>
      </c>
      <c r="AY52" s="843"/>
      <c r="AZ52" s="986"/>
      <c r="BA52" s="844"/>
      <c r="BB52" s="845"/>
      <c r="BC52" s="845"/>
    </row>
    <row r="53" spans="1:57" s="7" customFormat="1" ht="20.149999999999999" customHeight="1" thickBot="1">
      <c r="A53" s="27" t="s">
        <v>243</v>
      </c>
      <c r="B53" s="126" t="s">
        <v>244</v>
      </c>
      <c r="C53" s="24">
        <v>0</v>
      </c>
      <c r="D53" s="24">
        <v>0</v>
      </c>
      <c r="E53" s="24">
        <v>0</v>
      </c>
      <c r="F53" s="227">
        <v>0</v>
      </c>
      <c r="G53" s="228">
        <v>0</v>
      </c>
      <c r="H53" s="228">
        <v>0</v>
      </c>
      <c r="I53" s="383">
        <f>2/1000</f>
        <v>2E-3</v>
      </c>
      <c r="J53" s="383">
        <f>2/1000</f>
        <v>2E-3</v>
      </c>
      <c r="K53" s="384">
        <f>2/1000</f>
        <v>2E-3</v>
      </c>
      <c r="L53" s="228">
        <v>0</v>
      </c>
      <c r="M53" s="228">
        <v>0</v>
      </c>
      <c r="N53" s="227">
        <v>0</v>
      </c>
      <c r="O53" s="228">
        <v>0</v>
      </c>
      <c r="P53" s="228">
        <v>0</v>
      </c>
      <c r="Q53" s="228">
        <v>0</v>
      </c>
      <c r="R53" s="67">
        <v>0</v>
      </c>
      <c r="S53" s="218">
        <v>-22.4</v>
      </c>
      <c r="T53" s="218">
        <v>94.5</v>
      </c>
      <c r="U53" s="218">
        <v>86.1</v>
      </c>
      <c r="V53" s="67">
        <v>78</v>
      </c>
      <c r="W53" s="218">
        <v>70</v>
      </c>
      <c r="X53" s="218">
        <v>60.5</v>
      </c>
      <c r="Y53" s="218">
        <v>52.5</v>
      </c>
      <c r="Z53" s="67">
        <v>42.6</v>
      </c>
      <c r="AA53" s="218">
        <v>34</v>
      </c>
      <c r="AB53" s="218">
        <v>554.29999999999995</v>
      </c>
      <c r="AC53" s="218">
        <v>555.29999999999995</v>
      </c>
      <c r="AD53" s="67">
        <v>648.20000000000005</v>
      </c>
      <c r="AE53" s="218">
        <v>653.6</v>
      </c>
      <c r="AF53" s="218">
        <v>650.5</v>
      </c>
      <c r="AG53" s="218">
        <v>655.7</v>
      </c>
      <c r="AH53" s="67">
        <v>653.20000000000005</v>
      </c>
      <c r="AI53" s="218">
        <v>652.6</v>
      </c>
      <c r="AJ53" s="218">
        <v>647.5</v>
      </c>
      <c r="AK53" s="218">
        <v>646.6</v>
      </c>
      <c r="AL53" s="67">
        <v>-6.6</v>
      </c>
      <c r="AM53" s="218">
        <v>647.9</v>
      </c>
      <c r="AN53" s="218">
        <v>489.9</v>
      </c>
      <c r="AO53" s="218">
        <v>-6.6</v>
      </c>
      <c r="AP53" s="67">
        <v>-11</v>
      </c>
      <c r="AQ53" s="218">
        <v>-14.5</v>
      </c>
      <c r="AR53" s="218">
        <v>540.1</v>
      </c>
      <c r="AS53" s="218">
        <v>526.20000000000005</v>
      </c>
      <c r="AT53" s="781">
        <v>540.5</v>
      </c>
      <c r="AU53" s="218">
        <v>544.70000000000005</v>
      </c>
      <c r="AV53" s="218">
        <v>552.29999999999995</v>
      </c>
      <c r="AW53" s="218">
        <v>408.3</v>
      </c>
      <c r="AX53" s="1001">
        <v>873.4</v>
      </c>
      <c r="AY53" s="843"/>
      <c r="AZ53" s="986"/>
      <c r="BA53" s="844"/>
      <c r="BB53" s="845"/>
      <c r="BC53" s="845"/>
    </row>
    <row r="54" spans="1:57" s="225" customFormat="1" ht="25.25" customHeight="1" thickBot="1">
      <c r="A54" s="399" t="s">
        <v>245</v>
      </c>
      <c r="B54" s="399" t="s">
        <v>246</v>
      </c>
      <c r="C54" s="400">
        <f>C52+C53</f>
        <v>2090.7669999999998</v>
      </c>
      <c r="D54" s="401">
        <f>D52+D53</f>
        <v>2192.2690000000002</v>
      </c>
      <c r="E54" s="401">
        <f>E52+E53</f>
        <v>2354.915</v>
      </c>
      <c r="F54" s="402">
        <f>F52</f>
        <v>2468.4030000000002</v>
      </c>
      <c r="G54" s="401">
        <f>G52</f>
        <v>2562.1680000000001</v>
      </c>
      <c r="H54" s="401">
        <f>H52</f>
        <v>2647.2950000000001</v>
      </c>
      <c r="I54" s="401">
        <f>SUM(I52:I53)</f>
        <v>2825.578</v>
      </c>
      <c r="J54" s="402">
        <f t="shared" ref="J54:AP54" si="11">J52+J53</f>
        <v>3001.2130000000002</v>
      </c>
      <c r="K54" s="400">
        <f t="shared" si="11"/>
        <v>3108.3489999999997</v>
      </c>
      <c r="L54" s="401">
        <f t="shared" si="11"/>
        <v>9091.7000000000007</v>
      </c>
      <c r="M54" s="401">
        <f t="shared" si="11"/>
        <v>9130.7000000000007</v>
      </c>
      <c r="N54" s="402">
        <f t="shared" si="11"/>
        <v>9078.2000000000007</v>
      </c>
      <c r="O54" s="400">
        <f t="shared" si="11"/>
        <v>9311.9</v>
      </c>
      <c r="P54" s="401">
        <f t="shared" si="11"/>
        <v>9557.8000000000011</v>
      </c>
      <c r="Q54" s="401">
        <f t="shared" si="11"/>
        <v>10060</v>
      </c>
      <c r="R54" s="402">
        <f t="shared" si="11"/>
        <v>10250.1</v>
      </c>
      <c r="S54" s="400">
        <f t="shared" si="11"/>
        <v>10405.200000000001</v>
      </c>
      <c r="T54" s="401">
        <f t="shared" si="11"/>
        <v>10761.6</v>
      </c>
      <c r="U54" s="401">
        <f t="shared" si="11"/>
        <v>11033.5</v>
      </c>
      <c r="V54" s="402">
        <f t="shared" si="11"/>
        <v>11377.6</v>
      </c>
      <c r="W54" s="400">
        <f t="shared" si="11"/>
        <v>11648.3</v>
      </c>
      <c r="X54" s="401">
        <f t="shared" si="11"/>
        <v>11725.1</v>
      </c>
      <c r="Y54" s="401">
        <f t="shared" si="11"/>
        <v>11959.900000000001</v>
      </c>
      <c r="Z54" s="402">
        <f t="shared" si="11"/>
        <v>12116.800000000001</v>
      </c>
      <c r="AA54" s="400">
        <f t="shared" si="11"/>
        <v>12905</v>
      </c>
      <c r="AB54" s="401">
        <f t="shared" si="11"/>
        <v>13454</v>
      </c>
      <c r="AC54" s="401">
        <f t="shared" si="11"/>
        <v>13681.3</v>
      </c>
      <c r="AD54" s="402">
        <f t="shared" si="11"/>
        <v>13875.2</v>
      </c>
      <c r="AE54" s="400">
        <f t="shared" si="11"/>
        <v>14172.6</v>
      </c>
      <c r="AF54" s="401">
        <f t="shared" si="11"/>
        <v>13918.5</v>
      </c>
      <c r="AG54" s="401">
        <f t="shared" si="11"/>
        <v>14155.1</v>
      </c>
      <c r="AH54" s="402">
        <f t="shared" si="11"/>
        <v>14464.5</v>
      </c>
      <c r="AI54" s="400">
        <f t="shared" si="11"/>
        <v>14640.000000000002</v>
      </c>
      <c r="AJ54" s="401">
        <f t="shared" si="11"/>
        <v>14938</v>
      </c>
      <c r="AK54" s="401">
        <f t="shared" si="11"/>
        <v>14643.300000000001</v>
      </c>
      <c r="AL54" s="402">
        <f t="shared" si="11"/>
        <v>14426.199999999999</v>
      </c>
      <c r="AM54" s="400">
        <f t="shared" si="11"/>
        <v>15366.3</v>
      </c>
      <c r="AN54" s="401">
        <f t="shared" si="11"/>
        <v>14962.4</v>
      </c>
      <c r="AO54" s="401">
        <f t="shared" si="11"/>
        <v>17504.2</v>
      </c>
      <c r="AP54" s="402">
        <f t="shared" si="11"/>
        <v>15384.599999999999</v>
      </c>
      <c r="AQ54" s="400">
        <f t="shared" ref="AQ54:AT54" si="12">AQ52+AQ53</f>
        <v>15606.900000000001</v>
      </c>
      <c r="AR54" s="754">
        <f t="shared" si="12"/>
        <v>15424.800000000001</v>
      </c>
      <c r="AS54" s="401">
        <f t="shared" si="12"/>
        <v>15654.5</v>
      </c>
      <c r="AT54" s="780">
        <f t="shared" si="12"/>
        <v>15810.8</v>
      </c>
      <c r="AU54" s="400">
        <f t="shared" ref="AU54:AX54" si="13">AU52+AU53</f>
        <v>15869.7</v>
      </c>
      <c r="AV54" s="754">
        <f t="shared" si="13"/>
        <v>15853.3</v>
      </c>
      <c r="AW54" s="401">
        <f t="shared" si="13"/>
        <v>15763.5</v>
      </c>
      <c r="AX54" s="1000">
        <f t="shared" si="13"/>
        <v>16305.199999999999</v>
      </c>
      <c r="AY54" s="843"/>
      <c r="AZ54" s="986"/>
      <c r="BA54" s="844"/>
      <c r="BB54" s="845"/>
      <c r="BC54" s="845"/>
    </row>
    <row r="55" spans="1:57" s="7" customFormat="1" ht="20.149999999999999" customHeight="1">
      <c r="A55" s="27" t="s">
        <v>247</v>
      </c>
      <c r="B55" s="125" t="s">
        <v>248</v>
      </c>
      <c r="C55" s="30">
        <f>932.068</f>
        <v>932.06799999999998</v>
      </c>
      <c r="D55" s="30">
        <f>(889155)*0.001</f>
        <v>889.15499999999997</v>
      </c>
      <c r="E55" s="30">
        <f>(680371)*0.001</f>
        <v>680.37099999999998</v>
      </c>
      <c r="F55" s="242">
        <f>(592003)*0.001</f>
        <v>592.00300000000004</v>
      </c>
      <c r="G55" s="237">
        <f>(572819)*0.001</f>
        <v>572.81899999999996</v>
      </c>
      <c r="H55" s="237">
        <f>(422858)*0.001</f>
        <v>422.858</v>
      </c>
      <c r="I55" s="237">
        <f>(329798)*0.001</f>
        <v>329.798</v>
      </c>
      <c r="J55" s="237">
        <f>(239889)*0.001</f>
        <v>239.88900000000001</v>
      </c>
      <c r="K55" s="243">
        <f>(236277)*0.001</f>
        <v>236.27700000000002</v>
      </c>
      <c r="L55" s="231">
        <v>8446.1</v>
      </c>
      <c r="M55" s="231">
        <v>7976.3</v>
      </c>
      <c r="N55" s="233">
        <v>7683.5</v>
      </c>
      <c r="O55" s="232">
        <v>7357.9</v>
      </c>
      <c r="P55" s="232">
        <v>7034.6</v>
      </c>
      <c r="Q55" s="231">
        <v>5644.9</v>
      </c>
      <c r="R55" s="67">
        <v>5379.8</v>
      </c>
      <c r="S55" s="219">
        <v>9982.1</v>
      </c>
      <c r="T55" s="219">
        <v>9752</v>
      </c>
      <c r="U55" s="219">
        <v>9530.2999999999993</v>
      </c>
      <c r="V55" s="67">
        <v>9302.7000000000007</v>
      </c>
      <c r="W55" s="219">
        <v>9056</v>
      </c>
      <c r="X55" s="219">
        <v>8808.6</v>
      </c>
      <c r="Y55" s="219">
        <v>8561.9</v>
      </c>
      <c r="Z55" s="67">
        <v>9291.4</v>
      </c>
      <c r="AA55" s="219">
        <v>9474.7000000000007</v>
      </c>
      <c r="AB55" s="219">
        <v>9139.4</v>
      </c>
      <c r="AC55" s="216">
        <v>9043.7999999999993</v>
      </c>
      <c r="AD55" s="67">
        <v>8605.2999999999993</v>
      </c>
      <c r="AE55" s="219">
        <v>8339.7999999999993</v>
      </c>
      <c r="AF55" s="219">
        <v>8100.2</v>
      </c>
      <c r="AG55" s="219">
        <v>7861.1</v>
      </c>
      <c r="AH55" s="67">
        <v>8617</v>
      </c>
      <c r="AI55" s="219">
        <v>8453.4</v>
      </c>
      <c r="AJ55" s="219">
        <v>9258.2999999999993</v>
      </c>
      <c r="AK55" s="219">
        <v>9073.7000000000007</v>
      </c>
      <c r="AL55" s="67">
        <v>8887.7999999999993</v>
      </c>
      <c r="AM55" s="219">
        <v>8701.9</v>
      </c>
      <c r="AN55" s="219">
        <v>8514.2000000000007</v>
      </c>
      <c r="AO55" s="219">
        <v>8005.1</v>
      </c>
      <c r="AP55" s="67">
        <v>7671.8</v>
      </c>
      <c r="AQ55" s="219">
        <v>7346.2</v>
      </c>
      <c r="AR55" s="218">
        <v>7025.1</v>
      </c>
      <c r="AS55" s="219">
        <v>6840.6</v>
      </c>
      <c r="AT55" s="781">
        <v>6624.8</v>
      </c>
      <c r="AU55" s="219">
        <v>6469.7</v>
      </c>
      <c r="AV55" s="218">
        <v>8620.7000000000007</v>
      </c>
      <c r="AW55" s="216">
        <v>9072.7000000000007</v>
      </c>
      <c r="AX55" s="999">
        <v>9534.2999999999993</v>
      </c>
      <c r="AY55" s="843"/>
      <c r="AZ55" s="986"/>
      <c r="BA55" s="844"/>
      <c r="BB55" s="845"/>
      <c r="BC55" s="845"/>
      <c r="BD55" s="845"/>
      <c r="BE55" s="849"/>
    </row>
    <row r="56" spans="1:57" s="7" customFormat="1" ht="20.149999999999999" customHeight="1">
      <c r="A56" s="27" t="s">
        <v>249</v>
      </c>
      <c r="B56" s="125" t="s">
        <v>250</v>
      </c>
      <c r="C56" s="17">
        <f>1360.637</f>
        <v>1360.6369999999999</v>
      </c>
      <c r="D56" s="17">
        <f>(1369593)*0.001</f>
        <v>1369.5930000000001</v>
      </c>
      <c r="E56" s="17">
        <f>(1347224)*0.001</f>
        <v>1347.2239999999999</v>
      </c>
      <c r="F56" s="230">
        <f>(1316479)*0.001</f>
        <v>1316.479</v>
      </c>
      <c r="G56" s="231">
        <f>(1370119)*0.001</f>
        <v>1370.1190000000001</v>
      </c>
      <c r="H56" s="231">
        <f>(1395972)*0.001</f>
        <v>1395.972</v>
      </c>
      <c r="I56" s="231">
        <f>(1385314)*0.001</f>
        <v>1385.3140000000001</v>
      </c>
      <c r="J56" s="230">
        <f>(1340010)*0.001</f>
        <v>1340.01</v>
      </c>
      <c r="K56" s="231">
        <f>(1396071)*0.001</f>
        <v>1396.0710000000001</v>
      </c>
      <c r="L56" s="231">
        <v>4286.8999999999996</v>
      </c>
      <c r="M56" s="231">
        <v>4302.1000000000004</v>
      </c>
      <c r="N56" s="233">
        <v>4550.2</v>
      </c>
      <c r="O56" s="232">
        <v>4470</v>
      </c>
      <c r="P56" s="232">
        <v>4582.5</v>
      </c>
      <c r="Q56" s="231">
        <v>964.4</v>
      </c>
      <c r="R56" s="67">
        <v>975.3</v>
      </c>
      <c r="S56" s="219">
        <v>2252.6</v>
      </c>
      <c r="T56" s="219">
        <v>1795.1</v>
      </c>
      <c r="U56" s="219">
        <v>1805.1</v>
      </c>
      <c r="V56" s="67">
        <v>1835.7</v>
      </c>
      <c r="W56" s="219">
        <v>964.9</v>
      </c>
      <c r="X56" s="219">
        <v>975.3</v>
      </c>
      <c r="Y56" s="219">
        <v>965.2</v>
      </c>
      <c r="Z56" s="67">
        <v>975.7</v>
      </c>
      <c r="AA56" s="219">
        <v>965.2</v>
      </c>
      <c r="AB56" s="219">
        <v>975.5</v>
      </c>
      <c r="AC56" s="216">
        <v>965.6</v>
      </c>
      <c r="AD56" s="67">
        <v>976</v>
      </c>
      <c r="AE56" s="219">
        <v>965.5</v>
      </c>
      <c r="AF56" s="219">
        <v>968.9</v>
      </c>
      <c r="AG56" s="219">
        <v>977.7</v>
      </c>
      <c r="AH56" s="67">
        <v>969.2</v>
      </c>
      <c r="AI56" s="219">
        <v>1950.7</v>
      </c>
      <c r="AJ56" s="219">
        <v>1957.7</v>
      </c>
      <c r="AK56" s="219">
        <v>1958.8</v>
      </c>
      <c r="AL56" s="67">
        <v>1959.2</v>
      </c>
      <c r="AM56" s="219">
        <v>1959.8</v>
      </c>
      <c r="AN56" s="219">
        <v>1960.1</v>
      </c>
      <c r="AO56" s="219">
        <v>1960.6</v>
      </c>
      <c r="AP56" s="67">
        <v>1942.1</v>
      </c>
      <c r="AQ56" s="219">
        <v>1931.4</v>
      </c>
      <c r="AR56" s="218">
        <v>1905.2</v>
      </c>
      <c r="AS56" s="219">
        <v>1910.3</v>
      </c>
      <c r="AT56" s="781">
        <v>1900.4</v>
      </c>
      <c r="AU56" s="219">
        <v>2897</v>
      </c>
      <c r="AV56" s="218">
        <v>2960.9</v>
      </c>
      <c r="AW56" s="216">
        <v>3497.8</v>
      </c>
      <c r="AX56" s="999">
        <v>3955.4</v>
      </c>
      <c r="AY56" s="843"/>
      <c r="AZ56" s="986"/>
      <c r="BA56" s="844"/>
      <c r="BB56" s="845"/>
      <c r="BC56" s="845"/>
    </row>
    <row r="57" spans="1:57" s="7" customFormat="1" ht="20.149999999999999" customHeight="1">
      <c r="A57" s="110" t="s">
        <v>251</v>
      </c>
      <c r="B57" s="127" t="s">
        <v>252</v>
      </c>
      <c r="C57" s="30">
        <f>0.81</f>
        <v>0.81</v>
      </c>
      <c r="D57" s="30">
        <f>(741)*0.001</f>
        <v>0.74099999999999999</v>
      </c>
      <c r="E57" s="30">
        <f>(638)*0.001</f>
        <v>0.63800000000000001</v>
      </c>
      <c r="F57" s="242">
        <f>(551)*0.001</f>
        <v>0.55100000000000005</v>
      </c>
      <c r="G57" s="237">
        <f>(474)*0.001</f>
        <v>0.47400000000000003</v>
      </c>
      <c r="H57" s="237">
        <f>(424)*0.001</f>
        <v>0.42399999999999999</v>
      </c>
      <c r="I57" s="237">
        <f>(306)*0.001</f>
        <v>0.30599999999999999</v>
      </c>
      <c r="J57" s="237">
        <f>(227)*0.001</f>
        <v>0.22700000000000001</v>
      </c>
      <c r="K57" s="243">
        <f>(166)*0.001</f>
        <v>0.16600000000000001</v>
      </c>
      <c r="L57" s="234">
        <v>4.5</v>
      </c>
      <c r="M57" s="234">
        <v>7.9</v>
      </c>
      <c r="N57" s="241">
        <v>11.7</v>
      </c>
      <c r="O57" s="244">
        <v>13.4</v>
      </c>
      <c r="P57" s="244">
        <v>15.7</v>
      </c>
      <c r="Q57" s="234">
        <v>21.3</v>
      </c>
      <c r="R57" s="67">
        <v>20.9</v>
      </c>
      <c r="S57" s="216">
        <v>21.2</v>
      </c>
      <c r="T57" s="216">
        <v>23.3</v>
      </c>
      <c r="U57" s="216">
        <v>22.1</v>
      </c>
      <c r="V57" s="67">
        <v>20.9</v>
      </c>
      <c r="W57" s="216">
        <v>22.6</v>
      </c>
      <c r="X57" s="216">
        <v>21.4</v>
      </c>
      <c r="Y57" s="216">
        <v>19.399999999999999</v>
      </c>
      <c r="Z57" s="67">
        <v>18.600000000000001</v>
      </c>
      <c r="AA57" s="216">
        <v>17.3</v>
      </c>
      <c r="AB57" s="216">
        <v>14.6</v>
      </c>
      <c r="AC57" s="216">
        <v>15</v>
      </c>
      <c r="AD57" s="67">
        <v>15.8</v>
      </c>
      <c r="AE57" s="216">
        <v>1070</v>
      </c>
      <c r="AF57" s="216">
        <v>997.6</v>
      </c>
      <c r="AG57" s="219">
        <v>946.9</v>
      </c>
      <c r="AH57" s="67">
        <v>1023.8</v>
      </c>
      <c r="AI57" s="216">
        <v>986.2</v>
      </c>
      <c r="AJ57" s="216">
        <v>1021.2</v>
      </c>
      <c r="AK57" s="219">
        <v>1016.4</v>
      </c>
      <c r="AL57" s="67">
        <v>1140.5</v>
      </c>
      <c r="AM57" s="216">
        <v>537.4</v>
      </c>
      <c r="AN57" s="219">
        <v>504.2</v>
      </c>
      <c r="AO57" s="219">
        <v>495.3</v>
      </c>
      <c r="AP57" s="67">
        <v>497.5</v>
      </c>
      <c r="AQ57" s="216">
        <v>467.5</v>
      </c>
      <c r="AR57" s="218">
        <v>349.1</v>
      </c>
      <c r="AS57" s="219">
        <v>328.3</v>
      </c>
      <c r="AT57" s="781">
        <v>345.6</v>
      </c>
      <c r="AU57" s="216">
        <v>342.2</v>
      </c>
      <c r="AV57" s="218">
        <v>337.3</v>
      </c>
      <c r="AW57" s="216">
        <v>399</v>
      </c>
      <c r="AX57" s="999">
        <v>444.6</v>
      </c>
      <c r="AY57" s="843"/>
      <c r="AZ57" s="986"/>
      <c r="BA57" s="844"/>
      <c r="BB57" s="845"/>
      <c r="BC57" s="845"/>
    </row>
    <row r="58" spans="1:57" s="7" customFormat="1" ht="20.149999999999999" customHeight="1">
      <c r="A58" s="27" t="s">
        <v>253</v>
      </c>
      <c r="B58" s="125" t="s">
        <v>254</v>
      </c>
      <c r="C58" s="18" t="e">
        <f>0*($A$87)</f>
        <v>#VALUE!</v>
      </c>
      <c r="D58" s="18">
        <f>0</f>
        <v>0</v>
      </c>
      <c r="E58" s="18">
        <f>0</f>
        <v>0</v>
      </c>
      <c r="F58" s="245">
        <v>0</v>
      </c>
      <c r="G58" s="246">
        <v>0</v>
      </c>
      <c r="H58" s="246">
        <f>0</f>
        <v>0</v>
      </c>
      <c r="I58" s="246">
        <v>0</v>
      </c>
      <c r="J58" s="246">
        <v>0</v>
      </c>
      <c r="K58" s="247">
        <v>0</v>
      </c>
      <c r="L58" s="234">
        <v>835.8</v>
      </c>
      <c r="M58" s="234">
        <v>730.2</v>
      </c>
      <c r="N58" s="241">
        <v>750.3</v>
      </c>
      <c r="O58" s="244">
        <v>724.4</v>
      </c>
      <c r="P58" s="244">
        <v>747.9</v>
      </c>
      <c r="Q58" s="234">
        <v>645.1</v>
      </c>
      <c r="R58" s="67">
        <v>652.79999999999995</v>
      </c>
      <c r="S58" s="216">
        <v>658</v>
      </c>
      <c r="T58" s="216">
        <v>686.7</v>
      </c>
      <c r="U58" s="216">
        <v>555.79999999999995</v>
      </c>
      <c r="V58" s="67">
        <v>574</v>
      </c>
      <c r="W58" s="216">
        <v>551</v>
      </c>
      <c r="X58" s="216">
        <v>555.4</v>
      </c>
      <c r="Y58" s="216">
        <v>452.4</v>
      </c>
      <c r="Z58" s="67">
        <v>440.8</v>
      </c>
      <c r="AA58" s="216">
        <v>447.6</v>
      </c>
      <c r="AB58" s="216">
        <v>466.9</v>
      </c>
      <c r="AC58" s="216">
        <v>343.6</v>
      </c>
      <c r="AD58" s="67">
        <v>348.2</v>
      </c>
      <c r="AE58" s="216">
        <v>350.5</v>
      </c>
      <c r="AF58" s="216">
        <v>348.8</v>
      </c>
      <c r="AG58" s="219">
        <v>241.7</v>
      </c>
      <c r="AH58" s="67">
        <v>236.9</v>
      </c>
      <c r="AI58" s="216">
        <v>254.9</v>
      </c>
      <c r="AJ58" s="216">
        <v>251.7</v>
      </c>
      <c r="AK58" s="219">
        <v>133.30000000000001</v>
      </c>
      <c r="AL58" s="67">
        <v>136.69999999999999</v>
      </c>
      <c r="AM58" s="216">
        <v>139</v>
      </c>
      <c r="AN58" s="219">
        <v>135.69999999999999</v>
      </c>
      <c r="AO58" s="219">
        <v>0</v>
      </c>
      <c r="AP58" s="67">
        <v>0</v>
      </c>
      <c r="AQ58" s="216">
        <v>0</v>
      </c>
      <c r="AR58" s="218">
        <v>0</v>
      </c>
      <c r="AS58" s="218">
        <v>0</v>
      </c>
      <c r="AT58" s="781">
        <v>0</v>
      </c>
      <c r="AU58" s="216">
        <v>0</v>
      </c>
      <c r="AV58" s="218">
        <v>0</v>
      </c>
      <c r="AW58" s="216">
        <v>0</v>
      </c>
      <c r="AX58" s="1001">
        <v>0</v>
      </c>
      <c r="AY58" s="843"/>
      <c r="AZ58" s="986"/>
      <c r="BA58" s="844"/>
      <c r="BB58" s="845"/>
      <c r="BC58" s="845"/>
    </row>
    <row r="59" spans="1:57" s="7" customFormat="1" ht="20.149999999999999" customHeight="1">
      <c r="A59" s="27" t="s">
        <v>255</v>
      </c>
      <c r="B59" s="125" t="s">
        <v>256</v>
      </c>
      <c r="C59" s="41">
        <f>87.307</f>
        <v>87.307000000000002</v>
      </c>
      <c r="D59" s="41">
        <f>(88480)*0.001</f>
        <v>88.48</v>
      </c>
      <c r="E59" s="41">
        <f>(97271)*0.001</f>
        <v>97.271000000000001</v>
      </c>
      <c r="F59" s="235">
        <f>(94258)*0.001</f>
        <v>94.257999999999996</v>
      </c>
      <c r="G59" s="236">
        <f>(93487)*0.001</f>
        <v>93.487000000000009</v>
      </c>
      <c r="H59" s="236">
        <f>(93150)*0.001</f>
        <v>93.15</v>
      </c>
      <c r="I59" s="236">
        <f>(98799)*0.001</f>
        <v>98.799000000000007</v>
      </c>
      <c r="J59" s="236">
        <f>(108066)*0.001</f>
        <v>108.066</v>
      </c>
      <c r="K59" s="248">
        <f>(95950)*0.001</f>
        <v>95.95</v>
      </c>
      <c r="L59" s="231">
        <v>1010.7</v>
      </c>
      <c r="M59" s="231">
        <v>1038.8</v>
      </c>
      <c r="N59" s="241">
        <v>908.7</v>
      </c>
      <c r="O59" s="244">
        <v>888.6</v>
      </c>
      <c r="P59" s="244">
        <v>821.1</v>
      </c>
      <c r="Q59" s="231">
        <v>770.4</v>
      </c>
      <c r="R59" s="67">
        <v>615.79999999999995</v>
      </c>
      <c r="S59" s="216">
        <v>694.4</v>
      </c>
      <c r="T59" s="216">
        <v>889.1</v>
      </c>
      <c r="U59" s="216">
        <v>923.2</v>
      </c>
      <c r="V59" s="67">
        <v>786.9</v>
      </c>
      <c r="W59" s="216">
        <v>812.3</v>
      </c>
      <c r="X59" s="216">
        <v>775.7</v>
      </c>
      <c r="Y59" s="216">
        <v>771.8</v>
      </c>
      <c r="Z59" s="67">
        <v>879.8</v>
      </c>
      <c r="AA59" s="216">
        <v>1034.8</v>
      </c>
      <c r="AB59" s="216">
        <v>1027.8</v>
      </c>
      <c r="AC59" s="216">
        <v>1006.2</v>
      </c>
      <c r="AD59" s="67">
        <v>1160.0999999999999</v>
      </c>
      <c r="AE59" s="216">
        <v>1132</v>
      </c>
      <c r="AF59" s="216">
        <v>1129.8</v>
      </c>
      <c r="AG59" s="219">
        <v>1086.0999999999999</v>
      </c>
      <c r="AH59" s="67">
        <v>1025.3</v>
      </c>
      <c r="AI59" s="216">
        <v>950.2</v>
      </c>
      <c r="AJ59" s="216">
        <v>973.2</v>
      </c>
      <c r="AK59" s="219">
        <v>984.4</v>
      </c>
      <c r="AL59" s="67">
        <v>902.1</v>
      </c>
      <c r="AM59" s="216">
        <v>857.5</v>
      </c>
      <c r="AN59" s="219">
        <v>885.5</v>
      </c>
      <c r="AO59" s="219">
        <v>853.2</v>
      </c>
      <c r="AP59" s="67">
        <v>794.9</v>
      </c>
      <c r="AQ59" s="216">
        <v>721</v>
      </c>
      <c r="AR59" s="218">
        <v>1044.2</v>
      </c>
      <c r="AS59" s="218">
        <v>1023.2</v>
      </c>
      <c r="AT59" s="781">
        <v>978.7</v>
      </c>
      <c r="AU59" s="216">
        <v>914.9</v>
      </c>
      <c r="AV59" s="218">
        <v>891.1</v>
      </c>
      <c r="AW59" s="216">
        <v>872.8</v>
      </c>
      <c r="AX59" s="999">
        <v>1035</v>
      </c>
      <c r="AY59" s="843"/>
      <c r="AZ59" s="986"/>
      <c r="BA59" s="844"/>
      <c r="BB59" s="845"/>
      <c r="BC59" s="845"/>
    </row>
    <row r="60" spans="1:57" s="7" customFormat="1" ht="20.149999999999999" customHeight="1">
      <c r="A60" s="27" t="s">
        <v>257</v>
      </c>
      <c r="B60" s="125" t="s">
        <v>258</v>
      </c>
      <c r="C60" s="24">
        <v>0</v>
      </c>
      <c r="D60" s="41">
        <f>(6285)*0.001</f>
        <v>6.2850000000000001</v>
      </c>
      <c r="E60" s="41">
        <f>(5716)*0.001</f>
        <v>5.7160000000000002</v>
      </c>
      <c r="F60" s="235">
        <f>(5181)*0.001</f>
        <v>5.181</v>
      </c>
      <c r="G60" s="236">
        <f>(4978)*0.001</f>
        <v>4.9779999999999998</v>
      </c>
      <c r="H60" s="236">
        <f>(4754)*0.001</f>
        <v>4.7540000000000004</v>
      </c>
      <c r="I60" s="236">
        <f>(4303)*0.001</f>
        <v>4.3029999999999999</v>
      </c>
      <c r="J60" s="236">
        <f>(4079)*0.001</f>
        <v>4.0789999999999997</v>
      </c>
      <c r="K60" s="248">
        <f>(3008)*0.001</f>
        <v>3.008</v>
      </c>
      <c r="L60" s="234">
        <v>2.8</v>
      </c>
      <c r="M60" s="234">
        <v>3.9</v>
      </c>
      <c r="N60" s="241">
        <v>4.7</v>
      </c>
      <c r="O60" s="244">
        <v>5.5</v>
      </c>
      <c r="P60" s="244">
        <v>5</v>
      </c>
      <c r="Q60" s="234">
        <v>4.5</v>
      </c>
      <c r="R60" s="67">
        <v>4.7</v>
      </c>
      <c r="S60" s="216">
        <v>22.1</v>
      </c>
      <c r="T60" s="216">
        <v>21</v>
      </c>
      <c r="U60" s="216">
        <v>20.100000000000001</v>
      </c>
      <c r="V60" s="67">
        <v>20.100000000000001</v>
      </c>
      <c r="W60" s="216">
        <v>4</v>
      </c>
      <c r="X60" s="216">
        <v>3.8</v>
      </c>
      <c r="Y60" s="216">
        <v>3.4</v>
      </c>
      <c r="Z60" s="67">
        <v>3.2</v>
      </c>
      <c r="AA60" s="216">
        <v>0</v>
      </c>
      <c r="AB60" s="216">
        <v>0</v>
      </c>
      <c r="AC60" s="216">
        <v>0</v>
      </c>
      <c r="AD60" s="67">
        <v>0</v>
      </c>
      <c r="AE60" s="216">
        <v>0</v>
      </c>
      <c r="AF60" s="216">
        <v>0</v>
      </c>
      <c r="AG60" s="219">
        <v>0</v>
      </c>
      <c r="AH60" s="67">
        <v>0</v>
      </c>
      <c r="AI60" s="216">
        <v>0</v>
      </c>
      <c r="AJ60" s="216">
        <v>0</v>
      </c>
      <c r="AK60" s="219">
        <v>0</v>
      </c>
      <c r="AL60" s="67">
        <v>0</v>
      </c>
      <c r="AM60" s="216">
        <v>0</v>
      </c>
      <c r="AN60" s="219">
        <v>0</v>
      </c>
      <c r="AO60" s="219">
        <v>0</v>
      </c>
      <c r="AP60" s="67">
        <v>0</v>
      </c>
      <c r="AQ60" s="216">
        <v>0</v>
      </c>
      <c r="AR60" s="218">
        <v>0</v>
      </c>
      <c r="AS60" s="218">
        <v>0</v>
      </c>
      <c r="AT60" s="781">
        <v>0</v>
      </c>
      <c r="AU60" s="216">
        <v>0</v>
      </c>
      <c r="AV60" s="218">
        <v>0</v>
      </c>
      <c r="AW60" s="933">
        <v>0</v>
      </c>
      <c r="AX60" s="1001">
        <v>0</v>
      </c>
      <c r="AY60" s="843"/>
      <c r="AZ60" s="986"/>
      <c r="BA60" s="844"/>
      <c r="BB60" s="845"/>
      <c r="BC60" s="845"/>
    </row>
    <row r="61" spans="1:57" s="7" customFormat="1" ht="20.149999999999999" customHeight="1">
      <c r="A61" s="27" t="s">
        <v>770</v>
      </c>
      <c r="B61" s="125" t="s">
        <v>259</v>
      </c>
      <c r="C61" s="41">
        <f>13.779</f>
        <v>13.779</v>
      </c>
      <c r="D61" s="41">
        <f>(17835)*0.001</f>
        <v>17.835000000000001</v>
      </c>
      <c r="E61" s="41">
        <f>(19037)*0.001</f>
        <v>19.036999999999999</v>
      </c>
      <c r="F61" s="235">
        <f>(17690)*0.001</f>
        <v>17.690000000000001</v>
      </c>
      <c r="G61" s="236">
        <f>(17684)*0.001</f>
        <v>17.684000000000001</v>
      </c>
      <c r="H61" s="236">
        <f>(10154)*0.001</f>
        <v>10.154</v>
      </c>
      <c r="I61" s="236">
        <f>(8594)*0.001</f>
        <v>8.5939999999999994</v>
      </c>
      <c r="J61" s="236">
        <f>(7915)*0.001</f>
        <v>7.915</v>
      </c>
      <c r="K61" s="248">
        <f>(7828)*0.001</f>
        <v>7.8280000000000003</v>
      </c>
      <c r="L61" s="234">
        <v>158.19999999999999</v>
      </c>
      <c r="M61" s="234">
        <v>164.6</v>
      </c>
      <c r="N61" s="241">
        <v>184.2</v>
      </c>
      <c r="O61" s="244">
        <v>167.4</v>
      </c>
      <c r="P61" s="244">
        <v>132.4</v>
      </c>
      <c r="Q61" s="234">
        <v>133.1</v>
      </c>
      <c r="R61" s="67">
        <v>124.2</v>
      </c>
      <c r="S61" s="216">
        <v>157.30000000000001</v>
      </c>
      <c r="T61" s="216">
        <v>148.9</v>
      </c>
      <c r="U61" s="216">
        <v>148.19999999999999</v>
      </c>
      <c r="V61" s="67">
        <v>130.19999999999999</v>
      </c>
      <c r="W61" s="216">
        <v>128.1</v>
      </c>
      <c r="X61" s="216">
        <v>122</v>
      </c>
      <c r="Y61" s="216">
        <v>122.2</v>
      </c>
      <c r="Z61" s="67">
        <v>114.2</v>
      </c>
      <c r="AA61" s="216">
        <v>122.4</v>
      </c>
      <c r="AB61" s="216">
        <v>436.6</v>
      </c>
      <c r="AC61" s="216">
        <v>728.3</v>
      </c>
      <c r="AD61" s="67">
        <v>697.6</v>
      </c>
      <c r="AE61" s="216">
        <v>620.1</v>
      </c>
      <c r="AF61" s="216">
        <v>494</v>
      </c>
      <c r="AG61" s="219">
        <v>380.5</v>
      </c>
      <c r="AH61" s="67">
        <v>384.7</v>
      </c>
      <c r="AI61" s="216">
        <v>311.8</v>
      </c>
      <c r="AJ61" s="216">
        <v>334.5</v>
      </c>
      <c r="AK61" s="219">
        <v>346.2</v>
      </c>
      <c r="AL61" s="67">
        <v>388.1</v>
      </c>
      <c r="AM61" s="216">
        <v>104.9</v>
      </c>
      <c r="AN61" s="219">
        <v>95.4</v>
      </c>
      <c r="AO61" s="219">
        <v>345.8</v>
      </c>
      <c r="AP61" s="67">
        <v>319.8</v>
      </c>
      <c r="AQ61" s="216">
        <v>273.2</v>
      </c>
      <c r="AR61" s="218">
        <v>383.1</v>
      </c>
      <c r="AS61" s="219">
        <v>355.4</v>
      </c>
      <c r="AT61" s="781">
        <v>330.9</v>
      </c>
      <c r="AU61" s="216">
        <v>286.39999999999998</v>
      </c>
      <c r="AV61" s="218">
        <v>410.4</v>
      </c>
      <c r="AW61" s="216">
        <v>410.2</v>
      </c>
      <c r="AX61" s="999">
        <v>385.6</v>
      </c>
      <c r="AY61" s="843"/>
      <c r="AZ61" s="986"/>
      <c r="BA61" s="844"/>
      <c r="BB61" s="845"/>
      <c r="BC61" s="845"/>
      <c r="BE61" s="843"/>
    </row>
    <row r="62" spans="1:57" s="15" customFormat="1" ht="20.149999999999999" customHeight="1" thickBot="1">
      <c r="A62" s="29" t="s">
        <v>771</v>
      </c>
      <c r="B62" s="129" t="s">
        <v>260</v>
      </c>
      <c r="C62" s="18" t="e">
        <f>0*($A$87)</f>
        <v>#VALUE!</v>
      </c>
      <c r="D62" s="18">
        <f>0</f>
        <v>0</v>
      </c>
      <c r="E62" s="18">
        <f>0</f>
        <v>0</v>
      </c>
      <c r="F62" s="245">
        <v>0</v>
      </c>
      <c r="G62" s="246">
        <v>0</v>
      </c>
      <c r="H62" s="246">
        <f>0</f>
        <v>0</v>
      </c>
      <c r="I62" s="246">
        <v>0</v>
      </c>
      <c r="J62" s="249">
        <v>0.1</v>
      </c>
      <c r="K62" s="247">
        <v>0</v>
      </c>
      <c r="L62" s="246" t="e">
        <f>0*($A$87)</f>
        <v>#VALUE!</v>
      </c>
      <c r="M62" s="246" t="e">
        <f>0*($A$87)</f>
        <v>#VALUE!</v>
      </c>
      <c r="N62" s="249">
        <v>40.1</v>
      </c>
      <c r="O62" s="250">
        <v>22.6</v>
      </c>
      <c r="P62" s="250">
        <v>2</v>
      </c>
      <c r="Q62" s="251">
        <v>1.9</v>
      </c>
      <c r="R62" s="67">
        <v>0</v>
      </c>
      <c r="S62" s="196">
        <v>1.1000000000000001</v>
      </c>
      <c r="T62" s="196">
        <v>0.9</v>
      </c>
      <c r="U62" s="196">
        <v>0</v>
      </c>
      <c r="V62" s="67">
        <v>0</v>
      </c>
      <c r="W62" s="196">
        <v>1.5</v>
      </c>
      <c r="X62" s="196">
        <v>1.7</v>
      </c>
      <c r="Y62" s="196">
        <v>1.3</v>
      </c>
      <c r="Z62" s="67">
        <v>0</v>
      </c>
      <c r="AA62" s="196">
        <v>2.2000000000000002</v>
      </c>
      <c r="AB62" s="196">
        <v>0.5</v>
      </c>
      <c r="AC62" s="196">
        <v>205</v>
      </c>
      <c r="AD62" s="67">
        <v>165.2</v>
      </c>
      <c r="AE62" s="196">
        <v>167.2</v>
      </c>
      <c r="AF62" s="196">
        <v>5.4</v>
      </c>
      <c r="AG62" s="196">
        <v>6.7</v>
      </c>
      <c r="AH62" s="67">
        <v>3.2</v>
      </c>
      <c r="AI62" s="196">
        <v>30.2</v>
      </c>
      <c r="AJ62" s="196">
        <v>29.6</v>
      </c>
      <c r="AK62" s="196">
        <v>24.9</v>
      </c>
      <c r="AL62" s="220">
        <v>16.8</v>
      </c>
      <c r="AM62" s="196">
        <v>6.7</v>
      </c>
      <c r="AN62" s="196">
        <v>1.4</v>
      </c>
      <c r="AO62" s="196">
        <v>0</v>
      </c>
      <c r="AP62" s="220">
        <v>0</v>
      </c>
      <c r="AQ62" s="196">
        <v>0</v>
      </c>
      <c r="AR62" s="753">
        <v>0</v>
      </c>
      <c r="AS62" s="196">
        <v>0</v>
      </c>
      <c r="AT62" s="779">
        <v>4.3</v>
      </c>
      <c r="AU62" s="196">
        <v>11.9</v>
      </c>
      <c r="AV62" s="891">
        <v>154</v>
      </c>
      <c r="AW62" s="990">
        <v>20.3</v>
      </c>
      <c r="AX62" s="1002">
        <v>24</v>
      </c>
      <c r="AY62" s="843"/>
      <c r="AZ62" s="986"/>
      <c r="BA62" s="844"/>
      <c r="BB62" s="844"/>
      <c r="BC62" s="845"/>
    </row>
    <row r="63" spans="1:57" s="225" customFormat="1" ht="25.25" customHeight="1" thickBot="1">
      <c r="A63" s="399" t="s">
        <v>261</v>
      </c>
      <c r="B63" s="399" t="s">
        <v>262</v>
      </c>
      <c r="C63" s="400" t="e">
        <f t="shared" ref="C63" si="14">SUM(C55:C61)</f>
        <v>#VALUE!</v>
      </c>
      <c r="D63" s="401">
        <f t="shared" ref="D63" si="15">SUM(D55:D61)</f>
        <v>2372.0889999999999</v>
      </c>
      <c r="E63" s="401">
        <f t="shared" ref="E63" si="16">SUM(E55:E61)</f>
        <v>2150.2569999999996</v>
      </c>
      <c r="F63" s="402">
        <f t="shared" ref="F63:I63" si="17">SUM(F55:F61)</f>
        <v>2026.162</v>
      </c>
      <c r="G63" s="401">
        <f t="shared" si="17"/>
        <v>2059.5610000000001</v>
      </c>
      <c r="H63" s="401">
        <f t="shared" si="17"/>
        <v>1927.3119999999999</v>
      </c>
      <c r="I63" s="401">
        <f t="shared" si="17"/>
        <v>1827.1140000000003</v>
      </c>
      <c r="J63" s="402">
        <f t="shared" ref="J63:K63" si="18">SUM(J55:J61)</f>
        <v>1700.1859999999999</v>
      </c>
      <c r="K63" s="400">
        <f t="shared" si="18"/>
        <v>1739.3000000000002</v>
      </c>
      <c r="L63" s="401">
        <f t="shared" ref="L63:M63" si="19">SUM(L55:L61)</f>
        <v>14745</v>
      </c>
      <c r="M63" s="401">
        <f t="shared" si="19"/>
        <v>14223.800000000001</v>
      </c>
      <c r="N63" s="402">
        <f t="shared" ref="N63:S63" si="20">SUM(N55:N62)-N62</f>
        <v>14093.300000000003</v>
      </c>
      <c r="O63" s="400">
        <f t="shared" si="20"/>
        <v>13627.199999999999</v>
      </c>
      <c r="P63" s="401">
        <f t="shared" si="20"/>
        <v>13339.2</v>
      </c>
      <c r="Q63" s="401">
        <f t="shared" si="20"/>
        <v>8183.7</v>
      </c>
      <c r="R63" s="402">
        <f t="shared" si="20"/>
        <v>7773.5</v>
      </c>
      <c r="S63" s="400">
        <f t="shared" si="20"/>
        <v>13787.7</v>
      </c>
      <c r="T63" s="401">
        <f t="shared" ref="T63:U63" si="21">SUM(T55:T62)-T62</f>
        <v>13316.1</v>
      </c>
      <c r="U63" s="401">
        <f t="shared" si="21"/>
        <v>13004.800000000001</v>
      </c>
      <c r="V63" s="402">
        <f t="shared" ref="V63" si="22">SUM(V55:V62)-V62</f>
        <v>12670.500000000002</v>
      </c>
      <c r="W63" s="400">
        <f t="shared" ref="W63:Z63" si="23">SUM(W55:W62)-W62</f>
        <v>11538.9</v>
      </c>
      <c r="X63" s="401">
        <f t="shared" si="23"/>
        <v>11262.199999999999</v>
      </c>
      <c r="Y63" s="401">
        <f t="shared" si="23"/>
        <v>10896.3</v>
      </c>
      <c r="Z63" s="402">
        <f t="shared" si="23"/>
        <v>11723.7</v>
      </c>
      <c r="AA63" s="400">
        <f t="shared" ref="AA63:AE63" si="24">SUM(AA55:AA62)-AA62</f>
        <v>12062</v>
      </c>
      <c r="AB63" s="401">
        <f t="shared" si="24"/>
        <v>12060.8</v>
      </c>
      <c r="AC63" s="401">
        <f t="shared" si="24"/>
        <v>12102.5</v>
      </c>
      <c r="AD63" s="402">
        <f t="shared" si="24"/>
        <v>11803</v>
      </c>
      <c r="AE63" s="400">
        <f t="shared" si="24"/>
        <v>12477.9</v>
      </c>
      <c r="AF63" s="401">
        <f t="shared" ref="AF63:AI63" si="25">SUM(AF55:AF62)-AF62</f>
        <v>12039.3</v>
      </c>
      <c r="AG63" s="401">
        <f t="shared" si="25"/>
        <v>11494.000000000002</v>
      </c>
      <c r="AH63" s="402">
        <f t="shared" si="25"/>
        <v>12256.9</v>
      </c>
      <c r="AI63" s="400">
        <f t="shared" si="25"/>
        <v>12907.2</v>
      </c>
      <c r="AJ63" s="401">
        <f t="shared" ref="AJ63:AM63" si="26">SUM(AJ55:AJ62)-AJ62</f>
        <v>13796.600000000002</v>
      </c>
      <c r="AK63" s="401">
        <f t="shared" si="26"/>
        <v>13512.8</v>
      </c>
      <c r="AL63" s="402">
        <f t="shared" si="26"/>
        <v>13414.400000000001</v>
      </c>
      <c r="AM63" s="400">
        <f t="shared" si="26"/>
        <v>12300.499999999998</v>
      </c>
      <c r="AN63" s="401">
        <f t="shared" ref="AN63:AQ63" si="27">SUM(AN55:AN62)-AN62</f>
        <v>12095.100000000002</v>
      </c>
      <c r="AO63" s="401">
        <f t="shared" si="27"/>
        <v>11660</v>
      </c>
      <c r="AP63" s="402">
        <f t="shared" si="27"/>
        <v>11226.099999999999</v>
      </c>
      <c r="AQ63" s="400">
        <f t="shared" si="27"/>
        <v>10739.300000000001</v>
      </c>
      <c r="AR63" s="754">
        <f t="shared" ref="AR63:AU63" si="28">SUM(AR55:AR62)-AR62</f>
        <v>10706.700000000003</v>
      </c>
      <c r="AS63" s="401">
        <f t="shared" si="28"/>
        <v>10457.799999999999</v>
      </c>
      <c r="AT63" s="402">
        <f t="shared" si="28"/>
        <v>10180.400000000001</v>
      </c>
      <c r="AU63" s="400">
        <f t="shared" si="28"/>
        <v>10910.2</v>
      </c>
      <c r="AV63" s="754">
        <f t="shared" ref="AV63:AX63" si="29">SUM(AV55:AV62)-AV62</f>
        <v>13220.4</v>
      </c>
      <c r="AW63" s="754">
        <f t="shared" si="29"/>
        <v>14252.5</v>
      </c>
      <c r="AX63" s="985">
        <f t="shared" si="29"/>
        <v>15354.9</v>
      </c>
      <c r="AY63" s="843"/>
      <c r="AZ63" s="986"/>
      <c r="BA63" s="844"/>
      <c r="BB63" s="845"/>
      <c r="BC63" s="845"/>
    </row>
    <row r="64" spans="1:57" s="7" customFormat="1" ht="20.149999999999999" customHeight="1">
      <c r="A64" s="27" t="s">
        <v>247</v>
      </c>
      <c r="B64" s="125" t="s">
        <v>248</v>
      </c>
      <c r="C64" s="41">
        <f>250.363</f>
        <v>250.363</v>
      </c>
      <c r="D64" s="41">
        <f>(265796)*0.001</f>
        <v>265.79599999999999</v>
      </c>
      <c r="E64" s="41">
        <f>(238676)*0.001</f>
        <v>238.67600000000002</v>
      </c>
      <c r="F64" s="235">
        <f>(275608)*0.001</f>
        <v>275.608</v>
      </c>
      <c r="G64" s="236">
        <f>(250329)*0.001</f>
        <v>250.32900000000001</v>
      </c>
      <c r="H64" s="236">
        <f>(263389)*0.001</f>
        <v>263.38900000000001</v>
      </c>
      <c r="I64" s="236">
        <f>(214673)*0.001</f>
        <v>214.673</v>
      </c>
      <c r="J64" s="236">
        <f>(245994)*0.001</f>
        <v>245.994</v>
      </c>
      <c r="K64" s="248">
        <f>(240921)*0.001</f>
        <v>240.92099999999999</v>
      </c>
      <c r="L64" s="231">
        <v>1094.3</v>
      </c>
      <c r="M64" s="231">
        <v>1365.1</v>
      </c>
      <c r="N64" s="233">
        <v>1322.6</v>
      </c>
      <c r="O64" s="232">
        <v>1543.9</v>
      </c>
      <c r="P64" s="232">
        <v>1169.9000000000001</v>
      </c>
      <c r="Q64" s="231">
        <v>963.7</v>
      </c>
      <c r="R64" s="67">
        <v>1230.9000000000001</v>
      </c>
      <c r="S64" s="219">
        <v>1593</v>
      </c>
      <c r="T64" s="219">
        <v>1251.3</v>
      </c>
      <c r="U64" s="219">
        <v>1269.4000000000001</v>
      </c>
      <c r="V64" s="67">
        <v>1270</v>
      </c>
      <c r="W64" s="219">
        <v>1286.8</v>
      </c>
      <c r="X64" s="219">
        <v>1805.9</v>
      </c>
      <c r="Y64" s="219">
        <v>1824.8</v>
      </c>
      <c r="Z64" s="67">
        <v>1341.9</v>
      </c>
      <c r="AA64" s="219">
        <v>552.9</v>
      </c>
      <c r="AB64" s="219">
        <v>1074.7</v>
      </c>
      <c r="AC64" s="216">
        <v>1368.9</v>
      </c>
      <c r="AD64" s="67">
        <v>1611.3</v>
      </c>
      <c r="AE64" s="219">
        <v>1298.2</v>
      </c>
      <c r="AF64" s="219">
        <v>1279</v>
      </c>
      <c r="AG64" s="219">
        <v>1748.5</v>
      </c>
      <c r="AH64" s="67">
        <v>1892.5</v>
      </c>
      <c r="AI64" s="219">
        <v>1241.5999999999999</v>
      </c>
      <c r="AJ64" s="219">
        <v>364.6</v>
      </c>
      <c r="AK64" s="219">
        <v>557.5</v>
      </c>
      <c r="AL64" s="67">
        <v>753</v>
      </c>
      <c r="AM64" s="219">
        <v>947.4</v>
      </c>
      <c r="AN64" s="219">
        <v>1053.4000000000001</v>
      </c>
      <c r="AO64" s="219">
        <v>1924.5</v>
      </c>
      <c r="AP64" s="67">
        <v>1072.7</v>
      </c>
      <c r="AQ64" s="219">
        <v>1219.0999999999999</v>
      </c>
      <c r="AR64" s="218">
        <v>1357.2</v>
      </c>
      <c r="AS64" s="219">
        <v>1367.2</v>
      </c>
      <c r="AT64" s="67">
        <v>1512.6</v>
      </c>
      <c r="AU64" s="219">
        <v>2376.3000000000002</v>
      </c>
      <c r="AV64" s="218">
        <v>1836</v>
      </c>
      <c r="AW64" s="216">
        <v>2552.3000000000002</v>
      </c>
      <c r="AX64" s="999">
        <v>1069.7</v>
      </c>
      <c r="AY64" s="843"/>
      <c r="AZ64" s="986"/>
      <c r="BA64" s="844"/>
      <c r="BB64" s="845"/>
      <c r="BC64" s="845"/>
      <c r="BD64" s="845"/>
    </row>
    <row r="65" spans="1:60" s="7" customFormat="1" ht="20.149999999999999" customHeight="1">
      <c r="A65" s="27" t="s">
        <v>249</v>
      </c>
      <c r="B65" s="125" t="s">
        <v>250</v>
      </c>
      <c r="C65" s="41">
        <f>100.836</f>
        <v>100.836</v>
      </c>
      <c r="D65" s="41">
        <f>(101342)*0.001</f>
        <v>101.342</v>
      </c>
      <c r="E65" s="41">
        <f>(99687)*0.001</f>
        <v>99.686999999999998</v>
      </c>
      <c r="F65" s="235">
        <f>(97256)*0.001</f>
        <v>97.256</v>
      </c>
      <c r="G65" s="236">
        <f>(101219)*0.001</f>
        <v>101.21900000000001</v>
      </c>
      <c r="H65" s="236">
        <f>(102957)*0.001</f>
        <v>102.95700000000001</v>
      </c>
      <c r="I65" s="236">
        <f>(102171)*0.001</f>
        <v>102.17100000000001</v>
      </c>
      <c r="J65" s="236">
        <f>(98659)*0.001</f>
        <v>98.659000000000006</v>
      </c>
      <c r="K65" s="248">
        <f>(101071)*0.001</f>
        <v>101.071</v>
      </c>
      <c r="L65" s="234">
        <v>431.9</v>
      </c>
      <c r="M65" s="234">
        <v>439.1</v>
      </c>
      <c r="N65" s="241">
        <v>464.4</v>
      </c>
      <c r="O65" s="244">
        <v>462.5</v>
      </c>
      <c r="P65" s="244">
        <v>479.4</v>
      </c>
      <c r="Q65" s="234">
        <v>4607.5</v>
      </c>
      <c r="R65" s="67">
        <v>4776.7</v>
      </c>
      <c r="S65" s="216">
        <v>41.5</v>
      </c>
      <c r="T65" s="216">
        <v>42.3</v>
      </c>
      <c r="U65" s="216">
        <v>41.9</v>
      </c>
      <c r="V65" s="67">
        <v>42.4</v>
      </c>
      <c r="W65" s="216">
        <v>981.4</v>
      </c>
      <c r="X65" s="216">
        <v>42.5</v>
      </c>
      <c r="Y65" s="216">
        <v>42.1</v>
      </c>
      <c r="Z65" s="67">
        <v>42.5</v>
      </c>
      <c r="AA65" s="216">
        <v>41.9</v>
      </c>
      <c r="AB65" s="216">
        <v>42.4</v>
      </c>
      <c r="AC65" s="216">
        <v>41.8</v>
      </c>
      <c r="AD65" s="67">
        <v>42.3</v>
      </c>
      <c r="AE65" s="216">
        <v>41.9</v>
      </c>
      <c r="AF65" s="216">
        <v>34.799999999999997</v>
      </c>
      <c r="AG65" s="219">
        <v>35.1</v>
      </c>
      <c r="AH65" s="67">
        <v>34.799999999999997</v>
      </c>
      <c r="AI65" s="216">
        <v>63.1</v>
      </c>
      <c r="AJ65" s="216">
        <v>48.9</v>
      </c>
      <c r="AK65" s="219">
        <v>41.1</v>
      </c>
      <c r="AL65" s="67">
        <v>38.700000000000003</v>
      </c>
      <c r="AM65" s="216">
        <v>38.6</v>
      </c>
      <c r="AN65" s="219">
        <v>38.6</v>
      </c>
      <c r="AO65" s="219">
        <v>39.200000000000003</v>
      </c>
      <c r="AP65" s="67">
        <v>66.400000000000006</v>
      </c>
      <c r="AQ65" s="216">
        <v>103.8</v>
      </c>
      <c r="AR65" s="218">
        <v>149</v>
      </c>
      <c r="AS65" s="219">
        <v>159.9</v>
      </c>
      <c r="AT65" s="67">
        <v>176</v>
      </c>
      <c r="AU65" s="216">
        <v>318</v>
      </c>
      <c r="AV65" s="218">
        <v>323.39999999999998</v>
      </c>
      <c r="AW65" s="216">
        <v>366.8</v>
      </c>
      <c r="AX65" s="999">
        <v>393.7</v>
      </c>
      <c r="AY65" s="843"/>
      <c r="AZ65" s="986"/>
      <c r="BA65" s="844"/>
      <c r="BB65" s="845"/>
      <c r="BC65" s="845"/>
    </row>
    <row r="66" spans="1:60" s="7" customFormat="1" ht="20.149999999999999" customHeight="1">
      <c r="A66" s="27" t="s">
        <v>263</v>
      </c>
      <c r="B66" s="127" t="s">
        <v>252</v>
      </c>
      <c r="C66" s="41">
        <f>0.237</f>
        <v>0.23699999999999999</v>
      </c>
      <c r="D66" s="41">
        <f>(243)*0.001</f>
        <v>0.24299999999999999</v>
      </c>
      <c r="E66" s="41">
        <f>(234)*0.001</f>
        <v>0.23400000000000001</v>
      </c>
      <c r="F66" s="235">
        <f>(233)*0.001</f>
        <v>0.23300000000000001</v>
      </c>
      <c r="G66" s="236">
        <f>(238)*0.001</f>
        <v>0.23800000000000002</v>
      </c>
      <c r="H66" s="236">
        <f>(247)*0.001</f>
        <v>0.247</v>
      </c>
      <c r="I66" s="236">
        <f>(240)*0.001</f>
        <v>0.24</v>
      </c>
      <c r="J66" s="236">
        <f>(236)*0.001</f>
        <v>0.23600000000000002</v>
      </c>
      <c r="K66" s="248">
        <f>(237)*0.001</f>
        <v>0.23700000000000002</v>
      </c>
      <c r="L66" s="234">
        <v>5.3</v>
      </c>
      <c r="M66" s="234">
        <v>5.8</v>
      </c>
      <c r="N66" s="241">
        <v>6.8</v>
      </c>
      <c r="O66" s="244">
        <v>2.7</v>
      </c>
      <c r="P66" s="244">
        <v>3.7</v>
      </c>
      <c r="Q66" s="234">
        <v>4.3</v>
      </c>
      <c r="R66" s="67">
        <v>4.3</v>
      </c>
      <c r="S66" s="216">
        <v>4.5</v>
      </c>
      <c r="T66" s="216">
        <v>4.9000000000000004</v>
      </c>
      <c r="U66" s="216">
        <v>4.9000000000000004</v>
      </c>
      <c r="V66" s="67">
        <v>5</v>
      </c>
      <c r="W66" s="216">
        <v>5.2</v>
      </c>
      <c r="X66" s="216">
        <v>7.6</v>
      </c>
      <c r="Y66" s="216">
        <v>7</v>
      </c>
      <c r="Z66" s="67">
        <v>9.6999999999999993</v>
      </c>
      <c r="AA66" s="216">
        <v>10.4</v>
      </c>
      <c r="AB66" s="216">
        <v>9.6999999999999993</v>
      </c>
      <c r="AC66" s="216">
        <v>10.7</v>
      </c>
      <c r="AD66" s="67">
        <v>8.1999999999999993</v>
      </c>
      <c r="AE66" s="216">
        <v>411.5</v>
      </c>
      <c r="AF66" s="216">
        <v>411.1</v>
      </c>
      <c r="AG66" s="219">
        <v>411.4</v>
      </c>
      <c r="AH66" s="67">
        <v>413.5</v>
      </c>
      <c r="AI66" s="216">
        <v>430.3</v>
      </c>
      <c r="AJ66" s="216">
        <v>418.8</v>
      </c>
      <c r="AK66" s="219">
        <v>420</v>
      </c>
      <c r="AL66" s="67">
        <v>432.5</v>
      </c>
      <c r="AM66" s="216">
        <v>198.7</v>
      </c>
      <c r="AN66" s="219">
        <v>201.5</v>
      </c>
      <c r="AO66" s="219">
        <v>196.8</v>
      </c>
      <c r="AP66" s="67">
        <v>201.1</v>
      </c>
      <c r="AQ66" s="216">
        <v>197.9</v>
      </c>
      <c r="AR66" s="218">
        <v>186.7</v>
      </c>
      <c r="AS66" s="219">
        <v>190.2</v>
      </c>
      <c r="AT66" s="67">
        <v>178.6</v>
      </c>
      <c r="AU66" s="216">
        <v>180.6</v>
      </c>
      <c r="AV66" s="218">
        <v>172.7</v>
      </c>
      <c r="AW66" s="216">
        <v>165.8</v>
      </c>
      <c r="AX66" s="999">
        <v>166.2</v>
      </c>
      <c r="AY66" s="843"/>
      <c r="AZ66" s="986"/>
      <c r="BA66" s="844"/>
      <c r="BB66" s="845"/>
      <c r="BC66" s="845"/>
    </row>
    <row r="67" spans="1:60" s="7" customFormat="1" ht="20.149999999999999" customHeight="1">
      <c r="A67" s="27" t="s">
        <v>253</v>
      </c>
      <c r="B67" s="125" t="s">
        <v>254</v>
      </c>
      <c r="C67" s="19">
        <v>0</v>
      </c>
      <c r="D67" s="19">
        <v>0</v>
      </c>
      <c r="E67" s="19">
        <v>0</v>
      </c>
      <c r="F67" s="252">
        <v>0</v>
      </c>
      <c r="G67" s="253">
        <v>0</v>
      </c>
      <c r="H67" s="253">
        <v>0</v>
      </c>
      <c r="I67" s="253">
        <v>0</v>
      </c>
      <c r="J67" s="253">
        <v>0</v>
      </c>
      <c r="K67" s="254">
        <v>0</v>
      </c>
      <c r="L67" s="234">
        <v>115.8</v>
      </c>
      <c r="M67" s="234">
        <v>113.9</v>
      </c>
      <c r="N67" s="241">
        <v>117.1</v>
      </c>
      <c r="O67" s="244">
        <v>113</v>
      </c>
      <c r="P67" s="244">
        <v>116.7</v>
      </c>
      <c r="Q67" s="234">
        <v>115.6</v>
      </c>
      <c r="R67" s="67">
        <v>117</v>
      </c>
      <c r="S67" s="216">
        <v>118</v>
      </c>
      <c r="T67" s="216">
        <v>123.1</v>
      </c>
      <c r="U67" s="216">
        <v>117.7</v>
      </c>
      <c r="V67" s="67">
        <v>121.5</v>
      </c>
      <c r="W67" s="216">
        <v>116.6</v>
      </c>
      <c r="X67" s="216">
        <v>117.6</v>
      </c>
      <c r="Y67" s="216">
        <v>117.6</v>
      </c>
      <c r="Z67" s="67">
        <v>114.5</v>
      </c>
      <c r="AA67" s="216">
        <v>116.3</v>
      </c>
      <c r="AB67" s="216">
        <v>121.3</v>
      </c>
      <c r="AC67" s="216">
        <v>116.6</v>
      </c>
      <c r="AD67" s="67">
        <v>118.1</v>
      </c>
      <c r="AE67" s="216">
        <v>118.9</v>
      </c>
      <c r="AF67" s="216">
        <v>118.3</v>
      </c>
      <c r="AG67" s="219">
        <v>119.3</v>
      </c>
      <c r="AH67" s="67">
        <v>116.9</v>
      </c>
      <c r="AI67" s="216">
        <v>125.8</v>
      </c>
      <c r="AJ67" s="216">
        <v>124.2</v>
      </c>
      <c r="AK67" s="219">
        <v>123.5</v>
      </c>
      <c r="AL67" s="67">
        <v>126.7</v>
      </c>
      <c r="AM67" s="216">
        <v>128.80000000000001</v>
      </c>
      <c r="AN67" s="219">
        <v>125.8</v>
      </c>
      <c r="AO67" s="219">
        <v>140</v>
      </c>
      <c r="AP67" s="67">
        <v>139.9</v>
      </c>
      <c r="AQ67" s="216">
        <v>142.4</v>
      </c>
      <c r="AR67" s="218">
        <v>144.19999999999999</v>
      </c>
      <c r="AS67" s="219">
        <v>0</v>
      </c>
      <c r="AT67" s="67">
        <v>0</v>
      </c>
      <c r="AU67" s="216">
        <v>0</v>
      </c>
      <c r="AV67" s="218" t="s">
        <v>264</v>
      </c>
      <c r="AW67" s="216">
        <v>0</v>
      </c>
      <c r="AX67" s="1003">
        <v>0</v>
      </c>
      <c r="AY67" s="843"/>
      <c r="AZ67" s="986"/>
      <c r="BA67" s="844"/>
      <c r="BB67" s="845"/>
      <c r="BC67" s="845"/>
    </row>
    <row r="68" spans="1:60" s="7" customFormat="1" ht="20.149999999999999" customHeight="1">
      <c r="A68" s="27" t="s">
        <v>265</v>
      </c>
      <c r="B68" s="125" t="s">
        <v>266</v>
      </c>
      <c r="C68" s="19"/>
      <c r="D68" s="19"/>
      <c r="E68" s="19"/>
      <c r="F68" s="252"/>
      <c r="G68" s="253"/>
      <c r="H68" s="253"/>
      <c r="I68" s="253"/>
      <c r="J68" s="253"/>
      <c r="K68" s="254"/>
      <c r="L68" s="234"/>
      <c r="M68" s="234"/>
      <c r="N68" s="241"/>
      <c r="O68" s="244"/>
      <c r="P68" s="244"/>
      <c r="Q68" s="234"/>
      <c r="R68" s="67"/>
      <c r="S68" s="216"/>
      <c r="T68" s="216"/>
      <c r="U68" s="216"/>
      <c r="V68" s="67"/>
      <c r="W68" s="216"/>
      <c r="X68" s="216"/>
      <c r="Y68" s="216"/>
      <c r="Z68" s="67"/>
      <c r="AA68" s="219">
        <v>359</v>
      </c>
      <c r="AB68" s="216">
        <v>649.1</v>
      </c>
      <c r="AC68" s="216">
        <v>643.5</v>
      </c>
      <c r="AD68" s="67">
        <v>705.2</v>
      </c>
      <c r="AE68" s="219">
        <v>722.6</v>
      </c>
      <c r="AF68" s="216">
        <v>712.2</v>
      </c>
      <c r="AG68" s="219">
        <v>729.6</v>
      </c>
      <c r="AH68" s="67">
        <v>713.1</v>
      </c>
      <c r="AI68" s="219">
        <v>725.1</v>
      </c>
      <c r="AJ68" s="216">
        <v>686.4</v>
      </c>
      <c r="AK68" s="219">
        <v>671.7</v>
      </c>
      <c r="AL68" s="67">
        <v>675.6</v>
      </c>
      <c r="AM68" s="219">
        <v>663.1</v>
      </c>
      <c r="AN68" s="219">
        <v>646.70000000000005</v>
      </c>
      <c r="AO68" s="219">
        <v>668.3</v>
      </c>
      <c r="AP68" s="67">
        <v>650.79999999999995</v>
      </c>
      <c r="AQ68" s="219">
        <v>637.5</v>
      </c>
      <c r="AR68" s="218">
        <v>631.79999999999995</v>
      </c>
      <c r="AS68" s="219">
        <v>632.70000000000005</v>
      </c>
      <c r="AT68" s="67">
        <v>606.79999999999995</v>
      </c>
      <c r="AU68" s="219">
        <v>628.9</v>
      </c>
      <c r="AV68" s="218">
        <v>629.9</v>
      </c>
      <c r="AW68" s="892">
        <v>706.9</v>
      </c>
      <c r="AX68" s="999">
        <v>682.2</v>
      </c>
      <c r="AY68" s="843"/>
      <c r="AZ68" s="986"/>
      <c r="BA68" s="844"/>
      <c r="BB68" s="845"/>
      <c r="BC68" s="845"/>
    </row>
    <row r="69" spans="1:60" s="7" customFormat="1" ht="20.149999999999999" customHeight="1">
      <c r="A69" s="27" t="s">
        <v>772</v>
      </c>
      <c r="B69" s="125" t="s">
        <v>267</v>
      </c>
      <c r="C69" s="41">
        <f>435.427</f>
        <v>435.42700000000002</v>
      </c>
      <c r="D69" s="41">
        <f>(436188)*0.001</f>
        <v>436.18799999999999</v>
      </c>
      <c r="E69" s="41">
        <f>(441676)*0.001</f>
        <v>441.67599999999999</v>
      </c>
      <c r="F69" s="235">
        <f>(472094)*0.001</f>
        <v>472.09399999999999</v>
      </c>
      <c r="G69" s="236">
        <f>(432897)*0.001</f>
        <v>432.89699999999999</v>
      </c>
      <c r="H69" s="236">
        <f>(428004)*0.001</f>
        <v>428.00400000000002</v>
      </c>
      <c r="I69" s="236">
        <f>(390829)*0.001</f>
        <v>390.82900000000001</v>
      </c>
      <c r="J69" s="236">
        <f>(413210)*0.001</f>
        <v>413.21000000000004</v>
      </c>
      <c r="K69" s="248">
        <f>(418100)*0.001</f>
        <v>418.1</v>
      </c>
      <c r="L69" s="231">
        <v>1618.8</v>
      </c>
      <c r="M69" s="231">
        <v>1505.3</v>
      </c>
      <c r="N69" s="233">
        <v>1523</v>
      </c>
      <c r="O69" s="232">
        <v>1333.5</v>
      </c>
      <c r="P69" s="232">
        <v>1670.4</v>
      </c>
      <c r="Q69" s="231">
        <v>1431.5</v>
      </c>
      <c r="R69" s="67">
        <v>1485.4</v>
      </c>
      <c r="S69" s="219">
        <v>1711.4</v>
      </c>
      <c r="T69" s="219">
        <v>1365.9</v>
      </c>
      <c r="U69" s="219">
        <v>1338.1</v>
      </c>
      <c r="V69" s="67">
        <v>1569.5</v>
      </c>
      <c r="W69" s="219">
        <v>1337.9</v>
      </c>
      <c r="X69" s="219">
        <v>1694.4</v>
      </c>
      <c r="Y69" s="219">
        <v>1397.9</v>
      </c>
      <c r="Z69" s="67">
        <v>1727.3</v>
      </c>
      <c r="AA69" s="216">
        <v>1430.8</v>
      </c>
      <c r="AB69" s="219">
        <v>2254.9</v>
      </c>
      <c r="AC69" s="216">
        <v>2302.6999999999998</v>
      </c>
      <c r="AD69" s="67">
        <v>2382.4</v>
      </c>
      <c r="AE69" s="216">
        <v>2029.1</v>
      </c>
      <c r="AF69" s="219">
        <v>2691.7</v>
      </c>
      <c r="AG69" s="219">
        <v>2392.3000000000002</v>
      </c>
      <c r="AH69" s="67">
        <v>2420.8000000000002</v>
      </c>
      <c r="AI69" s="216">
        <v>2190</v>
      </c>
      <c r="AJ69" s="219">
        <v>2119.1999999999998</v>
      </c>
      <c r="AK69" s="219">
        <v>2744</v>
      </c>
      <c r="AL69" s="67">
        <v>2155.3000000000002</v>
      </c>
      <c r="AM69" s="216">
        <v>1855.9</v>
      </c>
      <c r="AN69" s="219">
        <v>1742.5</v>
      </c>
      <c r="AO69" s="219">
        <v>2368.1</v>
      </c>
      <c r="AP69" s="67">
        <v>2531.1999999999998</v>
      </c>
      <c r="AQ69" s="216">
        <v>2241.3000000000002</v>
      </c>
      <c r="AR69" s="218">
        <v>2461.3000000000002</v>
      </c>
      <c r="AS69" s="218">
        <v>2455.1999999999998</v>
      </c>
      <c r="AT69" s="67">
        <v>3767.1</v>
      </c>
      <c r="AU69" s="216">
        <v>2445.5</v>
      </c>
      <c r="AV69" s="892">
        <v>2642.2</v>
      </c>
      <c r="AW69" s="218">
        <v>2904.4</v>
      </c>
      <c r="AX69" s="999">
        <v>3172.6</v>
      </c>
      <c r="AY69" s="843"/>
      <c r="AZ69" s="986"/>
      <c r="BA69" s="844"/>
      <c r="BB69" s="845"/>
      <c r="BC69" s="845"/>
      <c r="BE69" s="843"/>
    </row>
    <row r="70" spans="1:60" s="15" customFormat="1" ht="20.149999999999999" customHeight="1">
      <c r="A70" s="29" t="s">
        <v>771</v>
      </c>
      <c r="B70" s="129" t="s">
        <v>260</v>
      </c>
      <c r="C70" s="23">
        <v>0</v>
      </c>
      <c r="D70" s="23">
        <v>0</v>
      </c>
      <c r="E70" s="23">
        <v>0</v>
      </c>
      <c r="F70" s="214">
        <v>0</v>
      </c>
      <c r="G70" s="66">
        <v>0</v>
      </c>
      <c r="H70" s="66">
        <v>0</v>
      </c>
      <c r="I70" s="66">
        <v>0</v>
      </c>
      <c r="J70" s="249">
        <v>12</v>
      </c>
      <c r="K70" s="255">
        <v>0</v>
      </c>
      <c r="L70" s="66">
        <v>0</v>
      </c>
      <c r="M70" s="66">
        <v>0</v>
      </c>
      <c r="N70" s="249">
        <v>87</v>
      </c>
      <c r="O70" s="250">
        <v>99.7</v>
      </c>
      <c r="P70" s="250">
        <v>79</v>
      </c>
      <c r="Q70" s="256">
        <v>57.1</v>
      </c>
      <c r="R70" s="220">
        <v>72.900000000000006</v>
      </c>
      <c r="S70" s="196">
        <v>25.8</v>
      </c>
      <c r="T70" s="196">
        <v>3.5</v>
      </c>
      <c r="U70" s="196">
        <v>1.8</v>
      </c>
      <c r="V70" s="220">
        <v>0</v>
      </c>
      <c r="W70" s="196">
        <v>1.5</v>
      </c>
      <c r="X70" s="196">
        <v>0.6</v>
      </c>
      <c r="Y70" s="196">
        <v>0.5</v>
      </c>
      <c r="Z70" s="220">
        <v>3.6</v>
      </c>
      <c r="AA70" s="196">
        <v>2.8</v>
      </c>
      <c r="AB70" s="196">
        <v>4.2</v>
      </c>
      <c r="AC70" s="196">
        <v>5.5</v>
      </c>
      <c r="AD70" s="220">
        <v>8.8000000000000007</v>
      </c>
      <c r="AE70" s="196">
        <v>9.1</v>
      </c>
      <c r="AF70" s="196">
        <v>9</v>
      </c>
      <c r="AG70" s="197">
        <v>7.5</v>
      </c>
      <c r="AH70" s="220">
        <v>8.3000000000000007</v>
      </c>
      <c r="AI70" s="196">
        <v>37.799999999999997</v>
      </c>
      <c r="AJ70" s="196">
        <v>51.1</v>
      </c>
      <c r="AK70" s="197">
        <v>45.1</v>
      </c>
      <c r="AL70" s="220">
        <v>39.200000000000003</v>
      </c>
      <c r="AM70" s="196">
        <v>31.3</v>
      </c>
      <c r="AN70" s="197">
        <v>24.4</v>
      </c>
      <c r="AO70" s="197">
        <v>14.2</v>
      </c>
      <c r="AP70" s="220">
        <v>0</v>
      </c>
      <c r="AQ70" s="196">
        <v>0</v>
      </c>
      <c r="AR70" s="757">
        <v>0</v>
      </c>
      <c r="AS70" s="197">
        <v>0</v>
      </c>
      <c r="AT70" s="779">
        <v>2.1</v>
      </c>
      <c r="AU70" s="196">
        <v>0.5</v>
      </c>
      <c r="AV70" s="893">
        <v>9.6</v>
      </c>
      <c r="AW70" s="893">
        <v>28.6</v>
      </c>
      <c r="AX70" s="1004">
        <v>20.2</v>
      </c>
      <c r="AY70" s="843"/>
      <c r="AZ70" s="986"/>
      <c r="BA70" s="844"/>
      <c r="BB70" s="845"/>
      <c r="BC70" s="845"/>
    </row>
    <row r="71" spans="1:60" s="15" customFormat="1" ht="26">
      <c r="A71" s="176" t="s">
        <v>268</v>
      </c>
      <c r="B71" s="193" t="s">
        <v>269</v>
      </c>
      <c r="C71" s="23"/>
      <c r="D71" s="23"/>
      <c r="E71" s="23"/>
      <c r="F71" s="214"/>
      <c r="G71" s="66"/>
      <c r="H71" s="66"/>
      <c r="I71" s="66"/>
      <c r="J71" s="250"/>
      <c r="K71" s="255"/>
      <c r="L71" s="66"/>
      <c r="M71" s="66"/>
      <c r="N71" s="249"/>
      <c r="O71" s="250"/>
      <c r="P71" s="250"/>
      <c r="Q71" s="256"/>
      <c r="R71" s="220"/>
      <c r="S71" s="196"/>
      <c r="T71" s="196"/>
      <c r="U71" s="196"/>
      <c r="V71" s="220"/>
      <c r="W71" s="196"/>
      <c r="X71" s="196"/>
      <c r="Y71" s="196"/>
      <c r="Z71" s="220"/>
      <c r="AA71" s="196"/>
      <c r="AB71" s="196"/>
      <c r="AC71" s="216"/>
      <c r="AD71" s="220"/>
      <c r="AE71" s="196"/>
      <c r="AF71" s="196"/>
      <c r="AG71" s="197"/>
      <c r="AH71" s="67"/>
      <c r="AI71" s="196"/>
      <c r="AJ71" s="196"/>
      <c r="AK71" s="197"/>
      <c r="AL71" s="67">
        <v>415.7</v>
      </c>
      <c r="AM71" s="196">
        <v>0</v>
      </c>
      <c r="AN71" s="219">
        <v>767.5</v>
      </c>
      <c r="AO71" s="219">
        <v>511.7</v>
      </c>
      <c r="AP71" s="67">
        <v>0</v>
      </c>
      <c r="AQ71" s="196">
        <v>0</v>
      </c>
      <c r="AR71" s="218">
        <v>660.8</v>
      </c>
      <c r="AS71" s="219">
        <v>660.8</v>
      </c>
      <c r="AT71" s="67">
        <v>0</v>
      </c>
      <c r="AU71" s="196">
        <v>0</v>
      </c>
      <c r="AV71" s="218">
        <v>0</v>
      </c>
      <c r="AW71" s="218">
        <v>0</v>
      </c>
      <c r="AX71" s="1003">
        <v>0</v>
      </c>
      <c r="AY71" s="843"/>
      <c r="AZ71" s="986"/>
      <c r="BA71" s="844"/>
      <c r="BB71" s="845"/>
      <c r="BC71" s="845"/>
    </row>
    <row r="72" spans="1:60" s="15" customFormat="1" ht="20.149999999999999" customHeight="1">
      <c r="A72" s="27" t="s">
        <v>270</v>
      </c>
      <c r="B72" s="125" t="s">
        <v>271</v>
      </c>
      <c r="C72" s="23"/>
      <c r="D72" s="23"/>
      <c r="E72" s="23"/>
      <c r="F72" s="214"/>
      <c r="G72" s="66"/>
      <c r="H72" s="66"/>
      <c r="I72" s="66"/>
      <c r="J72" s="250"/>
      <c r="K72" s="255"/>
      <c r="L72" s="66"/>
      <c r="M72" s="66"/>
      <c r="N72" s="249"/>
      <c r="O72" s="250"/>
      <c r="P72" s="250"/>
      <c r="Q72" s="256"/>
      <c r="R72" s="220"/>
      <c r="S72" s="196"/>
      <c r="T72" s="196"/>
      <c r="U72" s="196"/>
      <c r="V72" s="220"/>
      <c r="W72" s="196"/>
      <c r="X72" s="196"/>
      <c r="Y72" s="196"/>
      <c r="Z72" s="220"/>
      <c r="AA72" s="196"/>
      <c r="AB72" s="196"/>
      <c r="AC72" s="216"/>
      <c r="AD72" s="220"/>
      <c r="AE72" s="196"/>
      <c r="AF72" s="196"/>
      <c r="AG72" s="197"/>
      <c r="AH72" s="67"/>
      <c r="AI72" s="196"/>
      <c r="AJ72" s="196"/>
      <c r="AK72" s="197"/>
      <c r="AL72" s="67">
        <v>548</v>
      </c>
      <c r="AM72" s="196">
        <v>0</v>
      </c>
      <c r="AN72" s="197">
        <v>0</v>
      </c>
      <c r="AO72" s="197">
        <v>0</v>
      </c>
      <c r="AP72" s="67">
        <v>0</v>
      </c>
      <c r="AQ72" s="196">
        <v>0</v>
      </c>
      <c r="AR72" s="757">
        <v>0</v>
      </c>
      <c r="AS72" s="757">
        <v>0</v>
      </c>
      <c r="AT72" s="67">
        <v>0</v>
      </c>
      <c r="AU72" s="196">
        <v>0</v>
      </c>
      <c r="AV72" s="757">
        <v>0</v>
      </c>
      <c r="AW72" s="757">
        <v>0</v>
      </c>
      <c r="AX72" s="1003">
        <v>0</v>
      </c>
      <c r="AY72" s="843"/>
      <c r="AZ72" s="986"/>
      <c r="BA72" s="844"/>
      <c r="BB72" s="845"/>
      <c r="BC72" s="845"/>
    </row>
    <row r="73" spans="1:60" s="7" customFormat="1" ht="20.149999999999999" customHeight="1">
      <c r="A73" s="27" t="s">
        <v>272</v>
      </c>
      <c r="B73" s="125" t="s">
        <v>273</v>
      </c>
      <c r="C73" s="41">
        <f>29.589</f>
        <v>29.588999999999999</v>
      </c>
      <c r="D73" s="41">
        <f>(7799)*0.001</f>
        <v>7.7990000000000004</v>
      </c>
      <c r="E73" s="41">
        <f>(6782)*0.001</f>
        <v>6.782</v>
      </c>
      <c r="F73" s="235">
        <f>(7092)*0.001</f>
        <v>7.0920000000000005</v>
      </c>
      <c r="G73" s="236">
        <f>(1990)*0.001</f>
        <v>1.99</v>
      </c>
      <c r="H73" s="236">
        <f>(6510)*0.001</f>
        <v>6.51</v>
      </c>
      <c r="I73" s="236">
        <f>(14152)*0.001</f>
        <v>14.152000000000001</v>
      </c>
      <c r="J73" s="236">
        <f>(4520)*0.001</f>
        <v>4.5200000000000005</v>
      </c>
      <c r="K73" s="248">
        <f>(12203)*0.001</f>
        <v>12.202999999999999</v>
      </c>
      <c r="L73" s="234">
        <v>43.7</v>
      </c>
      <c r="M73" s="234">
        <v>22.1</v>
      </c>
      <c r="N73" s="241">
        <v>48.028993427171699</v>
      </c>
      <c r="O73" s="244">
        <v>22.5</v>
      </c>
      <c r="P73" s="244">
        <v>132.69999999999999</v>
      </c>
      <c r="Q73" s="234">
        <v>96.3</v>
      </c>
      <c r="R73" s="67">
        <v>176.1</v>
      </c>
      <c r="S73" s="216">
        <v>29.2</v>
      </c>
      <c r="T73" s="216">
        <v>39.1</v>
      </c>
      <c r="U73" s="216">
        <v>21.967722325707697</v>
      </c>
      <c r="V73" s="67">
        <v>24.9</v>
      </c>
      <c r="W73" s="216">
        <v>4.3</v>
      </c>
      <c r="X73" s="216">
        <v>24.9</v>
      </c>
      <c r="Y73" s="216">
        <v>17.5</v>
      </c>
      <c r="Z73" s="67">
        <v>61.3</v>
      </c>
      <c r="AA73" s="216">
        <v>60.1</v>
      </c>
      <c r="AB73" s="216">
        <v>44.9</v>
      </c>
      <c r="AC73" s="216">
        <v>62.3</v>
      </c>
      <c r="AD73" s="67">
        <v>151.1</v>
      </c>
      <c r="AE73" s="216">
        <v>191.1</v>
      </c>
      <c r="AF73" s="216">
        <v>154.30000000000001</v>
      </c>
      <c r="AG73" s="219">
        <v>192.4</v>
      </c>
      <c r="AH73" s="67">
        <v>276.60000000000002</v>
      </c>
      <c r="AI73" s="216">
        <v>335.6</v>
      </c>
      <c r="AJ73" s="216">
        <v>126.1</v>
      </c>
      <c r="AK73" s="219">
        <v>100.2</v>
      </c>
      <c r="AL73" s="67">
        <v>128.9</v>
      </c>
      <c r="AM73" s="216">
        <v>171</v>
      </c>
      <c r="AN73" s="219">
        <v>65</v>
      </c>
      <c r="AO73" s="219">
        <v>954.6</v>
      </c>
      <c r="AP73" s="67">
        <v>964.2</v>
      </c>
      <c r="AQ73" s="216">
        <v>1007</v>
      </c>
      <c r="AR73" s="218">
        <v>91.5</v>
      </c>
      <c r="AS73" s="218">
        <v>107.9</v>
      </c>
      <c r="AT73" s="781">
        <v>74.3</v>
      </c>
      <c r="AU73" s="216">
        <v>81.400000000000006</v>
      </c>
      <c r="AV73" s="218">
        <v>20.7</v>
      </c>
      <c r="AW73" s="218">
        <v>60.1</v>
      </c>
      <c r="AX73" s="1001">
        <v>31.4</v>
      </c>
      <c r="AY73" s="843"/>
      <c r="AZ73" s="986"/>
      <c r="BA73" s="844"/>
      <c r="BB73" s="845"/>
      <c r="BC73" s="845"/>
    </row>
    <row r="74" spans="1:60" s="7" customFormat="1" ht="20.149999999999999" customHeight="1">
      <c r="A74" s="27" t="s">
        <v>274</v>
      </c>
      <c r="B74" s="125" t="s">
        <v>275</v>
      </c>
      <c r="C74" s="41">
        <f>12.532</f>
        <v>12.532</v>
      </c>
      <c r="D74" s="41">
        <f>(12125)*0.001</f>
        <v>12.125</v>
      </c>
      <c r="E74" s="41">
        <f>(12084)*0.001</f>
        <v>12.084</v>
      </c>
      <c r="F74" s="235">
        <f>(13259)*0.001</f>
        <v>13.259</v>
      </c>
      <c r="G74" s="236">
        <f>(13182)*0.001</f>
        <v>13.182</v>
      </c>
      <c r="H74" s="236">
        <f>(12551)*0.001</f>
        <v>12.551</v>
      </c>
      <c r="I74" s="236">
        <f>(12536)*0.001</f>
        <v>12.536</v>
      </c>
      <c r="J74" s="236">
        <f>(2727)*0.001</f>
        <v>2.7269999999999999</v>
      </c>
      <c r="K74" s="248">
        <f>(2843)*0.001</f>
        <v>2.843</v>
      </c>
      <c r="L74" s="234">
        <v>2.6</v>
      </c>
      <c r="M74" s="234">
        <v>2.7</v>
      </c>
      <c r="N74" s="241">
        <v>1.4</v>
      </c>
      <c r="O74" s="244">
        <v>1.4</v>
      </c>
      <c r="P74" s="257" t="s">
        <v>276</v>
      </c>
      <c r="Q74" s="257" t="s">
        <v>276</v>
      </c>
      <c r="R74" s="221" t="s">
        <v>276</v>
      </c>
      <c r="S74" s="222" t="s">
        <v>276</v>
      </c>
      <c r="T74" s="222" t="s">
        <v>276</v>
      </c>
      <c r="U74" s="222" t="s">
        <v>276</v>
      </c>
      <c r="V74" s="221" t="s">
        <v>276</v>
      </c>
      <c r="W74" s="222" t="s">
        <v>276</v>
      </c>
      <c r="X74" s="222" t="s">
        <v>276</v>
      </c>
      <c r="Y74" s="222" t="s">
        <v>276</v>
      </c>
      <c r="Z74" s="221" t="s">
        <v>276</v>
      </c>
      <c r="AA74" s="222" t="s">
        <v>276</v>
      </c>
      <c r="AB74" s="222" t="s">
        <v>276</v>
      </c>
      <c r="AC74" s="222" t="s">
        <v>276</v>
      </c>
      <c r="AD74" s="221" t="s">
        <v>276</v>
      </c>
      <c r="AE74" s="222" t="s">
        <v>276</v>
      </c>
      <c r="AF74" s="222" t="s">
        <v>276</v>
      </c>
      <c r="AG74" s="222" t="s">
        <v>276</v>
      </c>
      <c r="AH74" s="221" t="s">
        <v>276</v>
      </c>
      <c r="AI74" s="222" t="s">
        <v>276</v>
      </c>
      <c r="AJ74" s="222" t="s">
        <v>276</v>
      </c>
      <c r="AK74" s="222" t="s">
        <v>276</v>
      </c>
      <c r="AL74" s="221" t="s">
        <v>276</v>
      </c>
      <c r="AM74" s="222" t="s">
        <v>276</v>
      </c>
      <c r="AN74" s="222" t="s">
        <v>276</v>
      </c>
      <c r="AO74" s="222" t="s">
        <v>276</v>
      </c>
      <c r="AP74" s="221" t="s">
        <v>276</v>
      </c>
      <c r="AQ74" s="222" t="s">
        <v>276</v>
      </c>
      <c r="AR74" s="758" t="s">
        <v>276</v>
      </c>
      <c r="AS74" s="222" t="s">
        <v>276</v>
      </c>
      <c r="AT74" s="221" t="s">
        <v>276</v>
      </c>
      <c r="AU74" s="222" t="s">
        <v>276</v>
      </c>
      <c r="AV74" s="758" t="s">
        <v>276</v>
      </c>
      <c r="AW74" s="758" t="s">
        <v>276</v>
      </c>
      <c r="AX74" s="1005" t="s">
        <v>276</v>
      </c>
      <c r="AY74" s="843"/>
      <c r="AZ74" s="986"/>
      <c r="BA74" s="844"/>
      <c r="BB74" s="845"/>
      <c r="BC74" s="845"/>
    </row>
    <row r="75" spans="1:60" s="7" customFormat="1" ht="20.149999999999999" customHeight="1" thickBot="1">
      <c r="A75" s="27" t="s">
        <v>257</v>
      </c>
      <c r="B75" s="125" t="s">
        <v>258</v>
      </c>
      <c r="C75" s="41">
        <f>188.402</f>
        <v>188.40199999999999</v>
      </c>
      <c r="D75" s="41">
        <f>(209950)*0.001</f>
        <v>209.95000000000002</v>
      </c>
      <c r="E75" s="41">
        <f>(210563)*0.001</f>
        <v>210.56300000000002</v>
      </c>
      <c r="F75" s="235">
        <f>(201238)*0.001</f>
        <v>201.238</v>
      </c>
      <c r="G75" s="236">
        <f>(207890)*0.001</f>
        <v>207.89000000000001</v>
      </c>
      <c r="H75" s="236">
        <f>(204442)*0.001</f>
        <v>204.44200000000001</v>
      </c>
      <c r="I75" s="236">
        <f>(210688)*0.001</f>
        <v>210.68800000000002</v>
      </c>
      <c r="J75" s="236">
        <f>(209485)*0.001</f>
        <v>209.48500000000001</v>
      </c>
      <c r="K75" s="248">
        <f>(228170)*0.001</f>
        <v>228.17000000000002</v>
      </c>
      <c r="L75" s="234">
        <v>678</v>
      </c>
      <c r="M75" s="234">
        <v>672.7</v>
      </c>
      <c r="N75" s="241">
        <v>683.9</v>
      </c>
      <c r="O75" s="244">
        <v>670.3</v>
      </c>
      <c r="P75" s="244">
        <v>672</v>
      </c>
      <c r="Q75" s="234">
        <v>680.9</v>
      </c>
      <c r="R75" s="67">
        <v>676.1</v>
      </c>
      <c r="S75" s="216">
        <v>665</v>
      </c>
      <c r="T75" s="216">
        <v>676.8</v>
      </c>
      <c r="U75" s="216">
        <v>660.84343092999995</v>
      </c>
      <c r="V75" s="67">
        <v>647.9</v>
      </c>
      <c r="W75" s="216">
        <v>633.79999999999995</v>
      </c>
      <c r="X75" s="216">
        <v>637.29999999999995</v>
      </c>
      <c r="Y75" s="216">
        <v>629.5</v>
      </c>
      <c r="Z75" s="67">
        <v>618.29999999999995</v>
      </c>
      <c r="AA75" s="216">
        <v>356</v>
      </c>
      <c r="AB75" s="216">
        <v>39.799999999999997</v>
      </c>
      <c r="AC75" s="216">
        <v>65</v>
      </c>
      <c r="AD75" s="67">
        <v>0</v>
      </c>
      <c r="AE75" s="216">
        <v>0</v>
      </c>
      <c r="AF75" s="216">
        <v>0</v>
      </c>
      <c r="AG75" s="216">
        <v>0</v>
      </c>
      <c r="AH75" s="67">
        <v>0</v>
      </c>
      <c r="AI75" s="216">
        <v>0</v>
      </c>
      <c r="AJ75" s="216">
        <v>0</v>
      </c>
      <c r="AK75" s="216">
        <v>0</v>
      </c>
      <c r="AL75" s="67">
        <v>0</v>
      </c>
      <c r="AM75" s="216">
        <v>0</v>
      </c>
      <c r="AN75" s="216">
        <v>0</v>
      </c>
      <c r="AO75" s="216">
        <v>0</v>
      </c>
      <c r="AP75" s="67">
        <v>0</v>
      </c>
      <c r="AQ75" s="216">
        <v>0</v>
      </c>
      <c r="AR75" s="756">
        <v>0</v>
      </c>
      <c r="AS75" s="216">
        <v>0</v>
      </c>
      <c r="AT75" s="67">
        <v>0</v>
      </c>
      <c r="AU75" s="216">
        <v>0</v>
      </c>
      <c r="AV75" s="756">
        <v>0</v>
      </c>
      <c r="AW75" s="756">
        <v>0</v>
      </c>
      <c r="AX75" s="1003">
        <v>0</v>
      </c>
      <c r="AY75" s="843"/>
      <c r="AZ75" s="986"/>
      <c r="BA75" s="844"/>
      <c r="BB75" s="845"/>
      <c r="BC75" s="845"/>
      <c r="BG75" s="843"/>
      <c r="BH75" s="843"/>
    </row>
    <row r="76" spans="1:60" s="225" customFormat="1" ht="25.25" customHeight="1" thickBot="1">
      <c r="A76" s="399" t="s">
        <v>277</v>
      </c>
      <c r="B76" s="403" t="s">
        <v>278</v>
      </c>
      <c r="C76" s="400">
        <f t="shared" ref="C76:M76" si="30">SUM(C64:C75)</f>
        <v>1017.386</v>
      </c>
      <c r="D76" s="401">
        <f t="shared" si="30"/>
        <v>1033.443</v>
      </c>
      <c r="E76" s="401">
        <f t="shared" si="30"/>
        <v>1009.7019999999999</v>
      </c>
      <c r="F76" s="402">
        <f t="shared" si="30"/>
        <v>1066.78</v>
      </c>
      <c r="G76" s="401">
        <f t="shared" si="30"/>
        <v>1007.745</v>
      </c>
      <c r="H76" s="401">
        <f t="shared" si="30"/>
        <v>1018.1</v>
      </c>
      <c r="I76" s="401">
        <f t="shared" si="30"/>
        <v>945.28899999999999</v>
      </c>
      <c r="J76" s="402">
        <f t="shared" si="30"/>
        <v>986.83100000000002</v>
      </c>
      <c r="K76" s="400">
        <f t="shared" si="30"/>
        <v>1003.5449999999998</v>
      </c>
      <c r="L76" s="401">
        <f t="shared" si="30"/>
        <v>3990.3999999999992</v>
      </c>
      <c r="M76" s="401">
        <f t="shared" si="30"/>
        <v>4126.7</v>
      </c>
      <c r="N76" s="402">
        <f t="shared" ref="N76:U76" si="31">SUM(N64:N75)-N70</f>
        <v>4167.2289934271712</v>
      </c>
      <c r="O76" s="400">
        <f t="shared" si="31"/>
        <v>4149.8</v>
      </c>
      <c r="P76" s="401">
        <f t="shared" si="31"/>
        <v>4244.8</v>
      </c>
      <c r="Q76" s="401">
        <f t="shared" si="31"/>
        <v>7899.8</v>
      </c>
      <c r="R76" s="402">
        <f t="shared" si="31"/>
        <v>8466.5000000000018</v>
      </c>
      <c r="S76" s="400">
        <f t="shared" si="31"/>
        <v>4162.5999999999995</v>
      </c>
      <c r="T76" s="401">
        <f t="shared" si="31"/>
        <v>3503.3999999999996</v>
      </c>
      <c r="U76" s="401">
        <f t="shared" si="31"/>
        <v>3454.8111532557077</v>
      </c>
      <c r="V76" s="402">
        <f t="shared" ref="V76" si="32">SUM(V64:V75)-V70</f>
        <v>3681.2000000000003</v>
      </c>
      <c r="W76" s="400">
        <f t="shared" ref="W76:X76" si="33">SUM(W64:W75)-W70</f>
        <v>4366</v>
      </c>
      <c r="X76" s="401">
        <f t="shared" si="33"/>
        <v>4330.2</v>
      </c>
      <c r="Y76" s="401">
        <f t="shared" ref="Y76:Z76" si="34">SUM(Y64:Y75)-Y70</f>
        <v>4036.3999999999996</v>
      </c>
      <c r="Z76" s="402">
        <f t="shared" si="34"/>
        <v>3915.5000000000005</v>
      </c>
      <c r="AA76" s="400">
        <f t="shared" ref="AA76:AH76" si="35">SUM(AA64:AA75)-AA70</f>
        <v>2927.4</v>
      </c>
      <c r="AB76" s="401">
        <f t="shared" si="35"/>
        <v>4236.8</v>
      </c>
      <c r="AC76" s="401">
        <f t="shared" si="35"/>
        <v>4611.5</v>
      </c>
      <c r="AD76" s="402">
        <f t="shared" si="35"/>
        <v>5018.6000000000004</v>
      </c>
      <c r="AE76" s="400">
        <f t="shared" si="35"/>
        <v>4813.3000000000011</v>
      </c>
      <c r="AF76" s="401">
        <f t="shared" si="35"/>
        <v>5401.4000000000005</v>
      </c>
      <c r="AG76" s="401">
        <f t="shared" si="35"/>
        <v>5628.6</v>
      </c>
      <c r="AH76" s="402">
        <f t="shared" si="35"/>
        <v>5868.2000000000007</v>
      </c>
      <c r="AI76" s="400">
        <f t="shared" ref="AI76:AK76" si="36">SUM(AI64:AI75)-AI70</f>
        <v>5111.5</v>
      </c>
      <c r="AJ76" s="401">
        <f t="shared" si="36"/>
        <v>3888.2</v>
      </c>
      <c r="AK76" s="401">
        <f t="shared" si="36"/>
        <v>4658</v>
      </c>
      <c r="AL76" s="402">
        <f>SUM(AL64:AL75)-AL70</f>
        <v>5274.4</v>
      </c>
      <c r="AM76" s="400">
        <f t="shared" ref="AM76:AO76" si="37">SUM(AM64:AM75)-AM70</f>
        <v>4003.5</v>
      </c>
      <c r="AN76" s="401">
        <f t="shared" si="37"/>
        <v>4641</v>
      </c>
      <c r="AO76" s="401">
        <f t="shared" si="37"/>
        <v>6803.2</v>
      </c>
      <c r="AP76" s="402">
        <f>SUM(AP64:AP75)-AP70</f>
        <v>5626.3</v>
      </c>
      <c r="AQ76" s="400">
        <f t="shared" ref="AQ76:AS76" si="38">SUM(AQ64:AQ75)-AQ70</f>
        <v>5549</v>
      </c>
      <c r="AR76" s="754">
        <f>SUM(AR64:AR75)-AR70</f>
        <v>5682.5000000000009</v>
      </c>
      <c r="AS76" s="401">
        <f t="shared" si="38"/>
        <v>5573.9</v>
      </c>
      <c r="AT76" s="780">
        <f>SUM(AT64:AT75)-AT70</f>
        <v>6315.4000000000005</v>
      </c>
      <c r="AU76" s="400">
        <f t="shared" ref="AU76" si="39">SUM(AU64:AU75)-AU70</f>
        <v>6030.7</v>
      </c>
      <c r="AV76" s="401">
        <f>SUM(AV64:AV75)-AV70</f>
        <v>5624.9</v>
      </c>
      <c r="AW76" s="401">
        <f>SUM(AW64:AW75)-AW70</f>
        <v>6756.3000000000011</v>
      </c>
      <c r="AX76" s="780">
        <f>SUM(AX64:AX75)-AX70</f>
        <v>5515.7999999999993</v>
      </c>
      <c r="AY76" s="843"/>
      <c r="AZ76" s="986"/>
      <c r="BA76" s="844"/>
      <c r="BB76" s="845"/>
      <c r="BC76" s="896"/>
      <c r="BF76" s="896"/>
      <c r="BH76" s="896"/>
    </row>
    <row r="77" spans="1:60" s="7" customFormat="1" ht="20.149999999999999" customHeight="1">
      <c r="A77" s="224" t="s">
        <v>279</v>
      </c>
      <c r="B77" s="207" t="s">
        <v>280</v>
      </c>
      <c r="C77" s="41"/>
      <c r="D77" s="41"/>
      <c r="E77" s="41"/>
      <c r="F77" s="235"/>
      <c r="G77" s="236"/>
      <c r="H77" s="236"/>
      <c r="I77" s="236"/>
      <c r="J77" s="236"/>
      <c r="K77" s="248"/>
      <c r="L77" s="234"/>
      <c r="M77" s="234"/>
      <c r="N77" s="241"/>
      <c r="O77" s="244"/>
      <c r="P77" s="257"/>
      <c r="Q77" s="257"/>
      <c r="R77" s="221"/>
      <c r="S77" s="222"/>
      <c r="T77" s="222"/>
      <c r="U77" s="222"/>
      <c r="V77" s="221"/>
      <c r="W77" s="222"/>
      <c r="X77" s="222"/>
      <c r="Y77" s="222"/>
      <c r="Z77" s="221"/>
      <c r="AA77" s="222"/>
      <c r="AB77" s="222"/>
      <c r="AC77" s="222"/>
      <c r="AD77" s="221"/>
      <c r="AE77" s="222"/>
      <c r="AF77" s="222"/>
      <c r="AG77" s="222"/>
      <c r="AH77" s="221"/>
      <c r="AI77" s="222"/>
      <c r="AJ77" s="222"/>
      <c r="AK77" s="222"/>
      <c r="AL77" s="221"/>
      <c r="AM77" s="216">
        <v>1284.2</v>
      </c>
      <c r="AN77" s="216">
        <v>1223.8</v>
      </c>
      <c r="AO77" s="216">
        <v>0</v>
      </c>
      <c r="AP77" s="221"/>
      <c r="AQ77" s="216"/>
      <c r="AR77" s="756"/>
      <c r="AS77" s="216"/>
      <c r="AT77" s="221"/>
      <c r="AU77" s="884"/>
      <c r="AV77" s="885"/>
      <c r="AW77" s="216"/>
      <c r="AX77" s="781">
        <v>0.8</v>
      </c>
      <c r="AY77" s="843"/>
      <c r="AZ77" s="986"/>
      <c r="BA77" s="844"/>
      <c r="BB77" s="845"/>
      <c r="BC77" s="845"/>
    </row>
    <row r="78" spans="1:60" s="7" customFormat="1" ht="20.149999999999999" customHeight="1" thickBot="1">
      <c r="A78" s="394" t="s">
        <v>281</v>
      </c>
      <c r="B78" s="395" t="s">
        <v>282</v>
      </c>
      <c r="C78" s="41"/>
      <c r="D78" s="41"/>
      <c r="E78" s="41"/>
      <c r="F78" s="235"/>
      <c r="G78" s="236"/>
      <c r="H78" s="236"/>
      <c r="I78" s="236"/>
      <c r="J78" s="236"/>
      <c r="K78" s="248"/>
      <c r="L78" s="234"/>
      <c r="M78" s="234"/>
      <c r="N78" s="241"/>
      <c r="O78" s="244"/>
      <c r="P78" s="257"/>
      <c r="Q78" s="257"/>
      <c r="R78" s="221"/>
      <c r="S78" s="222"/>
      <c r="T78" s="222"/>
      <c r="U78" s="222"/>
      <c r="V78" s="221"/>
      <c r="W78" s="222"/>
      <c r="X78" s="222"/>
      <c r="Y78" s="222"/>
      <c r="Z78" s="221"/>
      <c r="AA78" s="222"/>
      <c r="AB78" s="222"/>
      <c r="AC78" s="222"/>
      <c r="AD78" s="221"/>
      <c r="AE78" s="222"/>
      <c r="AF78" s="222"/>
      <c r="AG78" s="222"/>
      <c r="AH78" s="221"/>
      <c r="AI78" s="222"/>
      <c r="AJ78" s="222"/>
      <c r="AK78" s="222"/>
      <c r="AL78" s="221"/>
      <c r="AM78" s="196">
        <v>803.1</v>
      </c>
      <c r="AN78" s="196">
        <v>769.4</v>
      </c>
      <c r="AO78" s="196">
        <v>0</v>
      </c>
      <c r="AP78" s="221"/>
      <c r="AQ78" s="196"/>
      <c r="AR78" s="753"/>
      <c r="AS78" s="196"/>
      <c r="AT78" s="221"/>
      <c r="AU78" s="886"/>
      <c r="AV78" s="887"/>
      <c r="AW78" s="196"/>
      <c r="AX78" s="221"/>
      <c r="AY78" s="843"/>
      <c r="AZ78" s="986"/>
      <c r="BA78" s="844"/>
      <c r="BB78" s="845"/>
      <c r="BC78" s="845"/>
    </row>
    <row r="79" spans="1:60" s="225" customFormat="1" ht="25.25" customHeight="1" thickBot="1">
      <c r="A79" s="399" t="s">
        <v>283</v>
      </c>
      <c r="B79" s="403" t="s">
        <v>284</v>
      </c>
      <c r="C79" s="400" t="e">
        <f>C63+C76</f>
        <v>#VALUE!</v>
      </c>
      <c r="D79" s="401">
        <f>D63+D76</f>
        <v>3405.5320000000002</v>
      </c>
      <c r="E79" s="401">
        <f>E63+E76</f>
        <v>3159.9589999999994</v>
      </c>
      <c r="F79" s="402">
        <f t="shared" ref="F79:U79" si="40">F76+F63</f>
        <v>3092.942</v>
      </c>
      <c r="G79" s="401">
        <f t="shared" si="40"/>
        <v>3067.306</v>
      </c>
      <c r="H79" s="401">
        <f t="shared" si="40"/>
        <v>2945.4119999999998</v>
      </c>
      <c r="I79" s="401">
        <f t="shared" si="40"/>
        <v>2772.4030000000002</v>
      </c>
      <c r="J79" s="402">
        <f t="shared" si="40"/>
        <v>2687.0169999999998</v>
      </c>
      <c r="K79" s="400">
        <f t="shared" si="40"/>
        <v>2742.8450000000003</v>
      </c>
      <c r="L79" s="401">
        <f t="shared" si="40"/>
        <v>18735.399999999998</v>
      </c>
      <c r="M79" s="401">
        <f t="shared" si="40"/>
        <v>18350.5</v>
      </c>
      <c r="N79" s="402">
        <f t="shared" si="40"/>
        <v>18260.528993427175</v>
      </c>
      <c r="O79" s="400">
        <f t="shared" si="40"/>
        <v>17777</v>
      </c>
      <c r="P79" s="401">
        <f t="shared" si="40"/>
        <v>17584</v>
      </c>
      <c r="Q79" s="401">
        <f t="shared" si="40"/>
        <v>16083.5</v>
      </c>
      <c r="R79" s="402">
        <f t="shared" si="40"/>
        <v>16240.000000000002</v>
      </c>
      <c r="S79" s="400">
        <f t="shared" si="40"/>
        <v>17950.3</v>
      </c>
      <c r="T79" s="401">
        <f t="shared" si="40"/>
        <v>16819.5</v>
      </c>
      <c r="U79" s="401">
        <f t="shared" si="40"/>
        <v>16459.611153255708</v>
      </c>
      <c r="V79" s="402">
        <f t="shared" ref="V79:W79" si="41">V76+V63</f>
        <v>16351.700000000003</v>
      </c>
      <c r="W79" s="400">
        <f t="shared" si="41"/>
        <v>15904.9</v>
      </c>
      <c r="X79" s="401">
        <f t="shared" ref="X79:Y79" si="42">X76+X63</f>
        <v>15592.399999999998</v>
      </c>
      <c r="Y79" s="401">
        <f t="shared" si="42"/>
        <v>14932.699999999999</v>
      </c>
      <c r="Z79" s="402">
        <f t="shared" ref="Z79" si="43">Z76+Z63</f>
        <v>15639.2</v>
      </c>
      <c r="AA79" s="400">
        <f t="shared" ref="AA79:AH79" si="44">AA76+AA63</f>
        <v>14989.4</v>
      </c>
      <c r="AB79" s="401">
        <f t="shared" si="44"/>
        <v>16297.599999999999</v>
      </c>
      <c r="AC79" s="401">
        <f t="shared" si="44"/>
        <v>16714</v>
      </c>
      <c r="AD79" s="402">
        <f t="shared" si="44"/>
        <v>16821.599999999999</v>
      </c>
      <c r="AE79" s="400">
        <f t="shared" si="44"/>
        <v>17291.2</v>
      </c>
      <c r="AF79" s="401">
        <f t="shared" si="44"/>
        <v>17440.7</v>
      </c>
      <c r="AG79" s="401">
        <f t="shared" si="44"/>
        <v>17122.600000000002</v>
      </c>
      <c r="AH79" s="402">
        <f t="shared" si="44"/>
        <v>18125.099999999999</v>
      </c>
      <c r="AI79" s="400">
        <f t="shared" ref="AI79:AL79" si="45">AI76+AI63</f>
        <v>18018.7</v>
      </c>
      <c r="AJ79" s="401">
        <f t="shared" si="45"/>
        <v>17684.800000000003</v>
      </c>
      <c r="AK79" s="401">
        <f t="shared" si="45"/>
        <v>18170.8</v>
      </c>
      <c r="AL79" s="402">
        <f t="shared" si="45"/>
        <v>18688.800000000003</v>
      </c>
      <c r="AM79" s="400">
        <f>AM76+AM63+AM77</f>
        <v>17588.199999999997</v>
      </c>
      <c r="AN79" s="401">
        <f>AN76+AN63+AN77</f>
        <v>17959.900000000001</v>
      </c>
      <c r="AO79" s="401">
        <f t="shared" ref="AO79:AP79" si="46">AO76+AO63</f>
        <v>18463.2</v>
      </c>
      <c r="AP79" s="402">
        <f t="shared" si="46"/>
        <v>16852.399999999998</v>
      </c>
      <c r="AQ79" s="400">
        <f>AQ76+AQ63+AQ77</f>
        <v>16288.300000000001</v>
      </c>
      <c r="AR79" s="754">
        <f>AR76+AR63+AR77</f>
        <v>16389.200000000004</v>
      </c>
      <c r="AS79" s="401">
        <f t="shared" ref="AS79:AT79" si="47">AS76+AS63</f>
        <v>16031.699999999999</v>
      </c>
      <c r="AT79" s="780">
        <f t="shared" si="47"/>
        <v>16495.800000000003</v>
      </c>
      <c r="AU79" s="400">
        <f>AU76+AU63+AU77</f>
        <v>16940.900000000001</v>
      </c>
      <c r="AV79" s="401">
        <f>AV76+AV63+AV77</f>
        <v>18845.3</v>
      </c>
      <c r="AW79" s="401">
        <f>AW76+AW63</f>
        <v>21008.800000000003</v>
      </c>
      <c r="AX79" s="780">
        <f>AX76+AX63+AX77</f>
        <v>20871.499999999996</v>
      </c>
      <c r="AY79" s="844"/>
      <c r="AZ79" s="986"/>
      <c r="BA79" s="844"/>
      <c r="BB79" s="845"/>
      <c r="BC79" s="845"/>
    </row>
    <row r="80" spans="1:60" s="226" customFormat="1" ht="25.25" customHeight="1">
      <c r="A80" s="390" t="s">
        <v>285</v>
      </c>
      <c r="B80" s="390" t="s">
        <v>221</v>
      </c>
      <c r="C80" s="391" t="e">
        <f t="shared" ref="C80:U80" si="48">C79+C54</f>
        <v>#VALUE!</v>
      </c>
      <c r="D80" s="392">
        <f t="shared" si="48"/>
        <v>5597.8010000000004</v>
      </c>
      <c r="E80" s="392">
        <f t="shared" si="48"/>
        <v>5514.8739999999998</v>
      </c>
      <c r="F80" s="393">
        <f t="shared" si="48"/>
        <v>5561.3450000000003</v>
      </c>
      <c r="G80" s="392">
        <f t="shared" si="48"/>
        <v>5629.4740000000002</v>
      </c>
      <c r="H80" s="392">
        <f t="shared" si="48"/>
        <v>5592.7070000000003</v>
      </c>
      <c r="I80" s="392">
        <f t="shared" si="48"/>
        <v>5597.9809999999998</v>
      </c>
      <c r="J80" s="393">
        <f t="shared" si="48"/>
        <v>5688.23</v>
      </c>
      <c r="K80" s="391">
        <f t="shared" si="48"/>
        <v>5851.1939999999995</v>
      </c>
      <c r="L80" s="392">
        <f t="shared" si="48"/>
        <v>27827.1</v>
      </c>
      <c r="M80" s="392">
        <f t="shared" si="48"/>
        <v>27481.200000000001</v>
      </c>
      <c r="N80" s="393">
        <f t="shared" si="48"/>
        <v>27338.728993427176</v>
      </c>
      <c r="O80" s="391">
        <f t="shared" si="48"/>
        <v>27088.9</v>
      </c>
      <c r="P80" s="392">
        <f t="shared" si="48"/>
        <v>27141.800000000003</v>
      </c>
      <c r="Q80" s="392">
        <f t="shared" si="48"/>
        <v>26143.5</v>
      </c>
      <c r="R80" s="393">
        <f t="shared" si="48"/>
        <v>26490.100000000002</v>
      </c>
      <c r="S80" s="391">
        <f t="shared" si="48"/>
        <v>28355.5</v>
      </c>
      <c r="T80" s="392">
        <f t="shared" si="48"/>
        <v>27581.1</v>
      </c>
      <c r="U80" s="392">
        <f t="shared" si="48"/>
        <v>27493.111153255708</v>
      </c>
      <c r="V80" s="393">
        <f t="shared" ref="V80:W80" si="49">V79+V54</f>
        <v>27729.300000000003</v>
      </c>
      <c r="W80" s="391">
        <f t="shared" si="49"/>
        <v>27553.199999999997</v>
      </c>
      <c r="X80" s="392">
        <f t="shared" ref="X80:Y80" si="50">X79+X54</f>
        <v>27317.5</v>
      </c>
      <c r="Y80" s="392">
        <f t="shared" si="50"/>
        <v>26892.6</v>
      </c>
      <c r="Z80" s="393">
        <f t="shared" ref="Z80" si="51">Z79+Z54</f>
        <v>27756</v>
      </c>
      <c r="AA80" s="391">
        <f t="shared" ref="AA80:AH80" si="52">AA79+AA54</f>
        <v>27894.400000000001</v>
      </c>
      <c r="AB80" s="392">
        <f t="shared" si="52"/>
        <v>29751.599999999999</v>
      </c>
      <c r="AC80" s="392">
        <f t="shared" si="52"/>
        <v>30395.3</v>
      </c>
      <c r="AD80" s="393">
        <f t="shared" si="52"/>
        <v>30696.799999999999</v>
      </c>
      <c r="AE80" s="391">
        <f t="shared" si="52"/>
        <v>31463.800000000003</v>
      </c>
      <c r="AF80" s="392">
        <f t="shared" si="52"/>
        <v>31359.200000000001</v>
      </c>
      <c r="AG80" s="392">
        <f t="shared" si="52"/>
        <v>31277.700000000004</v>
      </c>
      <c r="AH80" s="393">
        <f t="shared" si="52"/>
        <v>32589.599999999999</v>
      </c>
      <c r="AI80" s="391">
        <f t="shared" ref="AI80:AL80" si="53">AI79+AI54</f>
        <v>32658.700000000004</v>
      </c>
      <c r="AJ80" s="392">
        <f t="shared" si="53"/>
        <v>32622.800000000003</v>
      </c>
      <c r="AK80" s="392">
        <f t="shared" si="53"/>
        <v>32814.1</v>
      </c>
      <c r="AL80" s="393">
        <f t="shared" si="53"/>
        <v>33115</v>
      </c>
      <c r="AM80" s="391">
        <f t="shared" ref="AM80:AP80" si="54">AM79+AM54</f>
        <v>32954.5</v>
      </c>
      <c r="AN80" s="392">
        <f t="shared" si="54"/>
        <v>32922.300000000003</v>
      </c>
      <c r="AO80" s="392">
        <f t="shared" si="54"/>
        <v>35967.4</v>
      </c>
      <c r="AP80" s="393">
        <f t="shared" si="54"/>
        <v>32236.999999999996</v>
      </c>
      <c r="AQ80" s="391">
        <f t="shared" ref="AQ80:AS80" si="55">AQ79+AQ54</f>
        <v>31895.200000000004</v>
      </c>
      <c r="AR80" s="392">
        <f>AR79+AR54</f>
        <v>31814.000000000007</v>
      </c>
      <c r="AS80" s="392">
        <f t="shared" si="55"/>
        <v>31686.199999999997</v>
      </c>
      <c r="AT80" s="393">
        <f>AT79+AT54</f>
        <v>32306.600000000002</v>
      </c>
      <c r="AU80" s="391">
        <f t="shared" ref="AU80" si="56">AU79+AU54</f>
        <v>32810.600000000006</v>
      </c>
      <c r="AV80" s="888">
        <f>AV79+AV54</f>
        <v>34698.6</v>
      </c>
      <c r="AW80" s="392">
        <f t="shared" ref="AW80:AX80" si="57">AW79+AW54</f>
        <v>36772.300000000003</v>
      </c>
      <c r="AX80" s="393">
        <f t="shared" si="57"/>
        <v>37176.699999999997</v>
      </c>
      <c r="AY80" s="843"/>
      <c r="AZ80" s="986"/>
      <c r="BA80" s="844"/>
      <c r="BB80" s="845"/>
      <c r="BC80" s="845"/>
    </row>
    <row r="81" spans="1:50" s="7" customFormat="1">
      <c r="A81" s="28"/>
      <c r="B81" s="124"/>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1:50" s="7" customFormat="1">
      <c r="A82" s="28"/>
      <c r="B82" s="124"/>
      <c r="Z82" s="5"/>
      <c r="AA82" s="5"/>
      <c r="AB82" s="5"/>
      <c r="AC82" s="5"/>
      <c r="AD82" s="5"/>
      <c r="AE82" s="5"/>
      <c r="AF82" s="5"/>
      <c r="AG82" s="5"/>
      <c r="AH82" s="5"/>
      <c r="AI82" s="5"/>
      <c r="AJ82" s="5"/>
      <c r="AK82" s="5"/>
      <c r="AL82" s="5"/>
      <c r="AM82" s="5"/>
      <c r="AN82" s="5"/>
      <c r="AO82" s="5"/>
      <c r="AP82" s="5"/>
      <c r="AQ82" s="5"/>
      <c r="AR82" s="5"/>
      <c r="AS82" s="749"/>
      <c r="AT82" s="5"/>
      <c r="AU82" s="5"/>
      <c r="AV82" s="5"/>
      <c r="AW82" s="749"/>
      <c r="AX82" s="5"/>
    </row>
    <row r="83" spans="1:50" s="179" customFormat="1" ht="30.75" customHeight="1">
      <c r="A83" s="182" t="s">
        <v>286</v>
      </c>
      <c r="B83" s="177" t="s">
        <v>287</v>
      </c>
      <c r="C83" s="178"/>
      <c r="D83" s="178"/>
      <c r="E83" s="178"/>
      <c r="F83" s="178"/>
      <c r="G83" s="178"/>
      <c r="H83" s="178"/>
      <c r="I83" s="178"/>
      <c r="J83" s="178"/>
      <c r="K83" s="178"/>
      <c r="L83" s="178"/>
      <c r="M83" s="178"/>
      <c r="N83" s="178"/>
      <c r="O83" s="178"/>
      <c r="P83" s="178"/>
      <c r="Q83" s="178"/>
      <c r="R83" s="178"/>
      <c r="Z83" s="223"/>
      <c r="AA83" s="223"/>
      <c r="AB83" s="223"/>
      <c r="AC83" s="223"/>
      <c r="AD83" s="223"/>
      <c r="AE83" s="223"/>
      <c r="AF83" s="223"/>
      <c r="AG83" s="223"/>
      <c r="AH83" s="223"/>
      <c r="AI83" s="223"/>
      <c r="AJ83" s="223"/>
      <c r="AK83" s="223"/>
      <c r="AL83" s="223"/>
      <c r="AM83" s="223"/>
      <c r="AN83" s="223"/>
      <c r="AO83" s="223"/>
      <c r="AP83" s="223"/>
      <c r="AQ83" s="223"/>
      <c r="AR83" s="223"/>
      <c r="AS83" s="223"/>
      <c r="AT83" s="776"/>
      <c r="AU83" s="223"/>
      <c r="AV83" s="223"/>
      <c r="AW83" s="223"/>
      <c r="AX83" s="776"/>
    </row>
    <row r="84" spans="1:50" s="179" customFormat="1" ht="44.25" customHeight="1">
      <c r="A84" s="182" t="s">
        <v>288</v>
      </c>
      <c r="B84" s="177" t="s">
        <v>289</v>
      </c>
      <c r="C84" s="178"/>
      <c r="D84" s="178"/>
      <c r="E84" s="178"/>
      <c r="F84" s="178"/>
      <c r="G84" s="178"/>
      <c r="H84" s="178"/>
      <c r="I84" s="178"/>
      <c r="J84" s="178"/>
      <c r="K84" s="178"/>
      <c r="L84" s="178"/>
      <c r="M84" s="178"/>
      <c r="N84" s="178"/>
      <c r="O84" s="178"/>
      <c r="P84" s="178"/>
      <c r="Q84" s="178"/>
      <c r="R84" s="178"/>
    </row>
    <row r="85" spans="1:50" s="179" customFormat="1" ht="66.75" customHeight="1">
      <c r="A85" s="182" t="s">
        <v>290</v>
      </c>
      <c r="B85" s="180" t="s">
        <v>291</v>
      </c>
      <c r="C85" s="181"/>
      <c r="D85" s="181"/>
      <c r="E85" s="181"/>
      <c r="F85" s="181"/>
      <c r="G85" s="181"/>
      <c r="H85" s="181"/>
      <c r="I85" s="181"/>
      <c r="J85" s="181"/>
      <c r="K85" s="181"/>
      <c r="L85" s="181"/>
      <c r="M85" s="181"/>
      <c r="N85" s="181"/>
      <c r="O85" s="181"/>
      <c r="P85" s="181"/>
      <c r="Q85" s="181"/>
      <c r="R85" s="181"/>
    </row>
    <row r="86" spans="1:50" s="179" customFormat="1" ht="110.25" customHeight="1">
      <c r="A86" s="184" t="s">
        <v>292</v>
      </c>
      <c r="B86" s="183" t="s">
        <v>293</v>
      </c>
    </row>
    <row r="87" spans="1:50" s="7" customFormat="1" ht="57.75" customHeight="1">
      <c r="A87" s="134" t="s">
        <v>294</v>
      </c>
      <c r="B87" s="1017" t="s">
        <v>295</v>
      </c>
    </row>
    <row r="88" spans="1:50" s="7" customFormat="1" ht="71.25" customHeight="1">
      <c r="A88" s="134" t="s">
        <v>296</v>
      </c>
      <c r="B88" s="1017" t="s">
        <v>297</v>
      </c>
    </row>
    <row r="89" spans="1:50" ht="42" customHeight="1">
      <c r="A89" s="134" t="s">
        <v>760</v>
      </c>
      <c r="B89" s="177" t="s">
        <v>761</v>
      </c>
    </row>
  </sheetData>
  <customSheetViews>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1"/>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2"/>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4"/>
    </customSheetView>
  </customSheetViews>
  <mergeCells count="12">
    <mergeCell ref="AU2:AX2"/>
    <mergeCell ref="AQ2:AT2"/>
    <mergeCell ref="AM2:AP2"/>
    <mergeCell ref="C2:F2"/>
    <mergeCell ref="G2:J2"/>
    <mergeCell ref="K2:N2"/>
    <mergeCell ref="O2:R2"/>
    <mergeCell ref="AI2:AL2"/>
    <mergeCell ref="AE2:AH2"/>
    <mergeCell ref="AA2:AD2"/>
    <mergeCell ref="W2:Z2"/>
    <mergeCell ref="S2:V2"/>
  </mergeCells>
  <phoneticPr fontId="10"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5 I35 D35 AD24" formula="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M155"/>
  <sheetViews>
    <sheetView showGridLines="0" zoomScale="85" zoomScaleNormal="85" zoomScaleSheetLayoutView="110" workbookViewId="0">
      <pane xSplit="34" ySplit="4" topLeftCell="AY5" activePane="bottomRight" state="frozen"/>
      <selection pane="topRight" activeCell="AI1" sqref="AI1"/>
      <selection pane="bottomLeft" activeCell="A5" sqref="A5"/>
      <selection pane="bottomRight" activeCell="AI5" sqref="AI5"/>
    </sheetView>
  </sheetViews>
  <sheetFormatPr defaultColWidth="9" defaultRowHeight="13" outlineLevelCol="1"/>
  <cols>
    <col min="1" max="1" width="45.58203125" style="134" customWidth="1"/>
    <col min="2" max="2" width="47.9140625" style="134" customWidth="1"/>
    <col min="3" max="3" width="13.08203125" style="4" hidden="1" customWidth="1" outlineLevel="1"/>
    <col min="4" max="5" width="13" style="4" hidden="1" customWidth="1" outlineLevel="1"/>
    <col min="6" max="6" width="12.5" style="4" hidden="1" customWidth="1" outlineLevel="1"/>
    <col min="7" max="7" width="13" style="4" hidden="1" customWidth="1" outlineLevel="1"/>
    <col min="8" max="9" width="12.9140625" style="4" hidden="1" customWidth="1" outlineLevel="1"/>
    <col min="10" max="10" width="12.5" style="4" hidden="1" customWidth="1" outlineLevel="1"/>
    <col min="11" max="12" width="13" style="4" hidden="1" customWidth="1" outlineLevel="1"/>
    <col min="13" max="13" width="12.9140625" style="4" hidden="1" customWidth="1" outlineLevel="1"/>
    <col min="14" max="14" width="12.5" style="4" hidden="1" customWidth="1" outlineLevel="1"/>
    <col min="15" max="29" width="13" style="4" hidden="1" customWidth="1" outlineLevel="1"/>
    <col min="30" max="30" width="14.08203125" style="4" hidden="1" customWidth="1" outlineLevel="1"/>
    <col min="31" max="34" width="13" style="6" hidden="1" customWidth="1" outlineLevel="1"/>
    <col min="35" max="35" width="13.08203125" style="6" customWidth="1" collapsed="1"/>
    <col min="36" max="54" width="13.08203125" style="6" customWidth="1"/>
    <col min="55" max="56" width="9" style="4"/>
    <col min="57" max="57" width="11.9140625" style="4" bestFit="1" customWidth="1"/>
    <col min="58" max="16384" width="9" style="4"/>
  </cols>
  <sheetData>
    <row r="1" spans="1:481" s="10" customFormat="1" ht="89.25" customHeight="1">
      <c r="A1" s="194"/>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862"/>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row>
    <row r="2" spans="1:481" s="10" customFormat="1" ht="42.75" customHeight="1">
      <c r="A2" s="322" t="s">
        <v>298</v>
      </c>
      <c r="B2" s="669" t="s">
        <v>299</v>
      </c>
      <c r="C2" s="1058">
        <v>2012</v>
      </c>
      <c r="D2" s="1058"/>
      <c r="E2" s="1058"/>
      <c r="F2" s="1058"/>
      <c r="G2" s="1061">
        <v>2013</v>
      </c>
      <c r="H2" s="1058"/>
      <c r="I2" s="1058"/>
      <c r="J2" s="1062"/>
      <c r="K2" s="1058">
        <v>2014</v>
      </c>
      <c r="L2" s="1058"/>
      <c r="M2" s="1058"/>
      <c r="N2" s="1058"/>
      <c r="O2" s="1061">
        <v>2015</v>
      </c>
      <c r="P2" s="1058"/>
      <c r="Q2" s="1058"/>
      <c r="R2" s="1062"/>
      <c r="S2" s="1058">
        <v>2016</v>
      </c>
      <c r="T2" s="1058"/>
      <c r="U2" s="1058"/>
      <c r="V2" s="1058"/>
      <c r="W2" s="1061" t="s">
        <v>300</v>
      </c>
      <c r="X2" s="1058"/>
      <c r="Y2" s="1058"/>
      <c r="Z2" s="1062"/>
      <c r="AA2" s="1058" t="s">
        <v>301</v>
      </c>
      <c r="AB2" s="1059"/>
      <c r="AC2" s="1059"/>
      <c r="AD2" s="1059"/>
      <c r="AE2" s="1061" t="s">
        <v>302</v>
      </c>
      <c r="AF2" s="1059"/>
      <c r="AG2" s="1059"/>
      <c r="AH2" s="1060"/>
      <c r="AI2" s="1058" t="s">
        <v>303</v>
      </c>
      <c r="AJ2" s="1058"/>
      <c r="AK2" s="1058"/>
      <c r="AL2" s="1058"/>
      <c r="AM2" s="1061">
        <v>2020</v>
      </c>
      <c r="AN2" s="1059"/>
      <c r="AO2" s="1059"/>
      <c r="AP2" s="1060"/>
      <c r="AQ2" s="1058">
        <v>2021</v>
      </c>
      <c r="AR2" s="1059"/>
      <c r="AS2" s="1059"/>
      <c r="AT2" s="1060"/>
      <c r="AU2" s="1058">
        <v>2022</v>
      </c>
      <c r="AV2" s="1059"/>
      <c r="AW2" s="1059"/>
      <c r="AX2" s="1060"/>
      <c r="AY2" s="1058">
        <v>2023</v>
      </c>
      <c r="AZ2" s="1059"/>
      <c r="BA2" s="1059"/>
      <c r="BB2" s="1060"/>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row>
    <row r="3" spans="1:481" ht="40.25" customHeight="1">
      <c r="A3" s="322" t="s">
        <v>19</v>
      </c>
      <c r="B3" s="669" t="s">
        <v>19</v>
      </c>
      <c r="C3" s="480" t="s">
        <v>304</v>
      </c>
      <c r="D3" s="480" t="s">
        <v>305</v>
      </c>
      <c r="E3" s="480" t="s">
        <v>306</v>
      </c>
      <c r="F3" s="480" t="s">
        <v>307</v>
      </c>
      <c r="G3" s="648" t="s">
        <v>304</v>
      </c>
      <c r="H3" s="480" t="s">
        <v>305</v>
      </c>
      <c r="I3" s="480" t="s">
        <v>306</v>
      </c>
      <c r="J3" s="649" t="s">
        <v>307</v>
      </c>
      <c r="K3" s="480" t="s">
        <v>304</v>
      </c>
      <c r="L3" s="480" t="s">
        <v>305</v>
      </c>
      <c r="M3" s="480" t="s">
        <v>306</v>
      </c>
      <c r="N3" s="480" t="s">
        <v>307</v>
      </c>
      <c r="O3" s="648" t="s">
        <v>304</v>
      </c>
      <c r="P3" s="480" t="s">
        <v>305</v>
      </c>
      <c r="Q3" s="480" t="s">
        <v>306</v>
      </c>
      <c r="R3" s="649" t="s">
        <v>307</v>
      </c>
      <c r="S3" s="480" t="s">
        <v>304</v>
      </c>
      <c r="T3" s="480" t="s">
        <v>305</v>
      </c>
      <c r="U3" s="480" t="s">
        <v>306</v>
      </c>
      <c r="V3" s="480" t="s">
        <v>307</v>
      </c>
      <c r="W3" s="648" t="s">
        <v>304</v>
      </c>
      <c r="X3" s="480" t="s">
        <v>305</v>
      </c>
      <c r="Y3" s="480" t="s">
        <v>306</v>
      </c>
      <c r="Z3" s="649" t="s">
        <v>307</v>
      </c>
      <c r="AA3" s="480" t="s">
        <v>304</v>
      </c>
      <c r="AB3" s="480" t="s">
        <v>305</v>
      </c>
      <c r="AC3" s="480" t="s">
        <v>306</v>
      </c>
      <c r="AD3" s="480" t="s">
        <v>307</v>
      </c>
      <c r="AE3" s="648" t="s">
        <v>304</v>
      </c>
      <c r="AF3" s="480" t="s">
        <v>305</v>
      </c>
      <c r="AG3" s="480" t="s">
        <v>306</v>
      </c>
      <c r="AH3" s="649" t="s">
        <v>307</v>
      </c>
      <c r="AI3" s="480" t="s">
        <v>304</v>
      </c>
      <c r="AJ3" s="480" t="s">
        <v>305</v>
      </c>
      <c r="AK3" s="480" t="s">
        <v>306</v>
      </c>
      <c r="AL3" s="480" t="s">
        <v>307</v>
      </c>
      <c r="AM3" s="648" t="s">
        <v>304</v>
      </c>
      <c r="AN3" s="480" t="s">
        <v>305</v>
      </c>
      <c r="AO3" s="480" t="s">
        <v>306</v>
      </c>
      <c r="AP3" s="649" t="s">
        <v>307</v>
      </c>
      <c r="AQ3" s="480" t="s">
        <v>304</v>
      </c>
      <c r="AR3" s="480" t="s">
        <v>305</v>
      </c>
      <c r="AS3" s="480" t="s">
        <v>306</v>
      </c>
      <c r="AT3" s="649" t="s">
        <v>307</v>
      </c>
      <c r="AU3" s="480" t="s">
        <v>304</v>
      </c>
      <c r="AV3" s="480" t="s">
        <v>305</v>
      </c>
      <c r="AW3" s="480" t="s">
        <v>306</v>
      </c>
      <c r="AX3" s="649" t="s">
        <v>307</v>
      </c>
      <c r="AY3" s="480" t="str">
        <f>AU3</f>
        <v>3 miesiące 
do 31 marca</v>
      </c>
      <c r="AZ3" s="480" t="s">
        <v>305</v>
      </c>
      <c r="BA3" s="480" t="s">
        <v>306</v>
      </c>
      <c r="BB3" s="649" t="s">
        <v>307</v>
      </c>
    </row>
    <row r="4" spans="1:481" s="484" customFormat="1" ht="40.25" customHeight="1" thickBot="1">
      <c r="A4" s="482"/>
      <c r="B4" s="670"/>
      <c r="C4" s="483" t="s">
        <v>308</v>
      </c>
      <c r="D4" s="483" t="s">
        <v>309</v>
      </c>
      <c r="E4" s="483" t="s">
        <v>310</v>
      </c>
      <c r="F4" s="483" t="s">
        <v>311</v>
      </c>
      <c r="G4" s="650" t="s">
        <v>308</v>
      </c>
      <c r="H4" s="483" t="s">
        <v>309</v>
      </c>
      <c r="I4" s="483" t="s">
        <v>310</v>
      </c>
      <c r="J4" s="651" t="s">
        <v>311</v>
      </c>
      <c r="K4" s="483" t="s">
        <v>308</v>
      </c>
      <c r="L4" s="483" t="s">
        <v>309</v>
      </c>
      <c r="M4" s="483" t="s">
        <v>310</v>
      </c>
      <c r="N4" s="483" t="s">
        <v>311</v>
      </c>
      <c r="O4" s="650" t="s">
        <v>308</v>
      </c>
      <c r="P4" s="483" t="s">
        <v>309</v>
      </c>
      <c r="Q4" s="483" t="s">
        <v>310</v>
      </c>
      <c r="R4" s="651" t="s">
        <v>311</v>
      </c>
      <c r="S4" s="483" t="s">
        <v>308</v>
      </c>
      <c r="T4" s="483" t="s">
        <v>309</v>
      </c>
      <c r="U4" s="483" t="s">
        <v>310</v>
      </c>
      <c r="V4" s="483" t="s">
        <v>311</v>
      </c>
      <c r="W4" s="650" t="s">
        <v>308</v>
      </c>
      <c r="X4" s="483" t="s">
        <v>309</v>
      </c>
      <c r="Y4" s="483" t="s">
        <v>310</v>
      </c>
      <c r="Z4" s="651" t="s">
        <v>311</v>
      </c>
      <c r="AA4" s="483" t="s">
        <v>308</v>
      </c>
      <c r="AB4" s="483" t="s">
        <v>309</v>
      </c>
      <c r="AC4" s="483" t="s">
        <v>310</v>
      </c>
      <c r="AD4" s="483" t="s">
        <v>311</v>
      </c>
      <c r="AE4" s="650" t="s">
        <v>308</v>
      </c>
      <c r="AF4" s="483" t="s">
        <v>309</v>
      </c>
      <c r="AG4" s="483" t="s">
        <v>310</v>
      </c>
      <c r="AH4" s="651" t="s">
        <v>311</v>
      </c>
      <c r="AI4" s="483" t="s">
        <v>308</v>
      </c>
      <c r="AJ4" s="483" t="s">
        <v>309</v>
      </c>
      <c r="AK4" s="483" t="s">
        <v>310</v>
      </c>
      <c r="AL4" s="483" t="s">
        <v>311</v>
      </c>
      <c r="AM4" s="650" t="s">
        <v>308</v>
      </c>
      <c r="AN4" s="483" t="s">
        <v>309</v>
      </c>
      <c r="AO4" s="483" t="s">
        <v>310</v>
      </c>
      <c r="AP4" s="651" t="s">
        <v>311</v>
      </c>
      <c r="AQ4" s="483" t="s">
        <v>308</v>
      </c>
      <c r="AR4" s="483" t="s">
        <v>309</v>
      </c>
      <c r="AS4" s="483" t="s">
        <v>310</v>
      </c>
      <c r="AT4" s="651" t="s">
        <v>311</v>
      </c>
      <c r="AU4" s="483" t="s">
        <v>308</v>
      </c>
      <c r="AV4" s="483" t="s">
        <v>309</v>
      </c>
      <c r="AW4" s="483" t="s">
        <v>310</v>
      </c>
      <c r="AX4" s="651" t="s">
        <v>311</v>
      </c>
      <c r="AY4" s="483" t="s">
        <v>308</v>
      </c>
      <c r="AZ4" s="483" t="s">
        <v>309</v>
      </c>
      <c r="BA4" s="483" t="s">
        <v>310</v>
      </c>
      <c r="BB4" s="651" t="s">
        <v>311</v>
      </c>
      <c r="BD4" s="1024"/>
      <c r="BE4" s="1024"/>
      <c r="BF4" s="1024"/>
      <c r="BG4" s="1024"/>
      <c r="BH4" s="1024"/>
      <c r="BI4" s="1024"/>
    </row>
    <row r="5" spans="1:481" ht="20.149999999999999" customHeight="1" thickBot="1">
      <c r="A5" s="481" t="s">
        <v>312</v>
      </c>
      <c r="B5" s="671" t="s">
        <v>313</v>
      </c>
      <c r="C5" s="93">
        <v>205.10900000000001</v>
      </c>
      <c r="D5" s="93">
        <v>304.61200000000002</v>
      </c>
      <c r="E5" s="93">
        <v>476.67400000000004</v>
      </c>
      <c r="F5" s="93">
        <v>598.298</v>
      </c>
      <c r="G5" s="652">
        <v>95.105000000000004</v>
      </c>
      <c r="H5" s="93">
        <v>175.85</v>
      </c>
      <c r="I5" s="93">
        <v>352.30099999999999</v>
      </c>
      <c r="J5" s="653">
        <v>525.44500000000005</v>
      </c>
      <c r="K5" s="93">
        <v>98.171999999999997</v>
      </c>
      <c r="L5" s="93">
        <f>'P&amp;L'!M32+'P&amp;L'!N32</f>
        <v>230.29999999999967</v>
      </c>
      <c r="M5" s="93">
        <v>278.5</v>
      </c>
      <c r="N5" s="93">
        <v>292.5</v>
      </c>
      <c r="O5" s="652">
        <v>170.8</v>
      </c>
      <c r="P5" s="93">
        <v>475.29999999999984</v>
      </c>
      <c r="Q5" s="93">
        <f>SUM('P&amp;L'!R32:T32)</f>
        <v>977.7999999999995</v>
      </c>
      <c r="R5" s="653">
        <f>SUM('P&amp;L'!V32)</f>
        <v>1163.3999999999994</v>
      </c>
      <c r="S5" s="93">
        <f>'P&amp;L'!W32</f>
        <v>178.50000000000006</v>
      </c>
      <c r="T5" s="93">
        <f>'P&amp;L'!W32+'P&amp;L'!X32</f>
        <v>409.4000000000002</v>
      </c>
      <c r="U5" s="93">
        <f>T5+'P&amp;L'!Y32</f>
        <v>679.20000000000061</v>
      </c>
      <c r="V5" s="93">
        <f>'P&amp;L'!AA32</f>
        <v>1021.0000000000001</v>
      </c>
      <c r="W5" s="652">
        <v>271.40000000000032</v>
      </c>
      <c r="X5" s="93">
        <v>553.10000000000025</v>
      </c>
      <c r="Y5" s="93">
        <v>788</v>
      </c>
      <c r="Z5" s="653">
        <v>945.2</v>
      </c>
      <c r="AA5" s="93">
        <v>292.2</v>
      </c>
      <c r="AB5" s="93">
        <v>523.6</v>
      </c>
      <c r="AC5" s="93">
        <v>750.7</v>
      </c>
      <c r="AD5" s="93">
        <v>816.1</v>
      </c>
      <c r="AE5" s="652">
        <v>300.8</v>
      </c>
      <c r="AF5" s="93">
        <v>570.9</v>
      </c>
      <c r="AG5" s="93">
        <v>817.9</v>
      </c>
      <c r="AH5" s="653">
        <v>1126.3</v>
      </c>
      <c r="AI5" s="93">
        <v>297.3</v>
      </c>
      <c r="AJ5" s="93">
        <v>566.20000000000005</v>
      </c>
      <c r="AK5" s="93">
        <v>802.7</v>
      </c>
      <c r="AL5" s="93">
        <v>1114.5999999999999</v>
      </c>
      <c r="AM5" s="652">
        <f>'P&amp;L'!BB32</f>
        <v>183.78882651999987</v>
      </c>
      <c r="AN5" s="93">
        <v>474.5</v>
      </c>
      <c r="AO5" s="93">
        <v>819.5</v>
      </c>
      <c r="AP5" s="653">
        <v>1146.2</v>
      </c>
      <c r="AQ5" s="93">
        <f>'P&amp;L'!BG32</f>
        <v>390.4</v>
      </c>
      <c r="AR5" s="93">
        <f>'P&amp;L'!BH32+AQ5</f>
        <v>932.09999999999991</v>
      </c>
      <c r="AS5" s="93">
        <f>'P&amp;L'!BI32+AR5</f>
        <v>4080.8000000000006</v>
      </c>
      <c r="AT5" s="653">
        <f>'P&amp;L'!BK32</f>
        <v>4414.4999999999982</v>
      </c>
      <c r="AU5" s="93">
        <f>'P&amp;L'!BL32</f>
        <v>212.79999999999995</v>
      </c>
      <c r="AV5" s="766">
        <f>SUM('P&amp;L'!BL32:BM32)</f>
        <v>495.49999999999977</v>
      </c>
      <c r="AW5" s="766">
        <f>SUM('P&amp;L'!BL32:BN32)</f>
        <v>726.60000000000059</v>
      </c>
      <c r="AX5" s="785">
        <f>'P&amp;L'!BP32</f>
        <v>901.10000000000014</v>
      </c>
      <c r="AY5" s="93">
        <f>'P&amp;L'!BQ32</f>
        <v>71.000000000000583</v>
      </c>
      <c r="AZ5" s="766">
        <v>79.099999999999994</v>
      </c>
      <c r="BA5" s="766">
        <v>181.3</v>
      </c>
      <c r="BB5" s="1008">
        <v>311.60000000000002</v>
      </c>
      <c r="BC5" s="991"/>
      <c r="BD5" s="1025"/>
      <c r="BE5" s="1025"/>
      <c r="BF5" s="1025"/>
      <c r="BG5" s="1025"/>
      <c r="BH5" s="1025"/>
      <c r="BI5" s="1025"/>
    </row>
    <row r="6" spans="1:481" ht="20.149999999999999" customHeight="1" thickBot="1">
      <c r="A6" s="387" t="s">
        <v>314</v>
      </c>
      <c r="B6" s="672" t="s">
        <v>315</v>
      </c>
      <c r="C6" s="388">
        <f t="shared" ref="C6:AB6" si="0">SUM(C7:C32)</f>
        <v>27.58799999999999</v>
      </c>
      <c r="D6" s="388">
        <f t="shared" si="0"/>
        <v>110.99899999999997</v>
      </c>
      <c r="E6" s="388">
        <f t="shared" si="0"/>
        <v>152.09600000000003</v>
      </c>
      <c r="F6" s="389">
        <f t="shared" si="0"/>
        <v>244.9200000000001</v>
      </c>
      <c r="G6" s="654">
        <f t="shared" si="0"/>
        <v>70.556999999999988</v>
      </c>
      <c r="H6" s="389">
        <f t="shared" si="0"/>
        <v>176.07799999999997</v>
      </c>
      <c r="I6" s="389">
        <f t="shared" si="0"/>
        <v>195.94299999999996</v>
      </c>
      <c r="J6" s="655">
        <f t="shared" si="0"/>
        <v>334.28999999999991</v>
      </c>
      <c r="K6" s="389">
        <f t="shared" si="0"/>
        <v>86.532000000000011</v>
      </c>
      <c r="L6" s="389">
        <f t="shared" si="0"/>
        <v>505.40000000000015</v>
      </c>
      <c r="M6" s="389">
        <f t="shared" si="0"/>
        <v>1145.4000000000003</v>
      </c>
      <c r="N6" s="389">
        <f t="shared" si="0"/>
        <v>1825.2999999999997</v>
      </c>
      <c r="O6" s="654">
        <f t="shared" si="0"/>
        <v>282.2000000000001</v>
      </c>
      <c r="P6" s="389">
        <f t="shared" si="0"/>
        <v>852.69999999999982</v>
      </c>
      <c r="Q6" s="389">
        <f t="shared" si="0"/>
        <v>1195.6999999999994</v>
      </c>
      <c r="R6" s="655">
        <f t="shared" si="0"/>
        <v>1821.6999999999998</v>
      </c>
      <c r="S6" s="389">
        <f t="shared" si="0"/>
        <v>405.9</v>
      </c>
      <c r="T6" s="389">
        <f t="shared" si="0"/>
        <v>1140</v>
      </c>
      <c r="U6" s="389">
        <f t="shared" si="0"/>
        <v>1678.3000000000002</v>
      </c>
      <c r="V6" s="389">
        <f t="shared" si="0"/>
        <v>2130.5</v>
      </c>
      <c r="W6" s="654">
        <f t="shared" si="0"/>
        <v>509.29999999999995</v>
      </c>
      <c r="X6" s="389">
        <f t="shared" si="0"/>
        <v>1062.8</v>
      </c>
      <c r="Y6" s="389">
        <f t="shared" si="0"/>
        <v>1457.6999999999998</v>
      </c>
      <c r="Z6" s="655">
        <f t="shared" si="0"/>
        <v>2181.1000000000004</v>
      </c>
      <c r="AA6" s="389">
        <f t="shared" si="0"/>
        <v>340.90000000000009</v>
      </c>
      <c r="AB6" s="389">
        <f t="shared" si="0"/>
        <v>873.30000000000007</v>
      </c>
      <c r="AC6" s="389">
        <v>1470.1</v>
      </c>
      <c r="AD6" s="389">
        <f t="shared" ref="AD6:BB6" si="1">SUM(AD7:AD32)</f>
        <v>2416</v>
      </c>
      <c r="AE6" s="654">
        <f t="shared" si="1"/>
        <v>402.4</v>
      </c>
      <c r="AF6" s="389">
        <f t="shared" si="1"/>
        <v>983.40000000000032</v>
      </c>
      <c r="AG6" s="389">
        <f t="shared" si="1"/>
        <v>1588.9000000000003</v>
      </c>
      <c r="AH6" s="655">
        <f t="shared" si="1"/>
        <v>2265.5</v>
      </c>
      <c r="AI6" s="389">
        <f t="shared" si="1"/>
        <v>464.9</v>
      </c>
      <c r="AJ6" s="389">
        <f t="shared" si="1"/>
        <v>1143.1000000000001</v>
      </c>
      <c r="AK6" s="389">
        <f t="shared" si="1"/>
        <v>1857.2000000000003</v>
      </c>
      <c r="AL6" s="389">
        <f t="shared" si="1"/>
        <v>2663.2999999999997</v>
      </c>
      <c r="AM6" s="654">
        <f t="shared" si="1"/>
        <v>677.20000000000016</v>
      </c>
      <c r="AN6" s="389">
        <f t="shared" si="1"/>
        <v>1232.3000000000004</v>
      </c>
      <c r="AO6" s="389">
        <f t="shared" si="1"/>
        <v>1835.7999999999997</v>
      </c>
      <c r="AP6" s="655">
        <f t="shared" si="1"/>
        <v>2651.7</v>
      </c>
      <c r="AQ6" s="389">
        <f t="shared" si="1"/>
        <v>603.90000000000009</v>
      </c>
      <c r="AR6" s="389">
        <f t="shared" si="1"/>
        <v>953.8</v>
      </c>
      <c r="AS6" s="389">
        <f t="shared" si="1"/>
        <v>-1284.9999999999998</v>
      </c>
      <c r="AT6" s="655">
        <f t="shared" si="1"/>
        <v>-724.80000000000007</v>
      </c>
      <c r="AU6" s="389">
        <f t="shared" si="1"/>
        <v>454.00000000000011</v>
      </c>
      <c r="AV6" s="767">
        <f t="shared" si="1"/>
        <v>997.8</v>
      </c>
      <c r="AW6" s="389">
        <f t="shared" si="1"/>
        <v>1492.8</v>
      </c>
      <c r="AX6" s="785">
        <f t="shared" si="1"/>
        <v>2072.4</v>
      </c>
      <c r="AY6" s="389">
        <f t="shared" si="1"/>
        <v>284.7000000000001</v>
      </c>
      <c r="AZ6" s="767">
        <f t="shared" si="1"/>
        <v>1311.7999999999993</v>
      </c>
      <c r="BA6" s="767">
        <f>SUM(BA7:BA32)</f>
        <v>1483.7999999999995</v>
      </c>
      <c r="BB6" s="785">
        <f t="shared" si="1"/>
        <v>2316.5999999999995</v>
      </c>
      <c r="BD6" s="1026"/>
      <c r="BE6" s="1025"/>
      <c r="BF6" s="1027"/>
      <c r="BG6" s="1028"/>
      <c r="BH6" s="1029"/>
      <c r="BI6" s="1029"/>
    </row>
    <row r="7" spans="1:481" ht="20.149999999999999" customHeight="1">
      <c r="A7" s="70" t="s">
        <v>44</v>
      </c>
      <c r="B7" s="673" t="s">
        <v>45</v>
      </c>
      <c r="C7" s="68">
        <v>54.433</v>
      </c>
      <c r="D7" s="68">
        <v>111.117</v>
      </c>
      <c r="E7" s="68">
        <v>171.35499999999999</v>
      </c>
      <c r="F7" s="68">
        <v>243.066</v>
      </c>
      <c r="G7" s="656">
        <v>60.698</v>
      </c>
      <c r="H7" s="68">
        <v>122.961</v>
      </c>
      <c r="I7" s="68">
        <v>187.82599999999999</v>
      </c>
      <c r="J7" s="657">
        <v>256.416</v>
      </c>
      <c r="K7" s="68">
        <v>62.434000000000005</v>
      </c>
      <c r="L7" s="68">
        <v>373.8</v>
      </c>
      <c r="M7" s="68">
        <v>852.1</v>
      </c>
      <c r="N7" s="68">
        <v>1295.9000000000001</v>
      </c>
      <c r="O7" s="656">
        <v>467.9</v>
      </c>
      <c r="P7" s="68">
        <v>861.4</v>
      </c>
      <c r="Q7" s="68">
        <v>1262.5999999999999</v>
      </c>
      <c r="R7" s="657">
        <v>1699.3</v>
      </c>
      <c r="S7" s="68">
        <v>423.7</v>
      </c>
      <c r="T7" s="68">
        <v>951.2</v>
      </c>
      <c r="U7" s="68">
        <v>1459.1</v>
      </c>
      <c r="V7" s="68">
        <v>1971.5</v>
      </c>
      <c r="W7" s="656">
        <v>472.3</v>
      </c>
      <c r="X7" s="68">
        <v>919</v>
      </c>
      <c r="Y7" s="68">
        <v>1348.2</v>
      </c>
      <c r="Z7" s="657">
        <v>1783</v>
      </c>
      <c r="AA7" s="68">
        <v>454.5</v>
      </c>
      <c r="AB7" s="68">
        <v>925.3</v>
      </c>
      <c r="AC7" s="68">
        <v>1448.8</v>
      </c>
      <c r="AD7" s="68">
        <v>1970.7</v>
      </c>
      <c r="AE7" s="656">
        <v>440.1</v>
      </c>
      <c r="AF7" s="68">
        <v>884.7</v>
      </c>
      <c r="AG7" s="68">
        <v>1333.2</v>
      </c>
      <c r="AH7" s="657">
        <v>1786.4</v>
      </c>
      <c r="AI7" s="68">
        <v>547.1</v>
      </c>
      <c r="AJ7" s="68">
        <v>1100.7</v>
      </c>
      <c r="AK7" s="68">
        <v>1662.2</v>
      </c>
      <c r="AL7" s="68">
        <v>2229.6999999999998</v>
      </c>
      <c r="AM7" s="656">
        <v>564.5</v>
      </c>
      <c r="AN7" s="68">
        <v>1130.4000000000001</v>
      </c>
      <c r="AO7" s="68">
        <v>1703.4</v>
      </c>
      <c r="AP7" s="657">
        <v>2305.6999999999998</v>
      </c>
      <c r="AQ7" s="68">
        <v>521.20000000000005</v>
      </c>
      <c r="AR7" s="68">
        <v>978.4</v>
      </c>
      <c r="AS7" s="68">
        <v>1442</v>
      </c>
      <c r="AT7" s="657">
        <v>1903.2</v>
      </c>
      <c r="AU7" s="68">
        <v>446.3</v>
      </c>
      <c r="AV7" s="260">
        <v>913.8</v>
      </c>
      <c r="AW7" s="773">
        <v>1365.9</v>
      </c>
      <c r="AX7" s="657">
        <v>1829</v>
      </c>
      <c r="AY7" s="68">
        <v>462.5</v>
      </c>
      <c r="AZ7" s="861">
        <v>931.2</v>
      </c>
      <c r="BA7" s="861">
        <v>1415.1</v>
      </c>
      <c r="BB7" s="944">
        <v>1919.6</v>
      </c>
      <c r="BC7" s="68"/>
      <c r="BD7" s="1030"/>
      <c r="BE7" s="1025"/>
      <c r="BF7" s="1031"/>
      <c r="BG7" s="1032"/>
      <c r="BH7" s="1033"/>
      <c r="BI7" s="1033"/>
    </row>
    <row r="8" spans="1:481" ht="20.149999999999999" customHeight="1">
      <c r="A8" s="70" t="s">
        <v>316</v>
      </c>
      <c r="B8" s="673" t="s">
        <v>317</v>
      </c>
      <c r="C8" s="68">
        <v>-29.711000000000002</v>
      </c>
      <c r="D8" s="68">
        <v>-88.683000000000007</v>
      </c>
      <c r="E8" s="68">
        <v>-140.589</v>
      </c>
      <c r="F8" s="68">
        <v>-177.86799999999999</v>
      </c>
      <c r="G8" s="656">
        <v>-44.32</v>
      </c>
      <c r="H8" s="68">
        <v>-122.45100000000001</v>
      </c>
      <c r="I8" s="68">
        <v>-189.477</v>
      </c>
      <c r="J8" s="657">
        <v>-222.45600000000002</v>
      </c>
      <c r="K8" s="68">
        <v>-109.42100000000001</v>
      </c>
      <c r="L8" s="68">
        <v>-148.9</v>
      </c>
      <c r="M8" s="68">
        <v>-224.7</v>
      </c>
      <c r="N8" s="68">
        <v>-306.8</v>
      </c>
      <c r="O8" s="656">
        <v>-41.5</v>
      </c>
      <c r="P8" s="68">
        <v>-115.2</v>
      </c>
      <c r="Q8" s="68">
        <v>-195.4</v>
      </c>
      <c r="R8" s="657">
        <v>-238.1</v>
      </c>
      <c r="S8" s="68">
        <v>-58.1</v>
      </c>
      <c r="T8" s="68">
        <v>-119</v>
      </c>
      <c r="U8" s="68">
        <v>-189.6</v>
      </c>
      <c r="V8" s="68">
        <v>-246.5</v>
      </c>
      <c r="W8" s="656">
        <v>-33.299999999999997</v>
      </c>
      <c r="X8" s="68">
        <v>-94.2</v>
      </c>
      <c r="Y8" s="68">
        <v>-246.2</v>
      </c>
      <c r="Z8" s="657">
        <v>-305.10000000000002</v>
      </c>
      <c r="AA8" s="68">
        <v>-62.4</v>
      </c>
      <c r="AB8" s="68">
        <v>-124.7</v>
      </c>
      <c r="AC8" s="68">
        <v>-411.2</v>
      </c>
      <c r="AD8" s="68">
        <v>-363.5</v>
      </c>
      <c r="AE8" s="656">
        <v>-156.30000000000001</v>
      </c>
      <c r="AF8" s="68">
        <v>-343.1</v>
      </c>
      <c r="AG8" s="68">
        <v>-534</v>
      </c>
      <c r="AH8" s="657">
        <v>-617.29999999999995</v>
      </c>
      <c r="AI8" s="68">
        <v>-156.30000000000001</v>
      </c>
      <c r="AJ8" s="68">
        <v>-343.1</v>
      </c>
      <c r="AK8" s="68">
        <v>-534</v>
      </c>
      <c r="AL8" s="68">
        <v>-617.29999999999995</v>
      </c>
      <c r="AM8" s="656">
        <v>-160.5</v>
      </c>
      <c r="AN8" s="68">
        <v>-223.3</v>
      </c>
      <c r="AO8" s="68">
        <v>-311.39999999999998</v>
      </c>
      <c r="AP8" s="657">
        <v>-511.9</v>
      </c>
      <c r="AQ8" s="68">
        <v>-175.1</v>
      </c>
      <c r="AR8" s="68">
        <v>-411.4</v>
      </c>
      <c r="AS8" s="68">
        <v>-557.1</v>
      </c>
      <c r="AT8" s="657">
        <v>-645</v>
      </c>
      <c r="AU8" s="68">
        <v>-178</v>
      </c>
      <c r="AV8" s="260">
        <v>-268.5</v>
      </c>
      <c r="AW8" s="260">
        <v>-492.8</v>
      </c>
      <c r="AX8" s="657">
        <v>-587.1</v>
      </c>
      <c r="AY8" s="68">
        <v>-187.2</v>
      </c>
      <c r="AZ8" s="68">
        <v>-341.3</v>
      </c>
      <c r="BA8" s="68">
        <v>-582.4</v>
      </c>
      <c r="BB8" s="944">
        <v>-654</v>
      </c>
      <c r="BD8" s="1034"/>
      <c r="BE8" s="1025"/>
      <c r="BF8" s="1031"/>
      <c r="BG8" s="1032"/>
      <c r="BH8" s="1033"/>
      <c r="BI8" s="1033"/>
    </row>
    <row r="9" spans="1:481" ht="20.149999999999999" customHeight="1">
      <c r="A9" s="70" t="s">
        <v>318</v>
      </c>
      <c r="B9" s="673" t="s">
        <v>319</v>
      </c>
      <c r="C9" s="68">
        <v>46.908999999999999</v>
      </c>
      <c r="D9" s="68">
        <v>99.832000000000008</v>
      </c>
      <c r="E9" s="68">
        <v>145.40600000000001</v>
      </c>
      <c r="F9" s="68">
        <v>194.52100000000002</v>
      </c>
      <c r="G9" s="656">
        <v>46.048999999999999</v>
      </c>
      <c r="H9" s="68">
        <v>102.423</v>
      </c>
      <c r="I9" s="68">
        <v>162.63200000000001</v>
      </c>
      <c r="J9" s="657">
        <v>220.37100000000001</v>
      </c>
      <c r="K9" s="68">
        <v>40.084000000000003</v>
      </c>
      <c r="L9" s="68">
        <v>85.1</v>
      </c>
      <c r="M9" s="68">
        <v>162.19999999999999</v>
      </c>
      <c r="N9" s="68">
        <v>224.4</v>
      </c>
      <c r="O9" s="656">
        <v>43.7</v>
      </c>
      <c r="P9" s="68">
        <v>90.5</v>
      </c>
      <c r="Q9" s="68">
        <v>149.9</v>
      </c>
      <c r="R9" s="657">
        <v>212.6</v>
      </c>
      <c r="S9" s="68">
        <v>49.1</v>
      </c>
      <c r="T9" s="68">
        <v>125.3</v>
      </c>
      <c r="U9" s="68">
        <v>173.5</v>
      </c>
      <c r="V9" s="68">
        <v>230.7</v>
      </c>
      <c r="W9" s="656">
        <v>48.5</v>
      </c>
      <c r="X9" s="68">
        <v>102.7</v>
      </c>
      <c r="Y9" s="68">
        <v>166.1</v>
      </c>
      <c r="Z9" s="657">
        <v>228.6</v>
      </c>
      <c r="AA9" s="68">
        <v>45.7</v>
      </c>
      <c r="AB9" s="68">
        <v>103.8</v>
      </c>
      <c r="AC9" s="68">
        <v>100.5</v>
      </c>
      <c r="AD9" s="68">
        <v>337</v>
      </c>
      <c r="AE9" s="656">
        <v>123.3</v>
      </c>
      <c r="AF9" s="68">
        <v>262.39999999999998</v>
      </c>
      <c r="AG9" s="68">
        <v>411</v>
      </c>
      <c r="AH9" s="657">
        <v>543.6</v>
      </c>
      <c r="AI9" s="68">
        <v>123.3</v>
      </c>
      <c r="AJ9" s="68">
        <v>262.39999999999998</v>
      </c>
      <c r="AK9" s="68">
        <v>411</v>
      </c>
      <c r="AL9" s="68">
        <v>543.6</v>
      </c>
      <c r="AM9" s="656">
        <v>125.1</v>
      </c>
      <c r="AN9" s="68">
        <v>246.4</v>
      </c>
      <c r="AO9" s="68">
        <v>372.4</v>
      </c>
      <c r="AP9" s="657">
        <v>519.6</v>
      </c>
      <c r="AQ9" s="68">
        <v>136.80000000000001</v>
      </c>
      <c r="AR9" s="68">
        <v>267.39999999999998</v>
      </c>
      <c r="AS9" s="68">
        <v>394.1</v>
      </c>
      <c r="AT9" s="657">
        <v>558.79999999999995</v>
      </c>
      <c r="AU9" s="68">
        <v>149.80000000000001</v>
      </c>
      <c r="AV9" s="260">
        <v>323</v>
      </c>
      <c r="AW9" s="541">
        <v>502.9</v>
      </c>
      <c r="AX9" s="657">
        <v>668.6</v>
      </c>
      <c r="AY9" s="68">
        <v>151.30000000000001</v>
      </c>
      <c r="AZ9" s="541">
        <v>318.60000000000002</v>
      </c>
      <c r="BA9" s="541">
        <v>492.8</v>
      </c>
      <c r="BB9" s="944">
        <v>660.5</v>
      </c>
      <c r="BD9" s="1034"/>
      <c r="BE9" s="1025"/>
      <c r="BF9" s="1031"/>
      <c r="BG9" s="1032"/>
      <c r="BH9" s="1033"/>
      <c r="BI9" s="1033"/>
    </row>
    <row r="10" spans="1:481" ht="26">
      <c r="A10" s="70" t="s">
        <v>320</v>
      </c>
      <c r="B10" s="673" t="s">
        <v>321</v>
      </c>
      <c r="C10" s="68">
        <v>-1.0999999999999999E-2</v>
      </c>
      <c r="D10" s="68">
        <v>-0.25700000000000001</v>
      </c>
      <c r="E10" s="68">
        <v>-0.48299999999999998</v>
      </c>
      <c r="F10" s="68">
        <v>-0.111</v>
      </c>
      <c r="G10" s="656">
        <v>5.8000000000000003E-2</v>
      </c>
      <c r="H10" s="68">
        <v>7.2999999999999995E-2</v>
      </c>
      <c r="I10" s="68">
        <v>-38.896000000000001</v>
      </c>
      <c r="J10" s="657">
        <v>-35.765000000000001</v>
      </c>
      <c r="K10" s="68">
        <v>-5.2999999999999999E-2</v>
      </c>
      <c r="L10" s="68">
        <v>-0.7</v>
      </c>
      <c r="M10" s="68">
        <v>-2.4</v>
      </c>
      <c r="N10" s="68">
        <v>-2.9</v>
      </c>
      <c r="O10" s="656">
        <v>-0.4</v>
      </c>
      <c r="P10" s="68">
        <v>-4.8</v>
      </c>
      <c r="Q10" s="68">
        <v>-5.7</v>
      </c>
      <c r="R10" s="657">
        <v>-6.9</v>
      </c>
      <c r="S10" s="92" t="s">
        <v>276</v>
      </c>
      <c r="T10" s="92" t="s">
        <v>276</v>
      </c>
      <c r="U10" s="92" t="s">
        <v>276</v>
      </c>
      <c r="V10" s="92" t="s">
        <v>276</v>
      </c>
      <c r="W10" s="658" t="s">
        <v>276</v>
      </c>
      <c r="X10" s="92" t="s">
        <v>276</v>
      </c>
      <c r="Y10" s="92" t="s">
        <v>276</v>
      </c>
      <c r="Z10" s="659" t="s">
        <v>276</v>
      </c>
      <c r="AA10" s="92" t="s">
        <v>276</v>
      </c>
      <c r="AB10" s="92" t="s">
        <v>276</v>
      </c>
      <c r="AC10" s="92" t="s">
        <v>276</v>
      </c>
      <c r="AD10" s="92" t="s">
        <v>276</v>
      </c>
      <c r="AE10" s="658" t="s">
        <v>276</v>
      </c>
      <c r="AF10" s="92" t="s">
        <v>276</v>
      </c>
      <c r="AG10" s="92" t="s">
        <v>276</v>
      </c>
      <c r="AH10" s="659" t="s">
        <v>276</v>
      </c>
      <c r="AI10" s="92" t="s">
        <v>276</v>
      </c>
      <c r="AJ10" s="92" t="s">
        <v>276</v>
      </c>
      <c r="AK10" s="92" t="s">
        <v>276</v>
      </c>
      <c r="AL10" s="92" t="s">
        <v>276</v>
      </c>
      <c r="AM10" s="658" t="s">
        <v>276</v>
      </c>
      <c r="AN10" s="92" t="s">
        <v>276</v>
      </c>
      <c r="AO10" s="92" t="s">
        <v>276</v>
      </c>
      <c r="AP10" s="659" t="s">
        <v>276</v>
      </c>
      <c r="AQ10" s="92" t="s">
        <v>276</v>
      </c>
      <c r="AR10" s="92" t="s">
        <v>276</v>
      </c>
      <c r="AS10" s="92" t="s">
        <v>276</v>
      </c>
      <c r="AT10" s="659" t="s">
        <v>276</v>
      </c>
      <c r="AU10" s="92" t="s">
        <v>276</v>
      </c>
      <c r="AV10" s="262" t="s">
        <v>276</v>
      </c>
      <c r="AW10" s="92" t="s">
        <v>276</v>
      </c>
      <c r="AX10" s="659" t="s">
        <v>276</v>
      </c>
      <c r="AY10" s="92" t="s">
        <v>276</v>
      </c>
      <c r="AZ10" s="262" t="s">
        <v>276</v>
      </c>
      <c r="BA10" s="262" t="s">
        <v>276</v>
      </c>
      <c r="BB10" s="947" t="s">
        <v>276</v>
      </c>
      <c r="BD10" s="1034"/>
      <c r="BE10" s="1025"/>
      <c r="BF10" s="1031"/>
      <c r="BG10" s="1032"/>
      <c r="BH10" s="1033"/>
      <c r="BI10" s="1033"/>
    </row>
    <row r="11" spans="1:481" ht="20.149999999999999" customHeight="1">
      <c r="A11" s="70" t="s">
        <v>322</v>
      </c>
      <c r="B11" s="673" t="s">
        <v>323</v>
      </c>
      <c r="C11" s="68">
        <v>2.3109999999999999</v>
      </c>
      <c r="D11" s="68">
        <v>4.6020000000000003</v>
      </c>
      <c r="E11" s="68">
        <v>6.1379999999999999</v>
      </c>
      <c r="F11" s="68">
        <v>9.2439999999999998</v>
      </c>
      <c r="G11" s="656">
        <v>3.504</v>
      </c>
      <c r="H11" s="68">
        <v>5.843</v>
      </c>
      <c r="I11" s="68">
        <v>6.3049999999999997</v>
      </c>
      <c r="J11" s="657">
        <v>6.407</v>
      </c>
      <c r="K11" s="68">
        <v>4.1000000000000002E-2</v>
      </c>
      <c r="L11" s="68">
        <v>0.1</v>
      </c>
      <c r="M11" s="68">
        <v>30.4</v>
      </c>
      <c r="N11" s="68">
        <v>30.5</v>
      </c>
      <c r="O11" s="656">
        <v>0.1</v>
      </c>
      <c r="P11" s="68">
        <v>0.5</v>
      </c>
      <c r="Q11" s="68">
        <v>0.5</v>
      </c>
      <c r="R11" s="657">
        <v>1.4</v>
      </c>
      <c r="S11" s="92" t="s">
        <v>276</v>
      </c>
      <c r="T11" s="92" t="s">
        <v>276</v>
      </c>
      <c r="U11" s="92" t="s">
        <v>276</v>
      </c>
      <c r="V11" s="92" t="s">
        <v>276</v>
      </c>
      <c r="W11" s="658" t="s">
        <v>276</v>
      </c>
      <c r="X11" s="92" t="s">
        <v>276</v>
      </c>
      <c r="Y11" s="92" t="s">
        <v>276</v>
      </c>
      <c r="Z11" s="659" t="s">
        <v>276</v>
      </c>
      <c r="AA11" s="92" t="s">
        <v>276</v>
      </c>
      <c r="AB11" s="92" t="s">
        <v>276</v>
      </c>
      <c r="AC11" s="92" t="s">
        <v>276</v>
      </c>
      <c r="AD11" s="92" t="s">
        <v>276</v>
      </c>
      <c r="AE11" s="658" t="s">
        <v>276</v>
      </c>
      <c r="AF11" s="92" t="s">
        <v>276</v>
      </c>
      <c r="AG11" s="92" t="s">
        <v>276</v>
      </c>
      <c r="AH11" s="659" t="s">
        <v>276</v>
      </c>
      <c r="AI11" s="92" t="s">
        <v>276</v>
      </c>
      <c r="AJ11" s="92" t="s">
        <v>276</v>
      </c>
      <c r="AK11" s="92" t="s">
        <v>276</v>
      </c>
      <c r="AL11" s="92" t="s">
        <v>276</v>
      </c>
      <c r="AM11" s="658" t="s">
        <v>276</v>
      </c>
      <c r="AN11" s="92" t="s">
        <v>276</v>
      </c>
      <c r="AO11" s="92" t="s">
        <v>276</v>
      </c>
      <c r="AP11" s="659" t="s">
        <v>276</v>
      </c>
      <c r="AQ11" s="92" t="s">
        <v>276</v>
      </c>
      <c r="AR11" s="92" t="s">
        <v>276</v>
      </c>
      <c r="AS11" s="92" t="s">
        <v>276</v>
      </c>
      <c r="AT11" s="659" t="s">
        <v>276</v>
      </c>
      <c r="AU11" s="92" t="s">
        <v>276</v>
      </c>
      <c r="AV11" s="262" t="s">
        <v>276</v>
      </c>
      <c r="AW11" s="92" t="s">
        <v>276</v>
      </c>
      <c r="AX11" s="659" t="s">
        <v>276</v>
      </c>
      <c r="AY11" s="92" t="s">
        <v>276</v>
      </c>
      <c r="AZ11" s="262" t="s">
        <v>276</v>
      </c>
      <c r="BA11" s="262" t="s">
        <v>276</v>
      </c>
      <c r="BB11" s="947" t="s">
        <v>276</v>
      </c>
      <c r="BD11" s="1034"/>
      <c r="BE11" s="1025"/>
      <c r="BF11" s="1031"/>
      <c r="BG11" s="1032"/>
      <c r="BH11" s="1033"/>
      <c r="BI11" s="1033"/>
    </row>
    <row r="12" spans="1:481" ht="20.149999999999999" customHeight="1">
      <c r="A12" s="70" t="s">
        <v>324</v>
      </c>
      <c r="B12" s="673" t="s">
        <v>325</v>
      </c>
      <c r="C12" s="68">
        <v>52.017000000000003</v>
      </c>
      <c r="D12" s="68">
        <v>105.822</v>
      </c>
      <c r="E12" s="68">
        <v>156.893</v>
      </c>
      <c r="F12" s="68">
        <v>205.185</v>
      </c>
      <c r="G12" s="656">
        <v>46.368000000000002</v>
      </c>
      <c r="H12" s="68">
        <v>93.388999999999996</v>
      </c>
      <c r="I12" s="68">
        <v>140.42699999999999</v>
      </c>
      <c r="J12" s="657">
        <v>183.81100000000001</v>
      </c>
      <c r="K12" s="68">
        <v>90.381</v>
      </c>
      <c r="L12" s="68">
        <v>248.5</v>
      </c>
      <c r="M12" s="68">
        <v>421.4</v>
      </c>
      <c r="N12" s="68">
        <v>603.70000000000005</v>
      </c>
      <c r="O12" s="656">
        <v>177.4</v>
      </c>
      <c r="P12" s="68">
        <v>348.5</v>
      </c>
      <c r="Q12" s="68">
        <v>581.29999999999995</v>
      </c>
      <c r="R12" s="657">
        <v>763.6</v>
      </c>
      <c r="S12" s="68">
        <v>144.69999999999999</v>
      </c>
      <c r="T12" s="68">
        <v>285.89999999999998</v>
      </c>
      <c r="U12" s="68">
        <v>417.4</v>
      </c>
      <c r="V12" s="68">
        <v>541.9</v>
      </c>
      <c r="W12" s="656">
        <v>114.5</v>
      </c>
      <c r="X12" s="68">
        <v>228.7</v>
      </c>
      <c r="Y12" s="68">
        <v>331.1</v>
      </c>
      <c r="Z12" s="657">
        <v>432.3</v>
      </c>
      <c r="AA12" s="68">
        <v>68.5</v>
      </c>
      <c r="AB12" s="68">
        <v>166.7</v>
      </c>
      <c r="AC12" s="68">
        <v>269</v>
      </c>
      <c r="AD12" s="68">
        <v>401.6</v>
      </c>
      <c r="AE12" s="656">
        <v>94.5</v>
      </c>
      <c r="AF12" s="68">
        <v>189.2</v>
      </c>
      <c r="AG12" s="68">
        <v>291</v>
      </c>
      <c r="AH12" s="657">
        <v>388.2</v>
      </c>
      <c r="AI12" s="68">
        <v>107.2</v>
      </c>
      <c r="AJ12" s="68">
        <v>214.3</v>
      </c>
      <c r="AK12" s="68">
        <v>327.5</v>
      </c>
      <c r="AL12" s="68">
        <v>437.8</v>
      </c>
      <c r="AM12" s="656">
        <v>111.9</v>
      </c>
      <c r="AN12" s="68">
        <v>206.1</v>
      </c>
      <c r="AO12" s="68">
        <v>285.7</v>
      </c>
      <c r="AP12" s="657">
        <v>364.8</v>
      </c>
      <c r="AQ12" s="68">
        <v>78</v>
      </c>
      <c r="AR12" s="68">
        <v>154.9</v>
      </c>
      <c r="AS12" s="68">
        <v>223</v>
      </c>
      <c r="AT12" s="657">
        <v>299.39999999999998</v>
      </c>
      <c r="AU12" s="68">
        <v>112.3</v>
      </c>
      <c r="AV12" s="260">
        <v>271.2</v>
      </c>
      <c r="AW12" s="260">
        <v>466.2</v>
      </c>
      <c r="AX12" s="657">
        <v>660.6</v>
      </c>
      <c r="AY12" s="68">
        <v>236.9</v>
      </c>
      <c r="AZ12" s="68">
        <v>514</v>
      </c>
      <c r="BA12" s="6">
        <v>787.2</v>
      </c>
      <c r="BB12" s="944">
        <v>1078.2</v>
      </c>
      <c r="BD12" s="1030"/>
      <c r="BE12" s="1025"/>
      <c r="BF12" s="1031"/>
      <c r="BG12" s="1032"/>
      <c r="BH12" s="1033"/>
      <c r="BI12" s="1033"/>
    </row>
    <row r="13" spans="1:481" ht="20.149999999999999" customHeight="1">
      <c r="A13" s="70" t="s">
        <v>326</v>
      </c>
      <c r="B13" s="673" t="s">
        <v>327</v>
      </c>
      <c r="C13" s="68">
        <v>-7.2490000000000006</v>
      </c>
      <c r="D13" s="68">
        <v>-7.3810000000000002</v>
      </c>
      <c r="E13" s="68">
        <v>1.093</v>
      </c>
      <c r="F13" s="68">
        <v>16.173000000000002</v>
      </c>
      <c r="G13" s="656">
        <v>11.273</v>
      </c>
      <c r="H13" s="68">
        <v>4.4740000000000002</v>
      </c>
      <c r="I13" s="68">
        <v>5.9119999999999999</v>
      </c>
      <c r="J13" s="657">
        <v>14.839</v>
      </c>
      <c r="K13" s="68">
        <v>-16.302</v>
      </c>
      <c r="L13" s="68">
        <v>-41.8</v>
      </c>
      <c r="M13" s="68">
        <v>-14.7</v>
      </c>
      <c r="N13" s="68">
        <v>0.5</v>
      </c>
      <c r="O13" s="656">
        <v>48.6</v>
      </c>
      <c r="P13" s="68">
        <v>45.6</v>
      </c>
      <c r="Q13" s="68">
        <v>43.3</v>
      </c>
      <c r="R13" s="657">
        <v>26.4</v>
      </c>
      <c r="S13" s="68">
        <v>21.5</v>
      </c>
      <c r="T13" s="68">
        <v>11.7</v>
      </c>
      <c r="U13" s="68">
        <v>0.7</v>
      </c>
      <c r="V13" s="68">
        <v>3</v>
      </c>
      <c r="W13" s="656">
        <v>41.5</v>
      </c>
      <c r="X13" s="68">
        <v>-0.3</v>
      </c>
      <c r="Y13" s="68">
        <v>-16.899999999999999</v>
      </c>
      <c r="Z13" s="657">
        <v>-5</v>
      </c>
      <c r="AA13" s="68">
        <v>7.7</v>
      </c>
      <c r="AB13" s="68">
        <v>-45.1</v>
      </c>
      <c r="AC13" s="68">
        <v>-70.8</v>
      </c>
      <c r="AD13" s="68">
        <v>-77.2</v>
      </c>
      <c r="AE13" s="656">
        <v>60.3</v>
      </c>
      <c r="AF13" s="68">
        <v>51.4</v>
      </c>
      <c r="AG13" s="68">
        <v>36.299999999999997</v>
      </c>
      <c r="AH13" s="657">
        <v>89.1</v>
      </c>
      <c r="AI13" s="68">
        <v>60.3</v>
      </c>
      <c r="AJ13" s="68">
        <v>51.4</v>
      </c>
      <c r="AK13" s="68">
        <v>36.299999999999997</v>
      </c>
      <c r="AL13" s="68">
        <v>89.1</v>
      </c>
      <c r="AM13" s="656">
        <v>-85.7</v>
      </c>
      <c r="AN13" s="68">
        <v>-190.2</v>
      </c>
      <c r="AO13" s="68">
        <v>-96.4</v>
      </c>
      <c r="AP13" s="657">
        <v>13.2</v>
      </c>
      <c r="AQ13" s="68">
        <v>-5.4</v>
      </c>
      <c r="AR13" s="68">
        <v>-139.6</v>
      </c>
      <c r="AS13" s="68">
        <v>-215.3</v>
      </c>
      <c r="AT13" s="657">
        <v>-295.39999999999998</v>
      </c>
      <c r="AU13" s="68">
        <v>-1.8</v>
      </c>
      <c r="AV13" s="260">
        <v>-113.6</v>
      </c>
      <c r="AW13" s="260">
        <v>-66.900000000000006</v>
      </c>
      <c r="AX13" s="657">
        <v>-82.5</v>
      </c>
      <c r="AY13" s="68">
        <v>-109.8</v>
      </c>
      <c r="AZ13" s="68">
        <v>-107.4</v>
      </c>
      <c r="BA13" s="68">
        <v>-50.3</v>
      </c>
      <c r="BB13" s="944">
        <v>150.1</v>
      </c>
      <c r="BD13" s="1034"/>
      <c r="BE13" s="1025"/>
      <c r="BF13" s="1035"/>
      <c r="BG13" s="1032"/>
      <c r="BH13" s="1033"/>
      <c r="BI13" s="1033"/>
    </row>
    <row r="14" spans="1:481" ht="20.149999999999999" customHeight="1">
      <c r="A14" s="70" t="s">
        <v>328</v>
      </c>
      <c r="B14" s="673" t="s">
        <v>329</v>
      </c>
      <c r="C14" s="68">
        <v>-48.496000000000002</v>
      </c>
      <c r="D14" s="68">
        <v>-85.073000000000008</v>
      </c>
      <c r="E14" s="68">
        <v>-90.59</v>
      </c>
      <c r="F14" s="68">
        <v>-106.816</v>
      </c>
      <c r="G14" s="656">
        <v>-18.654</v>
      </c>
      <c r="H14" s="68">
        <v>-16.358000000000001</v>
      </c>
      <c r="I14" s="68">
        <v>16.681000000000001</v>
      </c>
      <c r="J14" s="657">
        <v>60.908000000000001</v>
      </c>
      <c r="K14" s="68">
        <v>-5.1610000000000005</v>
      </c>
      <c r="L14" s="68">
        <v>-29.2</v>
      </c>
      <c r="M14" s="68">
        <v>-87.6</v>
      </c>
      <c r="N14" s="68">
        <v>-191.9</v>
      </c>
      <c r="O14" s="656">
        <v>-211.8</v>
      </c>
      <c r="P14" s="68">
        <v>-581.20000000000005</v>
      </c>
      <c r="Q14" s="68">
        <v>-349.3</v>
      </c>
      <c r="R14" s="657">
        <v>-478.2</v>
      </c>
      <c r="S14" s="68">
        <v>-33.9</v>
      </c>
      <c r="T14" s="68">
        <v>-105.3</v>
      </c>
      <c r="U14" s="68">
        <v>-164.6</v>
      </c>
      <c r="V14" s="68">
        <v>-329.9</v>
      </c>
      <c r="W14" s="656">
        <v>21.5</v>
      </c>
      <c r="X14" s="68">
        <v>-112.7</v>
      </c>
      <c r="Y14" s="68">
        <v>-224.5</v>
      </c>
      <c r="Z14" s="657">
        <v>-470.8</v>
      </c>
      <c r="AA14" s="68">
        <v>38.1</v>
      </c>
      <c r="AB14" s="68">
        <v>-516.5</v>
      </c>
      <c r="AC14" s="68">
        <v>-266.89999999999998</v>
      </c>
      <c r="AD14" s="68">
        <v>-289.10000000000002</v>
      </c>
      <c r="AE14" s="656">
        <v>155.9</v>
      </c>
      <c r="AF14" s="68">
        <v>8.1</v>
      </c>
      <c r="AG14" s="68">
        <v>-51.3</v>
      </c>
      <c r="AH14" s="657">
        <v>-312.5</v>
      </c>
      <c r="AI14" s="68">
        <v>158.4</v>
      </c>
      <c r="AJ14" s="68">
        <v>12.4</v>
      </c>
      <c r="AK14" s="68">
        <v>-48.3</v>
      </c>
      <c r="AL14" s="68">
        <v>-311.8</v>
      </c>
      <c r="AM14" s="656">
        <v>185.1</v>
      </c>
      <c r="AN14" s="68">
        <v>293.7</v>
      </c>
      <c r="AO14" s="68">
        <v>194.2</v>
      </c>
      <c r="AP14" s="657">
        <v>119.3</v>
      </c>
      <c r="AQ14" s="68">
        <v>-48.2</v>
      </c>
      <c r="AR14" s="68">
        <v>3.7</v>
      </c>
      <c r="AS14" s="68">
        <v>76.099999999999994</v>
      </c>
      <c r="AT14" s="657">
        <v>-25.7</v>
      </c>
      <c r="AU14" s="68">
        <v>41.7</v>
      </c>
      <c r="AV14" s="260">
        <v>-113.2</v>
      </c>
      <c r="AW14" s="260">
        <v>174.4</v>
      </c>
      <c r="AX14" s="657">
        <v>-0.9</v>
      </c>
      <c r="AY14" s="68">
        <v>132.5</v>
      </c>
      <c r="AZ14" s="68">
        <v>138.30000000000001</v>
      </c>
      <c r="BA14" s="68">
        <v>-246.2</v>
      </c>
      <c r="BB14" s="944">
        <v>-32.1</v>
      </c>
      <c r="BD14" s="1034"/>
      <c r="BE14" s="1025"/>
      <c r="BF14" s="1031"/>
      <c r="BG14" s="1032"/>
      <c r="BH14" s="1033"/>
      <c r="BI14" s="1033"/>
    </row>
    <row r="15" spans="1:481" ht="20.149999999999999" customHeight="1">
      <c r="A15" s="195" t="s">
        <v>330</v>
      </c>
      <c r="B15" s="674" t="s">
        <v>331</v>
      </c>
      <c r="C15" s="68">
        <v>53.564</v>
      </c>
      <c r="D15" s="68">
        <v>51.881</v>
      </c>
      <c r="E15" s="68">
        <v>66.406999999999996</v>
      </c>
      <c r="F15" s="68">
        <v>67.872</v>
      </c>
      <c r="G15" s="656">
        <v>-36.840000000000003</v>
      </c>
      <c r="H15" s="68">
        <v>-56.231999999999999</v>
      </c>
      <c r="I15" s="68">
        <v>-85.896000000000001</v>
      </c>
      <c r="J15" s="657">
        <v>-104.93900000000001</v>
      </c>
      <c r="K15" s="68">
        <v>31.469000000000001</v>
      </c>
      <c r="L15" s="68">
        <v>-73.8</v>
      </c>
      <c r="M15" s="68">
        <v>-175.9</v>
      </c>
      <c r="N15" s="68">
        <v>-277.7</v>
      </c>
      <c r="O15" s="656">
        <v>-216.1</v>
      </c>
      <c r="P15" s="68">
        <v>69.3</v>
      </c>
      <c r="Q15" s="68">
        <v>-184.3</v>
      </c>
      <c r="R15" s="657">
        <v>-118</v>
      </c>
      <c r="S15" s="68">
        <v>-205.9</v>
      </c>
      <c r="T15" s="68">
        <v>-106.7</v>
      </c>
      <c r="U15" s="68">
        <v>-141.30000000000001</v>
      </c>
      <c r="V15" s="68">
        <v>-33.299999999999997</v>
      </c>
      <c r="W15" s="656">
        <v>-181.5</v>
      </c>
      <c r="X15" s="68">
        <v>-112.9</v>
      </c>
      <c r="Y15" s="68">
        <v>-90.1</v>
      </c>
      <c r="Z15" s="657">
        <v>183.1</v>
      </c>
      <c r="AA15" s="68">
        <v>-259.2</v>
      </c>
      <c r="AB15" s="68">
        <v>125.8</v>
      </c>
      <c r="AC15" s="68">
        <v>88</v>
      </c>
      <c r="AD15" s="68">
        <v>-44.2</v>
      </c>
      <c r="AE15" s="656">
        <v>-379.7</v>
      </c>
      <c r="AF15" s="68">
        <v>-183.1</v>
      </c>
      <c r="AG15" s="68">
        <v>-163.69999999999999</v>
      </c>
      <c r="AH15" s="657">
        <v>64.8</v>
      </c>
      <c r="AI15" s="68">
        <v>-439.5</v>
      </c>
      <c r="AJ15" s="68">
        <v>-264.7</v>
      </c>
      <c r="AK15" s="68">
        <v>-266.8</v>
      </c>
      <c r="AL15" s="68">
        <v>-25.7</v>
      </c>
      <c r="AM15" s="656">
        <v>-138.9</v>
      </c>
      <c r="AN15" s="68">
        <v>-265.5</v>
      </c>
      <c r="AO15" s="68">
        <v>-408.2</v>
      </c>
      <c r="AP15" s="657">
        <v>-401.3</v>
      </c>
      <c r="AQ15" s="68">
        <v>-2.1</v>
      </c>
      <c r="AR15" s="68">
        <v>-78.3</v>
      </c>
      <c r="AS15" s="68">
        <v>-92</v>
      </c>
      <c r="AT15" s="657">
        <v>-55</v>
      </c>
      <c r="AU15" s="68">
        <v>-143.80000000000001</v>
      </c>
      <c r="AV15" s="260">
        <v>-49.7</v>
      </c>
      <c r="AW15" s="260">
        <v>-391.4</v>
      </c>
      <c r="AX15" s="657">
        <v>-218.6</v>
      </c>
      <c r="AY15" s="68">
        <v>-330.2</v>
      </c>
      <c r="AZ15" s="68">
        <v>-55.2</v>
      </c>
      <c r="BA15" s="68">
        <v>-122.4</v>
      </c>
      <c r="BB15" s="944">
        <v>-268.5</v>
      </c>
      <c r="BD15" s="1034"/>
      <c r="BE15" s="1025"/>
      <c r="BF15" s="1031"/>
      <c r="BG15" s="1032"/>
      <c r="BH15" s="1033"/>
      <c r="BI15" s="1033"/>
    </row>
    <row r="16" spans="1:481" ht="20.149999999999999" customHeight="1">
      <c r="A16" s="70" t="s">
        <v>332</v>
      </c>
      <c r="B16" s="673" t="s">
        <v>333</v>
      </c>
      <c r="C16" s="68"/>
      <c r="D16" s="68"/>
      <c r="E16" s="68"/>
      <c r="F16" s="68"/>
      <c r="G16" s="656"/>
      <c r="H16" s="68"/>
      <c r="I16" s="68"/>
      <c r="J16" s="657"/>
      <c r="K16" s="68"/>
      <c r="L16" s="68"/>
      <c r="M16" s="68"/>
      <c r="N16" s="68"/>
      <c r="O16" s="656"/>
      <c r="P16" s="68"/>
      <c r="Q16" s="68"/>
      <c r="R16" s="657"/>
      <c r="S16" s="68"/>
      <c r="T16" s="68"/>
      <c r="U16" s="68"/>
      <c r="V16" s="68"/>
      <c r="W16" s="656"/>
      <c r="X16" s="68"/>
      <c r="Y16" s="68"/>
      <c r="Z16" s="657"/>
      <c r="AA16" s="68">
        <v>29.6</v>
      </c>
      <c r="AB16" s="68">
        <v>48.1</v>
      </c>
      <c r="AC16" s="68">
        <v>55.2</v>
      </c>
      <c r="AD16" s="68">
        <v>47.8</v>
      </c>
      <c r="AE16" s="656">
        <v>-9.1999999999999993</v>
      </c>
      <c r="AF16" s="68">
        <v>-3.3</v>
      </c>
      <c r="AG16" s="68">
        <v>9.1999999999999993</v>
      </c>
      <c r="AH16" s="657">
        <v>9.6999999999999993</v>
      </c>
      <c r="AI16" s="68">
        <v>-9.1999999999999993</v>
      </c>
      <c r="AJ16" s="68">
        <v>-3.3</v>
      </c>
      <c r="AK16" s="68">
        <v>9.1999999999999993</v>
      </c>
      <c r="AL16" s="68">
        <v>9.6999999999999993</v>
      </c>
      <c r="AM16" s="656">
        <v>10.6</v>
      </c>
      <c r="AN16" s="68">
        <v>46.2</v>
      </c>
      <c r="AO16" s="68">
        <v>71.2</v>
      </c>
      <c r="AP16" s="657">
        <v>101</v>
      </c>
      <c r="AQ16" s="68">
        <v>32.1</v>
      </c>
      <c r="AR16" s="68">
        <v>61.5</v>
      </c>
      <c r="AS16" s="68">
        <v>99</v>
      </c>
      <c r="AT16" s="657">
        <v>119.7</v>
      </c>
      <c r="AU16" s="68">
        <v>24.2</v>
      </c>
      <c r="AV16" s="68">
        <v>43.9</v>
      </c>
      <c r="AW16" s="68">
        <v>56.5</v>
      </c>
      <c r="AX16" s="657">
        <v>55.1</v>
      </c>
      <c r="AY16" s="68">
        <v>-14.6</v>
      </c>
      <c r="AZ16" s="68">
        <v>-12.4</v>
      </c>
      <c r="BA16" s="68">
        <v>10.7</v>
      </c>
      <c r="BB16" s="944">
        <v>13.9</v>
      </c>
      <c r="BD16" s="1034"/>
      <c r="BE16" s="1025"/>
      <c r="BF16" s="1031"/>
      <c r="BG16" s="1032"/>
      <c r="BH16" s="1033"/>
      <c r="BI16" s="1033"/>
    </row>
    <row r="17" spans="1:61" ht="20.149999999999999" customHeight="1">
      <c r="A17" s="70" t="s">
        <v>774</v>
      </c>
      <c r="B17" s="673" t="s">
        <v>334</v>
      </c>
      <c r="C17" s="68"/>
      <c r="D17" s="68"/>
      <c r="E17" s="68"/>
      <c r="F17" s="68"/>
      <c r="G17" s="656"/>
      <c r="H17" s="68"/>
      <c r="I17" s="68"/>
      <c r="J17" s="657"/>
      <c r="K17" s="68"/>
      <c r="L17" s="68"/>
      <c r="M17" s="68"/>
      <c r="N17" s="68"/>
      <c r="O17" s="656"/>
      <c r="P17" s="68"/>
      <c r="Q17" s="68"/>
      <c r="R17" s="657"/>
      <c r="S17" s="68"/>
      <c r="T17" s="68"/>
      <c r="U17" s="68"/>
      <c r="V17" s="68"/>
      <c r="W17" s="656"/>
      <c r="X17" s="68"/>
      <c r="Y17" s="68"/>
      <c r="Z17" s="657"/>
      <c r="AA17" s="68">
        <v>-9.6</v>
      </c>
      <c r="AB17" s="68">
        <v>39.5</v>
      </c>
      <c r="AC17" s="68">
        <v>43.2</v>
      </c>
      <c r="AD17" s="68">
        <v>107.6</v>
      </c>
      <c r="AE17" s="656">
        <v>17.399999999999999</v>
      </c>
      <c r="AF17" s="68">
        <v>7</v>
      </c>
      <c r="AG17" s="68">
        <v>24.4</v>
      </c>
      <c r="AH17" s="657">
        <v>7.9</v>
      </c>
      <c r="AI17" s="68">
        <v>17.399999999999999</v>
      </c>
      <c r="AJ17" s="68">
        <v>7</v>
      </c>
      <c r="AK17" s="68">
        <v>24.4</v>
      </c>
      <c r="AL17" s="68">
        <v>7.9</v>
      </c>
      <c r="AM17" s="656">
        <v>12</v>
      </c>
      <c r="AN17" s="68">
        <v>-26.7</v>
      </c>
      <c r="AO17" s="68">
        <v>-41.4</v>
      </c>
      <c r="AP17" s="657">
        <v>-37.5</v>
      </c>
      <c r="AQ17" s="68">
        <v>-12.5</v>
      </c>
      <c r="AR17" s="68">
        <v>-28.9</v>
      </c>
      <c r="AS17" s="68">
        <v>-7.3</v>
      </c>
      <c r="AT17" s="657">
        <v>-30.6</v>
      </c>
      <c r="AU17" s="68">
        <v>-13.3</v>
      </c>
      <c r="AV17" s="68">
        <v>-28.1</v>
      </c>
      <c r="AW17" s="260">
        <v>-27.1</v>
      </c>
      <c r="AX17" s="657">
        <v>-48.1</v>
      </c>
      <c r="AY17" s="68">
        <v>22.1</v>
      </c>
      <c r="AZ17" s="68">
        <v>23.1</v>
      </c>
      <c r="BA17" s="68">
        <v>1.9</v>
      </c>
      <c r="BB17" s="944">
        <v>-38</v>
      </c>
      <c r="BD17" s="1034"/>
      <c r="BE17" s="1025"/>
      <c r="BF17" s="1031"/>
      <c r="BG17" s="1032"/>
      <c r="BH17" s="1033"/>
      <c r="BI17" s="1033"/>
    </row>
    <row r="18" spans="1:61" ht="26">
      <c r="A18" s="70" t="s">
        <v>335</v>
      </c>
      <c r="B18" s="673" t="s">
        <v>336</v>
      </c>
      <c r="C18" s="68">
        <v>-0.186</v>
      </c>
      <c r="D18" s="68">
        <v>4.0730000000000004</v>
      </c>
      <c r="E18" s="68">
        <v>0.502</v>
      </c>
      <c r="F18" s="68">
        <v>2.093</v>
      </c>
      <c r="G18" s="656">
        <v>-1.048</v>
      </c>
      <c r="H18" s="68">
        <v>2.4170000000000003</v>
      </c>
      <c r="I18" s="68">
        <v>-3.5390000000000001</v>
      </c>
      <c r="J18" s="657">
        <v>6.4770000000000003</v>
      </c>
      <c r="K18" s="68">
        <v>-13.309000000000001</v>
      </c>
      <c r="L18" s="68">
        <v>-1.5</v>
      </c>
      <c r="M18" s="68">
        <v>-17.399999999999999</v>
      </c>
      <c r="N18" s="68">
        <v>-4.9000000000000004</v>
      </c>
      <c r="O18" s="656">
        <v>-11.7</v>
      </c>
      <c r="P18" s="68">
        <v>-7.6</v>
      </c>
      <c r="Q18" s="68">
        <v>-17.7</v>
      </c>
      <c r="R18" s="657">
        <v>-3.9</v>
      </c>
      <c r="S18" s="68">
        <v>-11.1</v>
      </c>
      <c r="T18" s="68">
        <v>1</v>
      </c>
      <c r="U18" s="68">
        <v>-5.6</v>
      </c>
      <c r="V18" s="68">
        <v>-6.1</v>
      </c>
      <c r="W18" s="658" t="s">
        <v>276</v>
      </c>
      <c r="X18" s="68">
        <v>9.4</v>
      </c>
      <c r="Y18" s="68">
        <v>1.4</v>
      </c>
      <c r="Z18" s="657">
        <v>3.9</v>
      </c>
      <c r="AA18" s="92" t="s">
        <v>276</v>
      </c>
      <c r="AB18" s="92" t="s">
        <v>276</v>
      </c>
      <c r="AC18" s="92" t="s">
        <v>276</v>
      </c>
      <c r="AD18" s="92" t="s">
        <v>276</v>
      </c>
      <c r="AE18" s="658" t="s">
        <v>276</v>
      </c>
      <c r="AF18" s="92" t="s">
        <v>276</v>
      </c>
      <c r="AG18" s="92" t="s">
        <v>276</v>
      </c>
      <c r="AH18" s="659" t="s">
        <v>276</v>
      </c>
      <c r="AI18" s="92" t="s">
        <v>276</v>
      </c>
      <c r="AJ18" s="92" t="s">
        <v>276</v>
      </c>
      <c r="AK18" s="92" t="s">
        <v>276</v>
      </c>
      <c r="AL18" s="92" t="s">
        <v>276</v>
      </c>
      <c r="AM18" s="658" t="s">
        <v>276</v>
      </c>
      <c r="AN18" s="92" t="s">
        <v>276</v>
      </c>
      <c r="AO18" s="92" t="s">
        <v>276</v>
      </c>
      <c r="AP18" s="659" t="s">
        <v>276</v>
      </c>
      <c r="AQ18" s="92" t="s">
        <v>276</v>
      </c>
      <c r="AR18" s="92" t="s">
        <v>276</v>
      </c>
      <c r="AS18" s="92" t="s">
        <v>276</v>
      </c>
      <c r="AT18" s="659" t="s">
        <v>276</v>
      </c>
      <c r="AU18" s="92" t="s">
        <v>276</v>
      </c>
      <c r="AV18" s="92" t="s">
        <v>276</v>
      </c>
      <c r="AW18" s="92" t="s">
        <v>276</v>
      </c>
      <c r="AX18" s="659" t="s">
        <v>276</v>
      </c>
      <c r="AY18" s="92" t="s">
        <v>276</v>
      </c>
      <c r="AZ18" s="92" t="s">
        <v>276</v>
      </c>
      <c r="BA18" s="92" t="s">
        <v>276</v>
      </c>
      <c r="BB18" s="947" t="s">
        <v>276</v>
      </c>
      <c r="BD18" s="1034"/>
      <c r="BE18" s="1036"/>
      <c r="BF18" s="1035"/>
      <c r="BG18" s="1032"/>
      <c r="BH18" s="1033"/>
      <c r="BI18" s="1033"/>
    </row>
    <row r="19" spans="1:61" ht="20.149999999999999" customHeight="1">
      <c r="A19" s="70" t="s">
        <v>337</v>
      </c>
      <c r="B19" s="673" t="s">
        <v>338</v>
      </c>
      <c r="C19" s="68">
        <v>-9.7880000000000003</v>
      </c>
      <c r="D19" s="68">
        <v>-10.354000000000001</v>
      </c>
      <c r="E19" s="68">
        <v>-21.978000000000002</v>
      </c>
      <c r="F19" s="68">
        <v>-31.345000000000002</v>
      </c>
      <c r="G19" s="656">
        <v>3.66</v>
      </c>
      <c r="H19" s="68">
        <v>9.0690000000000008</v>
      </c>
      <c r="I19" s="68">
        <v>11.329000000000001</v>
      </c>
      <c r="J19" s="657">
        <v>14.404</v>
      </c>
      <c r="K19" s="68">
        <v>11.066000000000001</v>
      </c>
      <c r="L19" s="68">
        <v>11.1</v>
      </c>
      <c r="M19" s="68">
        <v>-0.2</v>
      </c>
      <c r="N19" s="68">
        <v>-3.9</v>
      </c>
      <c r="O19" s="656">
        <v>-0.6</v>
      </c>
      <c r="P19" s="68">
        <v>5.3</v>
      </c>
      <c r="Q19" s="68">
        <v>4.8</v>
      </c>
      <c r="R19" s="657">
        <v>6.6</v>
      </c>
      <c r="S19" s="68">
        <v>2.5</v>
      </c>
      <c r="T19" s="68">
        <v>4.7</v>
      </c>
      <c r="U19" s="68">
        <v>7.3</v>
      </c>
      <c r="V19" s="68">
        <v>9.8000000000000007</v>
      </c>
      <c r="W19" s="658" t="s">
        <v>276</v>
      </c>
      <c r="X19" s="92" t="s">
        <v>276</v>
      </c>
      <c r="Y19" s="92" t="s">
        <v>276</v>
      </c>
      <c r="Z19" s="659" t="s">
        <v>276</v>
      </c>
      <c r="AA19" s="92" t="s">
        <v>276</v>
      </c>
      <c r="AB19" s="92" t="s">
        <v>276</v>
      </c>
      <c r="AC19" s="92" t="s">
        <v>276</v>
      </c>
      <c r="AD19" s="92" t="s">
        <v>276</v>
      </c>
      <c r="AE19" s="658" t="s">
        <v>276</v>
      </c>
      <c r="AF19" s="92" t="s">
        <v>276</v>
      </c>
      <c r="AG19" s="92" t="s">
        <v>276</v>
      </c>
      <c r="AH19" s="659" t="s">
        <v>276</v>
      </c>
      <c r="AI19" s="92" t="s">
        <v>276</v>
      </c>
      <c r="AJ19" s="92" t="s">
        <v>276</v>
      </c>
      <c r="AK19" s="92" t="s">
        <v>276</v>
      </c>
      <c r="AL19" s="92" t="s">
        <v>276</v>
      </c>
      <c r="AM19" s="658" t="s">
        <v>276</v>
      </c>
      <c r="AN19" s="92" t="s">
        <v>276</v>
      </c>
      <c r="AO19" s="92" t="s">
        <v>276</v>
      </c>
      <c r="AP19" s="659" t="s">
        <v>276</v>
      </c>
      <c r="AQ19" s="92" t="s">
        <v>276</v>
      </c>
      <c r="AR19" s="92" t="s">
        <v>276</v>
      </c>
      <c r="AS19" s="92" t="s">
        <v>276</v>
      </c>
      <c r="AT19" s="659" t="s">
        <v>276</v>
      </c>
      <c r="AU19" s="92" t="s">
        <v>276</v>
      </c>
      <c r="AV19" s="68">
        <v>31.9</v>
      </c>
      <c r="AW19" s="92" t="s">
        <v>276</v>
      </c>
      <c r="AX19" s="659" t="s">
        <v>276</v>
      </c>
      <c r="AY19" s="92" t="s">
        <v>276</v>
      </c>
      <c r="AZ19" s="873">
        <v>-17.7</v>
      </c>
      <c r="BA19" s="873">
        <v>-30.1</v>
      </c>
      <c r="BB19" s="944">
        <v>-28.8</v>
      </c>
      <c r="BD19" s="1034"/>
      <c r="BE19" s="1025"/>
      <c r="BF19" s="1035"/>
      <c r="BG19" s="1032"/>
      <c r="BH19" s="1033"/>
      <c r="BI19" s="1033"/>
    </row>
    <row r="20" spans="1:61" ht="26">
      <c r="A20" s="70" t="s">
        <v>339</v>
      </c>
      <c r="B20" s="673" t="s">
        <v>340</v>
      </c>
      <c r="C20" s="68">
        <v>-0.73</v>
      </c>
      <c r="D20" s="68">
        <v>-1.5010000000000001</v>
      </c>
      <c r="E20" s="68">
        <v>-2.044</v>
      </c>
      <c r="F20" s="68">
        <v>-2.8970000000000002</v>
      </c>
      <c r="G20" s="656">
        <v>-0.76200000000000001</v>
      </c>
      <c r="H20" s="68">
        <v>-1.58</v>
      </c>
      <c r="I20" s="68">
        <v>-2.3290000000000002</v>
      </c>
      <c r="J20" s="657">
        <v>-2.9239999999999999</v>
      </c>
      <c r="K20" s="68">
        <v>-0.63300000000000001</v>
      </c>
      <c r="L20" s="68">
        <v>-1.3</v>
      </c>
      <c r="M20" s="68">
        <v>-2</v>
      </c>
      <c r="N20" s="68">
        <v>-2.6</v>
      </c>
      <c r="O20" s="656">
        <v>-0.5</v>
      </c>
      <c r="P20" s="68">
        <v>-1.4</v>
      </c>
      <c r="Q20" s="68">
        <v>-1.9</v>
      </c>
      <c r="R20" s="657">
        <v>-2.6</v>
      </c>
      <c r="S20" s="68">
        <v>-0.8</v>
      </c>
      <c r="T20" s="68">
        <v>0</v>
      </c>
      <c r="U20" s="68">
        <v>0</v>
      </c>
      <c r="V20" s="68">
        <v>0</v>
      </c>
      <c r="W20" s="658" t="s">
        <v>276</v>
      </c>
      <c r="X20" s="92" t="s">
        <v>276</v>
      </c>
      <c r="Y20" s="92" t="s">
        <v>276</v>
      </c>
      <c r="Z20" s="659" t="s">
        <v>276</v>
      </c>
      <c r="AA20" s="92" t="s">
        <v>276</v>
      </c>
      <c r="AB20" s="92" t="s">
        <v>276</v>
      </c>
      <c r="AC20" s="92" t="s">
        <v>276</v>
      </c>
      <c r="AD20" s="92" t="s">
        <v>276</v>
      </c>
      <c r="AE20" s="658" t="s">
        <v>276</v>
      </c>
      <c r="AF20" s="92" t="s">
        <v>276</v>
      </c>
      <c r="AG20" s="92" t="s">
        <v>276</v>
      </c>
      <c r="AH20" s="659" t="s">
        <v>276</v>
      </c>
      <c r="AI20" s="92" t="s">
        <v>276</v>
      </c>
      <c r="AJ20" s="92" t="s">
        <v>276</v>
      </c>
      <c r="AK20" s="92" t="s">
        <v>276</v>
      </c>
      <c r="AL20" s="92" t="s">
        <v>276</v>
      </c>
      <c r="AM20" s="658" t="s">
        <v>276</v>
      </c>
      <c r="AN20" s="92" t="s">
        <v>276</v>
      </c>
      <c r="AO20" s="92" t="s">
        <v>276</v>
      </c>
      <c r="AP20" s="659" t="s">
        <v>276</v>
      </c>
      <c r="AQ20" s="92" t="s">
        <v>276</v>
      </c>
      <c r="AR20" s="92" t="s">
        <v>276</v>
      </c>
      <c r="AS20" s="92" t="s">
        <v>276</v>
      </c>
      <c r="AT20" s="659" t="s">
        <v>276</v>
      </c>
      <c r="AU20" s="92" t="s">
        <v>276</v>
      </c>
      <c r="AV20" s="92" t="s">
        <v>276</v>
      </c>
      <c r="AW20" s="92" t="s">
        <v>276</v>
      </c>
      <c r="AX20" s="659" t="s">
        <v>276</v>
      </c>
      <c r="AY20" s="92" t="s">
        <v>276</v>
      </c>
      <c r="AZ20" s="92" t="s">
        <v>276</v>
      </c>
      <c r="BA20" s="92" t="s">
        <v>276</v>
      </c>
      <c r="BB20" s="947" t="s">
        <v>276</v>
      </c>
      <c r="BD20" s="1034"/>
      <c r="BE20" s="1025"/>
      <c r="BF20" s="1035"/>
      <c r="BG20" s="1032"/>
      <c r="BH20" s="1033"/>
      <c r="BI20" s="1033"/>
    </row>
    <row r="21" spans="1:61" ht="26">
      <c r="A21" s="195" t="s">
        <v>341</v>
      </c>
      <c r="B21" s="674" t="s">
        <v>342</v>
      </c>
      <c r="C21" s="68">
        <v>-0.73</v>
      </c>
      <c r="D21" s="68"/>
      <c r="E21" s="68"/>
      <c r="F21" s="68"/>
      <c r="G21" s="656"/>
      <c r="H21" s="68"/>
      <c r="I21" s="68"/>
      <c r="J21" s="657"/>
      <c r="K21" s="68"/>
      <c r="L21" s="68"/>
      <c r="M21" s="68"/>
      <c r="N21" s="68"/>
      <c r="O21" s="656"/>
      <c r="P21" s="68"/>
      <c r="Q21" s="68"/>
      <c r="R21" s="657"/>
      <c r="S21" s="68"/>
      <c r="T21" s="68"/>
      <c r="U21" s="68"/>
      <c r="V21" s="68">
        <v>0</v>
      </c>
      <c r="W21" s="658"/>
      <c r="X21" s="92"/>
      <c r="Y21" s="92"/>
      <c r="Z21" s="657">
        <v>-2.8</v>
      </c>
      <c r="AA21" s="68">
        <v>-5.2</v>
      </c>
      <c r="AB21" s="68">
        <v>-5.0999999999999996</v>
      </c>
      <c r="AC21" s="68">
        <v>-1.6</v>
      </c>
      <c r="AD21" s="68">
        <v>1.2</v>
      </c>
      <c r="AE21" s="656">
        <v>1.7</v>
      </c>
      <c r="AF21" s="68">
        <v>3.6</v>
      </c>
      <c r="AG21" s="68">
        <v>4.9000000000000004</v>
      </c>
      <c r="AH21" s="657">
        <v>6.5</v>
      </c>
      <c r="AI21" s="68">
        <v>1.7</v>
      </c>
      <c r="AJ21" s="68">
        <v>3.6</v>
      </c>
      <c r="AK21" s="68">
        <v>4.9000000000000004</v>
      </c>
      <c r="AL21" s="68">
        <v>6.5</v>
      </c>
      <c r="AM21" s="656">
        <v>-16.3</v>
      </c>
      <c r="AN21" s="68">
        <v>-34.1</v>
      </c>
      <c r="AO21" s="68">
        <v>-47.6</v>
      </c>
      <c r="AP21" s="657">
        <v>-2</v>
      </c>
      <c r="AQ21" s="68">
        <v>-16.5</v>
      </c>
      <c r="AR21" s="68">
        <v>-41.5</v>
      </c>
      <c r="AS21" s="68">
        <v>-64</v>
      </c>
      <c r="AT21" s="657">
        <v>-75.400000000000006</v>
      </c>
      <c r="AU21" s="68">
        <v>-14.7</v>
      </c>
      <c r="AV21" s="68">
        <v>-38.9</v>
      </c>
      <c r="AW21" s="68">
        <v>-62.7</v>
      </c>
      <c r="AX21" s="664">
        <v>-94.5</v>
      </c>
      <c r="AY21" s="68">
        <v>-20.3</v>
      </c>
      <c r="AZ21" s="68">
        <v>-10.4</v>
      </c>
      <c r="BA21" s="68">
        <v>-29.7</v>
      </c>
      <c r="BB21" s="944">
        <v>-29.7</v>
      </c>
      <c r="BD21" s="1034"/>
      <c r="BE21" s="1025"/>
      <c r="BF21" s="1035"/>
      <c r="BG21" s="1032"/>
      <c r="BH21" s="1033"/>
      <c r="BI21" s="1033"/>
    </row>
    <row r="22" spans="1:61" ht="20.149999999999999" customHeight="1">
      <c r="A22" s="70" t="s">
        <v>343</v>
      </c>
      <c r="B22" s="673" t="s">
        <v>344</v>
      </c>
      <c r="C22" s="68">
        <v>-87.786000000000001</v>
      </c>
      <c r="D22" s="68">
        <v>-51.798000000000002</v>
      </c>
      <c r="E22" s="68">
        <v>-102.06700000000001</v>
      </c>
      <c r="F22" s="68">
        <v>-111.07600000000001</v>
      </c>
      <c r="G22" s="656">
        <v>25.975999999999999</v>
      </c>
      <c r="H22" s="68">
        <v>77.412999999999997</v>
      </c>
      <c r="I22" s="68">
        <v>39.252000000000002</v>
      </c>
      <c r="J22" s="657">
        <v>16.294</v>
      </c>
      <c r="K22" s="68">
        <v>10.337</v>
      </c>
      <c r="L22" s="68">
        <v>8.8000000000000007</v>
      </c>
      <c r="M22" s="68">
        <v>164.9</v>
      </c>
      <c r="N22" s="68">
        <v>369.9</v>
      </c>
      <c r="O22" s="656">
        <v>37.1</v>
      </c>
      <c r="P22" s="68">
        <v>99.2</v>
      </c>
      <c r="Q22" s="68">
        <v>135.80000000000001</v>
      </c>
      <c r="R22" s="657">
        <v>222</v>
      </c>
      <c r="S22" s="68">
        <v>250.2</v>
      </c>
      <c r="T22" s="68">
        <v>276.10000000000002</v>
      </c>
      <c r="U22" s="68">
        <v>258.3</v>
      </c>
      <c r="V22" s="68">
        <v>270.89999999999998</v>
      </c>
      <c r="W22" s="656">
        <v>-28.4</v>
      </c>
      <c r="X22" s="68">
        <v>-27.4</v>
      </c>
      <c r="Y22" s="68">
        <v>-15.1</v>
      </c>
      <c r="Z22" s="657">
        <v>-31.1</v>
      </c>
      <c r="AA22" s="68">
        <v>4.5999999999999996</v>
      </c>
      <c r="AB22" s="68">
        <v>24.1</v>
      </c>
      <c r="AC22" s="68">
        <v>11.1</v>
      </c>
      <c r="AD22" s="68">
        <v>15.8</v>
      </c>
      <c r="AE22" s="656">
        <v>1.1000000000000001</v>
      </c>
      <c r="AF22" s="68">
        <v>-3.3</v>
      </c>
      <c r="AG22" s="68">
        <v>5.7</v>
      </c>
      <c r="AH22" s="657">
        <v>-2.2999999999999998</v>
      </c>
      <c r="AI22" s="68">
        <v>1.9</v>
      </c>
      <c r="AJ22" s="68">
        <v>-6.3</v>
      </c>
      <c r="AK22" s="68">
        <v>12.2</v>
      </c>
      <c r="AL22" s="68">
        <v>-4.8</v>
      </c>
      <c r="AM22" s="656">
        <v>41.2</v>
      </c>
      <c r="AN22" s="68">
        <v>29.4</v>
      </c>
      <c r="AO22" s="68">
        <v>35.9</v>
      </c>
      <c r="AP22" s="657">
        <v>45.8</v>
      </c>
      <c r="AQ22" s="68">
        <v>8.3000000000000007</v>
      </c>
      <c r="AR22" s="68">
        <v>-9.1</v>
      </c>
      <c r="AS22" s="68">
        <v>0.2</v>
      </c>
      <c r="AT22" s="657">
        <v>-1.9</v>
      </c>
      <c r="AU22" s="68">
        <v>2.6</v>
      </c>
      <c r="AV22" s="68">
        <v>6.9</v>
      </c>
      <c r="AW22" s="68">
        <v>18.600000000000001</v>
      </c>
      <c r="AX22" s="657">
        <v>14.6</v>
      </c>
      <c r="AY22" s="68">
        <v>0.1</v>
      </c>
      <c r="AZ22" s="68">
        <v>-19.7</v>
      </c>
      <c r="BA22" s="68">
        <v>43.3</v>
      </c>
      <c r="BB22" s="944">
        <v>-119.8</v>
      </c>
      <c r="BD22" s="1034"/>
      <c r="BE22" s="1025"/>
      <c r="BF22" s="1035"/>
      <c r="BG22" s="1056"/>
      <c r="BH22" s="1057"/>
      <c r="BI22" s="1057"/>
    </row>
    <row r="23" spans="1:61" ht="20.149999999999999" customHeight="1">
      <c r="A23" s="70" t="s">
        <v>345</v>
      </c>
      <c r="B23" s="673" t="s">
        <v>75</v>
      </c>
      <c r="C23" s="68">
        <v>41.158999999999999</v>
      </c>
      <c r="D23" s="68">
        <v>54.56</v>
      </c>
      <c r="E23" s="68">
        <v>80.768000000000001</v>
      </c>
      <c r="F23" s="68">
        <v>97.349000000000004</v>
      </c>
      <c r="G23" s="656">
        <v>14.031000000000001</v>
      </c>
      <c r="H23" s="68">
        <v>27.457000000000001</v>
      </c>
      <c r="I23" s="68">
        <v>51.835000000000001</v>
      </c>
      <c r="J23" s="657">
        <v>67.376000000000005</v>
      </c>
      <c r="K23" s="68">
        <v>14.384</v>
      </c>
      <c r="L23" s="68">
        <v>31.1</v>
      </c>
      <c r="M23" s="68">
        <v>32.200000000000003</v>
      </c>
      <c r="N23" s="68">
        <v>21.7</v>
      </c>
      <c r="O23" s="656">
        <v>26</v>
      </c>
      <c r="P23" s="68">
        <v>71.900000000000006</v>
      </c>
      <c r="Q23" s="68">
        <v>182.7</v>
      </c>
      <c r="R23" s="657">
        <v>169</v>
      </c>
      <c r="S23" s="68">
        <v>27.2</v>
      </c>
      <c r="T23" s="68">
        <v>48.4</v>
      </c>
      <c r="U23" s="68">
        <v>113.5</v>
      </c>
      <c r="V23" s="68">
        <v>12.4</v>
      </c>
      <c r="W23" s="656">
        <v>30.8</v>
      </c>
      <c r="X23" s="68">
        <v>138.4</v>
      </c>
      <c r="Y23" s="68">
        <v>192.6</v>
      </c>
      <c r="Z23" s="657">
        <v>389.8</v>
      </c>
      <c r="AA23" s="68">
        <v>72.5</v>
      </c>
      <c r="AB23" s="68">
        <v>171.8</v>
      </c>
      <c r="AC23" s="68">
        <v>247.8</v>
      </c>
      <c r="AD23" s="68">
        <v>490</v>
      </c>
      <c r="AE23" s="656">
        <v>78</v>
      </c>
      <c r="AF23" s="68">
        <v>164.9</v>
      </c>
      <c r="AG23" s="68">
        <v>236.9</v>
      </c>
      <c r="AH23" s="657">
        <v>355.8</v>
      </c>
      <c r="AI23" s="68">
        <v>77.3</v>
      </c>
      <c r="AJ23" s="68">
        <v>163.80000000000001</v>
      </c>
      <c r="AK23" s="68">
        <v>233.3</v>
      </c>
      <c r="AL23" s="68">
        <v>353</v>
      </c>
      <c r="AM23" s="656">
        <v>66.7</v>
      </c>
      <c r="AN23" s="68">
        <v>139</v>
      </c>
      <c r="AO23" s="68">
        <v>220.6</v>
      </c>
      <c r="AP23" s="657">
        <v>295.89999999999998</v>
      </c>
      <c r="AQ23" s="68">
        <v>108.1</v>
      </c>
      <c r="AR23" s="68">
        <v>222.4</v>
      </c>
      <c r="AS23" s="68">
        <v>1156.4000000000001</v>
      </c>
      <c r="AT23" s="657">
        <v>1251.5999999999999</v>
      </c>
      <c r="AU23" s="68">
        <v>52.3</v>
      </c>
      <c r="AV23" s="68">
        <v>94.6</v>
      </c>
      <c r="AW23" s="68">
        <v>160.80000000000001</v>
      </c>
      <c r="AX23" s="657">
        <v>209.2</v>
      </c>
      <c r="AY23" s="68">
        <v>13.1</v>
      </c>
      <c r="AZ23" s="68">
        <v>45.2</v>
      </c>
      <c r="BA23" s="68">
        <v>114.1</v>
      </c>
      <c r="BB23" s="944">
        <v>110.2</v>
      </c>
      <c r="BD23" s="1034"/>
      <c r="BE23" s="1025"/>
      <c r="BF23" s="1035"/>
      <c r="BG23" s="1056"/>
      <c r="BH23" s="1057"/>
      <c r="BI23" s="1057"/>
    </row>
    <row r="24" spans="1:61" ht="20.149999999999999" customHeight="1">
      <c r="A24" s="70" t="s">
        <v>346</v>
      </c>
      <c r="B24" s="674" t="s">
        <v>347</v>
      </c>
      <c r="C24" s="68">
        <v>-38.363</v>
      </c>
      <c r="D24" s="68">
        <v>-76.626000000000005</v>
      </c>
      <c r="E24" s="68">
        <v>-120.02500000000001</v>
      </c>
      <c r="F24" s="68">
        <v>-164.00800000000001</v>
      </c>
      <c r="G24" s="656">
        <v>-40.92</v>
      </c>
      <c r="H24" s="68">
        <v>-81.858999999999995</v>
      </c>
      <c r="I24" s="68">
        <v>-116.813</v>
      </c>
      <c r="J24" s="657">
        <v>-158.85900000000001</v>
      </c>
      <c r="K24" s="68">
        <v>-30.564</v>
      </c>
      <c r="L24" s="68">
        <v>-65.3</v>
      </c>
      <c r="M24" s="68">
        <v>-142.1</v>
      </c>
      <c r="N24" s="68">
        <v>-193.1</v>
      </c>
      <c r="O24" s="656">
        <v>-43.6</v>
      </c>
      <c r="P24" s="68">
        <v>-72.2</v>
      </c>
      <c r="Q24" s="68">
        <v>-96.7</v>
      </c>
      <c r="R24" s="657">
        <v>-134.69999999999999</v>
      </c>
      <c r="S24" s="68">
        <v>-31.1</v>
      </c>
      <c r="T24" s="68">
        <v>-71.2</v>
      </c>
      <c r="U24" s="68">
        <v>-111</v>
      </c>
      <c r="V24" s="68">
        <v>-153</v>
      </c>
      <c r="W24" s="656">
        <v>-33.1</v>
      </c>
      <c r="X24" s="68">
        <v>-65.599999999999994</v>
      </c>
      <c r="Y24" s="68">
        <v>-97.4</v>
      </c>
      <c r="Z24" s="657">
        <v>-137.5</v>
      </c>
      <c r="AA24" s="68">
        <v>-25.7</v>
      </c>
      <c r="AB24" s="68">
        <v>-42.9</v>
      </c>
      <c r="AC24" s="68">
        <v>-61.2</v>
      </c>
      <c r="AD24" s="68">
        <v>-83.9</v>
      </c>
      <c r="AE24" s="656">
        <v>-25.8</v>
      </c>
      <c r="AF24" s="68">
        <v>-48.8</v>
      </c>
      <c r="AG24" s="68">
        <v>-79.5</v>
      </c>
      <c r="AH24" s="657">
        <v>-122.8</v>
      </c>
      <c r="AI24" s="68">
        <v>-25.8</v>
      </c>
      <c r="AJ24" s="68">
        <v>-48.8</v>
      </c>
      <c r="AK24" s="68">
        <v>-79.5</v>
      </c>
      <c r="AL24" s="68">
        <v>-122.8</v>
      </c>
      <c r="AM24" s="656">
        <v>-33.1</v>
      </c>
      <c r="AN24" s="68">
        <v>-71</v>
      </c>
      <c r="AO24" s="68">
        <v>-112.2</v>
      </c>
      <c r="AP24" s="657">
        <v>-147.1</v>
      </c>
      <c r="AQ24" s="68">
        <v>-33.9</v>
      </c>
      <c r="AR24" s="68">
        <v>-55.5</v>
      </c>
      <c r="AS24" s="68">
        <v>-78.099999999999994</v>
      </c>
      <c r="AT24" s="657">
        <v>-110</v>
      </c>
      <c r="AU24" s="68">
        <v>-37.700000000000003</v>
      </c>
      <c r="AV24" s="68">
        <v>-66.400000000000006</v>
      </c>
      <c r="AW24" s="68">
        <v>-84.5</v>
      </c>
      <c r="AX24" s="657">
        <v>-113.1</v>
      </c>
      <c r="AY24" s="68">
        <v>-24.8</v>
      </c>
      <c r="AZ24" s="68">
        <v>-47.2</v>
      </c>
      <c r="BA24" s="68">
        <v>-89.5</v>
      </c>
      <c r="BB24" s="944">
        <v>-145.80000000000001</v>
      </c>
      <c r="BD24" s="1034"/>
      <c r="BE24" s="1025"/>
      <c r="BF24" s="1035"/>
      <c r="BG24" s="1032"/>
      <c r="BH24" s="1033"/>
      <c r="BI24" s="1033"/>
    </row>
    <row r="25" spans="1:61" ht="39">
      <c r="A25" s="70" t="s">
        <v>348</v>
      </c>
      <c r="B25" s="673" t="s">
        <v>349</v>
      </c>
      <c r="C25" s="69">
        <v>0</v>
      </c>
      <c r="D25" s="69">
        <v>0</v>
      </c>
      <c r="E25" s="69">
        <v>0</v>
      </c>
      <c r="F25" s="69">
        <v>0</v>
      </c>
      <c r="G25" s="677">
        <v>0</v>
      </c>
      <c r="H25" s="69">
        <v>0</v>
      </c>
      <c r="I25" s="69">
        <v>0</v>
      </c>
      <c r="J25" s="678">
        <v>0</v>
      </c>
      <c r="K25" s="69">
        <v>0</v>
      </c>
      <c r="L25" s="68">
        <v>82.1</v>
      </c>
      <c r="M25" s="68">
        <v>82.1</v>
      </c>
      <c r="N25" s="68">
        <v>82.1</v>
      </c>
      <c r="O25" s="656">
        <v>0</v>
      </c>
      <c r="P25" s="68">
        <v>0</v>
      </c>
      <c r="Q25" s="68">
        <v>-371.4</v>
      </c>
      <c r="R25" s="657">
        <v>-371.4</v>
      </c>
      <c r="S25" s="68">
        <v>0</v>
      </c>
      <c r="T25" s="68">
        <v>0</v>
      </c>
      <c r="U25" s="68">
        <v>0</v>
      </c>
      <c r="V25" s="68">
        <v>0</v>
      </c>
      <c r="W25" s="656">
        <v>0</v>
      </c>
      <c r="X25" s="68">
        <v>0</v>
      </c>
      <c r="Y25" s="68">
        <v>0</v>
      </c>
      <c r="Z25" s="657">
        <v>0</v>
      </c>
      <c r="AA25" s="68">
        <v>0</v>
      </c>
      <c r="AB25" s="68">
        <v>0</v>
      </c>
      <c r="AC25" s="68">
        <v>0</v>
      </c>
      <c r="AD25" s="68">
        <v>0</v>
      </c>
      <c r="AE25" s="656">
        <v>0</v>
      </c>
      <c r="AF25" s="68">
        <v>0</v>
      </c>
      <c r="AG25" s="68">
        <v>0</v>
      </c>
      <c r="AH25" s="657">
        <v>0</v>
      </c>
      <c r="AI25" s="68">
        <v>0</v>
      </c>
      <c r="AJ25" s="68">
        <v>0</v>
      </c>
      <c r="AK25" s="68">
        <v>0</v>
      </c>
      <c r="AL25" s="68">
        <v>0</v>
      </c>
      <c r="AM25" s="656">
        <v>0</v>
      </c>
      <c r="AN25" s="68">
        <v>0</v>
      </c>
      <c r="AO25" s="68">
        <v>0</v>
      </c>
      <c r="AP25" s="657">
        <v>0</v>
      </c>
      <c r="AQ25" s="68">
        <v>0</v>
      </c>
      <c r="AR25" s="68">
        <v>0</v>
      </c>
      <c r="AS25" s="68">
        <v>0</v>
      </c>
      <c r="AT25" s="657">
        <v>0</v>
      </c>
      <c r="AU25" s="68">
        <v>0</v>
      </c>
      <c r="AV25" s="68">
        <v>0</v>
      </c>
      <c r="AW25" s="68">
        <v>0</v>
      </c>
      <c r="AX25" s="657">
        <v>0</v>
      </c>
      <c r="AY25" s="68">
        <v>0</v>
      </c>
      <c r="AZ25" s="68"/>
      <c r="BA25" s="68"/>
      <c r="BB25" s="944"/>
      <c r="BD25" s="1034"/>
      <c r="BE25" s="1025"/>
      <c r="BF25" s="1035"/>
      <c r="BG25" s="1032"/>
      <c r="BH25" s="1033"/>
      <c r="BI25" s="1033"/>
    </row>
    <row r="26" spans="1:61" ht="20.149999999999999" customHeight="1">
      <c r="A26" s="70" t="s">
        <v>350</v>
      </c>
      <c r="B26" s="673" t="s">
        <v>351</v>
      </c>
      <c r="C26" s="69"/>
      <c r="D26" s="69"/>
      <c r="E26" s="69"/>
      <c r="F26" s="69"/>
      <c r="G26" s="677"/>
      <c r="H26" s="69"/>
      <c r="I26" s="69"/>
      <c r="J26" s="678"/>
      <c r="K26" s="69"/>
      <c r="L26" s="68"/>
      <c r="M26" s="68"/>
      <c r="N26" s="68"/>
      <c r="O26" s="656"/>
      <c r="P26" s="68"/>
      <c r="Q26" s="68"/>
      <c r="R26" s="657"/>
      <c r="S26" s="68"/>
      <c r="T26" s="68"/>
      <c r="U26" s="68"/>
      <c r="V26" s="68">
        <v>0</v>
      </c>
      <c r="W26" s="656">
        <v>58.7</v>
      </c>
      <c r="X26" s="68">
        <v>58.7</v>
      </c>
      <c r="Y26" s="68">
        <v>58.7</v>
      </c>
      <c r="Z26" s="657">
        <v>58.7</v>
      </c>
      <c r="AA26" s="68">
        <v>0</v>
      </c>
      <c r="AB26" s="68">
        <v>0</v>
      </c>
      <c r="AC26" s="259">
        <v>0</v>
      </c>
      <c r="AD26" s="68">
        <v>0</v>
      </c>
      <c r="AE26" s="656">
        <v>0</v>
      </c>
      <c r="AF26" s="68">
        <v>0</v>
      </c>
      <c r="AG26" s="259">
        <v>0</v>
      </c>
      <c r="AH26" s="657">
        <v>0</v>
      </c>
      <c r="AI26" s="68">
        <v>0</v>
      </c>
      <c r="AJ26" s="68">
        <v>0</v>
      </c>
      <c r="AK26" s="259">
        <v>0</v>
      </c>
      <c r="AL26" s="68">
        <v>0</v>
      </c>
      <c r="AM26" s="656">
        <v>0</v>
      </c>
      <c r="AN26" s="68">
        <v>0</v>
      </c>
      <c r="AO26" s="259">
        <v>0</v>
      </c>
      <c r="AP26" s="657">
        <v>0</v>
      </c>
      <c r="AQ26" s="68">
        <v>0</v>
      </c>
      <c r="AR26" s="68">
        <v>0</v>
      </c>
      <c r="AS26" s="259">
        <v>0</v>
      </c>
      <c r="AT26" s="657">
        <v>0</v>
      </c>
      <c r="AU26" s="68">
        <v>0</v>
      </c>
      <c r="AV26" s="68">
        <v>0</v>
      </c>
      <c r="AW26" s="259">
        <v>0</v>
      </c>
      <c r="AX26" s="657">
        <v>0</v>
      </c>
      <c r="AY26" s="68">
        <v>9.6999999999999993</v>
      </c>
      <c r="AZ26" s="541">
        <v>9.6999999999999993</v>
      </c>
      <c r="BA26" s="541">
        <v>10.1</v>
      </c>
      <c r="BB26" s="944">
        <v>10.1</v>
      </c>
      <c r="BD26" s="1034"/>
      <c r="BE26" s="1025"/>
      <c r="BF26" s="1035"/>
      <c r="BG26" s="1032"/>
      <c r="BH26" s="1033"/>
      <c r="BI26" s="1033"/>
    </row>
    <row r="27" spans="1:61" ht="26">
      <c r="A27" s="70" t="s">
        <v>352</v>
      </c>
      <c r="B27" s="673" t="s">
        <v>353</v>
      </c>
      <c r="C27" s="69"/>
      <c r="D27" s="69"/>
      <c r="E27" s="69"/>
      <c r="F27" s="69"/>
      <c r="G27" s="677"/>
      <c r="H27" s="69"/>
      <c r="I27" s="69"/>
      <c r="J27" s="678"/>
      <c r="K27" s="69"/>
      <c r="L27" s="68"/>
      <c r="M27" s="68"/>
      <c r="N27" s="68"/>
      <c r="O27" s="656"/>
      <c r="P27" s="68"/>
      <c r="Q27" s="68"/>
      <c r="R27" s="657"/>
      <c r="S27" s="68"/>
      <c r="T27" s="68"/>
      <c r="U27" s="68"/>
      <c r="V27" s="68"/>
      <c r="W27" s="656"/>
      <c r="X27" s="68"/>
      <c r="Y27" s="68"/>
      <c r="Z27" s="657"/>
      <c r="AA27" s="68"/>
      <c r="AB27" s="68"/>
      <c r="AC27" s="259"/>
      <c r="AD27" s="68"/>
      <c r="AE27" s="656"/>
      <c r="AF27" s="68"/>
      <c r="AG27" s="259"/>
      <c r="AH27" s="657"/>
      <c r="AI27" s="68"/>
      <c r="AJ27" s="68"/>
      <c r="AK27" s="259"/>
      <c r="AL27" s="68"/>
      <c r="AM27" s="656"/>
      <c r="AN27" s="68"/>
      <c r="AO27" s="259"/>
      <c r="AP27" s="657"/>
      <c r="AQ27" s="68"/>
      <c r="AR27" s="68"/>
      <c r="AS27" s="259"/>
      <c r="AT27" s="657"/>
      <c r="AU27" s="68"/>
      <c r="AV27" s="68"/>
      <c r="AW27" s="259"/>
      <c r="AX27" s="657"/>
      <c r="AY27" s="68">
        <v>-19.2</v>
      </c>
      <c r="AZ27" s="68">
        <v>-19.2</v>
      </c>
      <c r="BA27" s="68">
        <v>-20.8</v>
      </c>
      <c r="BB27" s="944">
        <v>-20.8</v>
      </c>
      <c r="BD27" s="1034"/>
      <c r="BE27" s="1025"/>
      <c r="BF27" s="1031"/>
      <c r="BG27" s="1032"/>
      <c r="BH27" s="1033"/>
      <c r="BI27" s="1033"/>
    </row>
    <row r="28" spans="1:61" ht="20.149999999999999" customHeight="1">
      <c r="A28" s="70" t="s">
        <v>354</v>
      </c>
      <c r="B28" s="673" t="s">
        <v>355</v>
      </c>
      <c r="C28" s="69">
        <v>0</v>
      </c>
      <c r="D28" s="69">
        <v>0</v>
      </c>
      <c r="E28" s="69">
        <v>0</v>
      </c>
      <c r="F28" s="69">
        <v>0</v>
      </c>
      <c r="G28" s="677">
        <v>0</v>
      </c>
      <c r="H28" s="69">
        <v>0</v>
      </c>
      <c r="I28" s="69">
        <v>0</v>
      </c>
      <c r="J28" s="678">
        <v>0</v>
      </c>
      <c r="K28" s="69">
        <v>0</v>
      </c>
      <c r="L28" s="68">
        <v>16.5</v>
      </c>
      <c r="M28" s="68">
        <v>55.4</v>
      </c>
      <c r="N28" s="68">
        <v>84.3</v>
      </c>
      <c r="O28" s="656">
        <v>10.6</v>
      </c>
      <c r="P28" s="68">
        <v>33.9</v>
      </c>
      <c r="Q28" s="68">
        <v>37.6</v>
      </c>
      <c r="R28" s="657">
        <v>53</v>
      </c>
      <c r="S28" s="68">
        <v>-174.6</v>
      </c>
      <c r="T28" s="68">
        <v>-160.19999999999999</v>
      </c>
      <c r="U28" s="68">
        <v>-161.9</v>
      </c>
      <c r="V28" s="68">
        <v>-164.9</v>
      </c>
      <c r="W28" s="656">
        <v>-0.1</v>
      </c>
      <c r="X28" s="68">
        <v>0.9</v>
      </c>
      <c r="Y28" s="68">
        <v>-1.3</v>
      </c>
      <c r="Z28" s="657">
        <v>-1.5</v>
      </c>
      <c r="AA28" s="92" t="s">
        <v>276</v>
      </c>
      <c r="AB28" s="92" t="s">
        <v>276</v>
      </c>
      <c r="AC28" s="92" t="s">
        <v>276</v>
      </c>
      <c r="AD28" s="92" t="s">
        <v>276</v>
      </c>
      <c r="AE28" s="658" t="s">
        <v>276</v>
      </c>
      <c r="AF28" s="92" t="s">
        <v>276</v>
      </c>
      <c r="AG28" s="92" t="s">
        <v>276</v>
      </c>
      <c r="AH28" s="659" t="s">
        <v>276</v>
      </c>
      <c r="AI28" s="92" t="s">
        <v>276</v>
      </c>
      <c r="AJ28" s="92" t="s">
        <v>276</v>
      </c>
      <c r="AK28" s="92" t="s">
        <v>276</v>
      </c>
      <c r="AL28" s="92" t="s">
        <v>276</v>
      </c>
      <c r="AM28" s="658" t="s">
        <v>276</v>
      </c>
      <c r="AN28" s="92" t="s">
        <v>276</v>
      </c>
      <c r="AO28" s="92" t="s">
        <v>276</v>
      </c>
      <c r="AP28" s="659" t="s">
        <v>276</v>
      </c>
      <c r="AQ28" s="92" t="s">
        <v>276</v>
      </c>
      <c r="AR28" s="92" t="s">
        <v>276</v>
      </c>
      <c r="AS28" s="92" t="s">
        <v>276</v>
      </c>
      <c r="AT28" s="659" t="s">
        <v>276</v>
      </c>
      <c r="AU28" s="92" t="s">
        <v>276</v>
      </c>
      <c r="AV28" s="68">
        <v>-27.5</v>
      </c>
      <c r="AW28" s="92" t="s">
        <v>276</v>
      </c>
      <c r="AX28" s="659" t="s">
        <v>276</v>
      </c>
      <c r="AY28" s="92" t="s">
        <v>276</v>
      </c>
      <c r="AZ28" s="68">
        <v>-58.2</v>
      </c>
      <c r="BA28" s="68">
        <v>-38.4</v>
      </c>
      <c r="BB28" s="944">
        <v>6.7</v>
      </c>
      <c r="BD28" s="1033"/>
      <c r="BE28" s="1025"/>
      <c r="BF28" s="1025"/>
      <c r="BG28" s="1025"/>
      <c r="BH28" s="1025"/>
      <c r="BI28" s="1025"/>
    </row>
    <row r="29" spans="1:61" ht="26">
      <c r="A29" s="70" t="s">
        <v>356</v>
      </c>
      <c r="B29" s="673" t="s">
        <v>59</v>
      </c>
      <c r="C29" s="69"/>
      <c r="D29" s="69"/>
      <c r="E29" s="69"/>
      <c r="F29" s="69"/>
      <c r="G29" s="677"/>
      <c r="H29" s="69"/>
      <c r="I29" s="69"/>
      <c r="J29" s="678"/>
      <c r="K29" s="69"/>
      <c r="L29" s="68"/>
      <c r="M29" s="68"/>
      <c r="N29" s="68"/>
      <c r="O29" s="656"/>
      <c r="P29" s="68"/>
      <c r="Q29" s="68"/>
      <c r="R29" s="657"/>
      <c r="S29" s="68"/>
      <c r="T29" s="68"/>
      <c r="U29" s="68"/>
      <c r="V29" s="68"/>
      <c r="W29" s="656"/>
      <c r="X29" s="68"/>
      <c r="Y29" s="68"/>
      <c r="Z29" s="657"/>
      <c r="AA29" s="92"/>
      <c r="AB29" s="92"/>
      <c r="AC29" s="92"/>
      <c r="AD29" s="92"/>
      <c r="AE29" s="658"/>
      <c r="AF29" s="92"/>
      <c r="AG29" s="92"/>
      <c r="AH29" s="659"/>
      <c r="AI29" s="92"/>
      <c r="AJ29" s="92"/>
      <c r="AK29" s="92"/>
      <c r="AL29" s="92"/>
      <c r="AM29" s="658"/>
      <c r="AN29" s="92"/>
      <c r="AO29" s="92"/>
      <c r="AP29" s="659"/>
      <c r="AQ29" s="92"/>
      <c r="AR29" s="92"/>
      <c r="AS29" s="68">
        <v>-3690.8</v>
      </c>
      <c r="AT29" s="657">
        <v>-3680.6</v>
      </c>
      <c r="AU29" s="92">
        <v>0</v>
      </c>
      <c r="AV29" s="92">
        <v>0</v>
      </c>
      <c r="AW29" s="68">
        <v>-113.4</v>
      </c>
      <c r="AX29" s="657">
        <v>-153.19999999999999</v>
      </c>
      <c r="AY29" s="68">
        <v>0</v>
      </c>
      <c r="AZ29" s="92"/>
      <c r="BA29" s="68">
        <v>-220.1</v>
      </c>
      <c r="BB29" s="944">
        <v>-219.7</v>
      </c>
      <c r="BD29" s="1033"/>
      <c r="BE29" s="1025"/>
      <c r="BF29" s="1025"/>
      <c r="BG29" s="1025"/>
      <c r="BH29" s="1025"/>
      <c r="BI29" s="1025"/>
    </row>
    <row r="30" spans="1:61" ht="26">
      <c r="A30" s="70" t="s">
        <v>357</v>
      </c>
      <c r="B30" s="673" t="s">
        <v>358</v>
      </c>
      <c r="C30" s="69"/>
      <c r="D30" s="69"/>
      <c r="E30" s="69"/>
      <c r="F30" s="69"/>
      <c r="G30" s="677"/>
      <c r="H30" s="69"/>
      <c r="I30" s="69"/>
      <c r="J30" s="678"/>
      <c r="K30" s="69"/>
      <c r="L30" s="68"/>
      <c r="M30" s="68"/>
      <c r="N30" s="68"/>
      <c r="O30" s="656"/>
      <c r="P30" s="68"/>
      <c r="Q30" s="68"/>
      <c r="R30" s="657"/>
      <c r="S30" s="68"/>
      <c r="T30" s="68"/>
      <c r="U30" s="68"/>
      <c r="V30" s="68"/>
      <c r="W30" s="656"/>
      <c r="X30" s="68"/>
      <c r="Y30" s="68"/>
      <c r="Z30" s="657"/>
      <c r="AA30" s="92"/>
      <c r="AB30" s="92"/>
      <c r="AC30" s="92"/>
      <c r="AD30" s="92"/>
      <c r="AE30" s="658"/>
      <c r="AF30" s="92"/>
      <c r="AG30" s="92"/>
      <c r="AH30" s="659"/>
      <c r="AI30" s="92"/>
      <c r="AJ30" s="92"/>
      <c r="AK30" s="92"/>
      <c r="AL30" s="92"/>
      <c r="AM30" s="658">
        <v>0</v>
      </c>
      <c r="AN30" s="68">
        <v>-44.8</v>
      </c>
      <c r="AO30" s="68">
        <v>-44.8</v>
      </c>
      <c r="AP30" s="660">
        <v>-44.8</v>
      </c>
      <c r="AQ30" s="92">
        <v>0</v>
      </c>
      <c r="AR30" s="68">
        <v>0</v>
      </c>
      <c r="AS30" s="68">
        <v>0</v>
      </c>
      <c r="AT30" s="660">
        <v>0</v>
      </c>
      <c r="AU30" s="92">
        <v>0</v>
      </c>
      <c r="AV30" s="68">
        <v>0</v>
      </c>
      <c r="AW30" s="68">
        <v>0</v>
      </c>
      <c r="AX30" s="660">
        <v>0</v>
      </c>
      <c r="AY30" s="92">
        <v>0</v>
      </c>
      <c r="AZ30" s="68"/>
      <c r="BA30" s="68"/>
      <c r="BB30" s="948"/>
      <c r="BD30" s="1025"/>
      <c r="BE30" s="1025"/>
      <c r="BF30" s="1025"/>
      <c r="BG30" s="1025"/>
      <c r="BH30" s="1025"/>
      <c r="BI30" s="1025"/>
    </row>
    <row r="31" spans="1:61" s="949" customFormat="1" ht="14.5">
      <c r="A31" s="938" t="s">
        <v>730</v>
      </c>
      <c r="B31" s="939"/>
      <c r="C31" s="940"/>
      <c r="D31" s="940"/>
      <c r="E31" s="940"/>
      <c r="F31" s="940"/>
      <c r="G31" s="941"/>
      <c r="H31" s="940"/>
      <c r="I31" s="940"/>
      <c r="J31" s="942"/>
      <c r="K31" s="940"/>
      <c r="L31" s="873"/>
      <c r="M31" s="873"/>
      <c r="N31" s="873"/>
      <c r="O31" s="943"/>
      <c r="P31" s="873"/>
      <c r="Q31" s="873"/>
      <c r="R31" s="944"/>
      <c r="S31" s="873"/>
      <c r="T31" s="873"/>
      <c r="U31" s="873"/>
      <c r="V31" s="873"/>
      <c r="W31" s="943"/>
      <c r="X31" s="873"/>
      <c r="Y31" s="873"/>
      <c r="Z31" s="944"/>
      <c r="AA31" s="945"/>
      <c r="AB31" s="945"/>
      <c r="AC31" s="945"/>
      <c r="AD31" s="945"/>
      <c r="AE31" s="946"/>
      <c r="AF31" s="945"/>
      <c r="AG31" s="945"/>
      <c r="AH31" s="947"/>
      <c r="AI31" s="945"/>
      <c r="AJ31" s="945"/>
      <c r="AK31" s="945"/>
      <c r="AL31" s="945"/>
      <c r="AM31" s="946"/>
      <c r="AN31" s="873"/>
      <c r="AO31" s="873"/>
      <c r="AP31" s="948"/>
      <c r="AQ31" s="945"/>
      <c r="AR31" s="873"/>
      <c r="AS31" s="873"/>
      <c r="AT31" s="948"/>
      <c r="AU31" s="945"/>
      <c r="AV31" s="873"/>
      <c r="AW31" s="873"/>
      <c r="AX31" s="948"/>
      <c r="AY31" s="945"/>
      <c r="AZ31" s="873">
        <v>20.8</v>
      </c>
      <c r="BA31" s="873">
        <v>20.8</v>
      </c>
      <c r="BB31" s="944">
        <v>20.8</v>
      </c>
      <c r="BD31" s="1025"/>
      <c r="BE31" s="1025"/>
      <c r="BF31" s="1025"/>
      <c r="BG31" s="1025"/>
      <c r="BH31" s="1025"/>
      <c r="BI31" s="1025"/>
    </row>
    <row r="32" spans="1:61" ht="20.149999999999999" customHeight="1" thickBot="1">
      <c r="A32" s="70" t="s">
        <v>359</v>
      </c>
      <c r="B32" s="673" t="s">
        <v>360</v>
      </c>
      <c r="C32" s="68">
        <v>0.245</v>
      </c>
      <c r="D32" s="68">
        <v>0.78500000000000003</v>
      </c>
      <c r="E32" s="68">
        <v>1.31</v>
      </c>
      <c r="F32" s="68">
        <v>3.5380000000000003</v>
      </c>
      <c r="G32" s="656">
        <v>1.484</v>
      </c>
      <c r="H32" s="68">
        <f>4.197+4.842</f>
        <v>9.0389999999999997</v>
      </c>
      <c r="I32" s="68">
        <f>5.852+4.842</f>
        <v>10.693999999999999</v>
      </c>
      <c r="J32" s="657">
        <v>11.93</v>
      </c>
      <c r="K32" s="68">
        <v>1.7790000000000001</v>
      </c>
      <c r="L32" s="68">
        <v>10.8</v>
      </c>
      <c r="M32" s="68">
        <v>11.7</v>
      </c>
      <c r="N32" s="68">
        <v>96.1</v>
      </c>
      <c r="O32" s="656">
        <v>-3</v>
      </c>
      <c r="P32" s="68">
        <v>9</v>
      </c>
      <c r="Q32" s="68">
        <v>19.600000000000001</v>
      </c>
      <c r="R32" s="657">
        <v>21.6</v>
      </c>
      <c r="S32" s="68">
        <v>2.5</v>
      </c>
      <c r="T32" s="68">
        <v>-1.9</v>
      </c>
      <c r="U32" s="68">
        <v>22.5</v>
      </c>
      <c r="V32" s="68">
        <v>24</v>
      </c>
      <c r="W32" s="656">
        <v>-2.1</v>
      </c>
      <c r="X32" s="68">
        <v>18.100000000000001</v>
      </c>
      <c r="Y32" s="68">
        <v>51.1</v>
      </c>
      <c r="Z32" s="657">
        <v>55.5</v>
      </c>
      <c r="AA32" s="68">
        <v>-18.2</v>
      </c>
      <c r="AB32" s="68">
        <v>2.5</v>
      </c>
      <c r="AC32" s="68">
        <v>18.2</v>
      </c>
      <c r="AD32" s="68">
        <v>-97.8</v>
      </c>
      <c r="AE32" s="656">
        <v>1.1000000000000001</v>
      </c>
      <c r="AF32" s="68">
        <v>-6.3</v>
      </c>
      <c r="AG32" s="68">
        <v>64.8</v>
      </c>
      <c r="AH32" s="657">
        <v>68.400000000000006</v>
      </c>
      <c r="AI32" s="68">
        <v>1.1000000000000001</v>
      </c>
      <c r="AJ32" s="68">
        <v>-6.3</v>
      </c>
      <c r="AK32" s="68">
        <v>64.8</v>
      </c>
      <c r="AL32" s="68">
        <v>68.400000000000006</v>
      </c>
      <c r="AM32" s="656">
        <v>-5.4</v>
      </c>
      <c r="AN32" s="68">
        <v>-3.3</v>
      </c>
      <c r="AO32" s="68">
        <v>14.4</v>
      </c>
      <c r="AP32" s="657">
        <v>31</v>
      </c>
      <c r="AQ32" s="68">
        <v>13.1</v>
      </c>
      <c r="AR32" s="68">
        <v>29.8</v>
      </c>
      <c r="AS32" s="68">
        <v>28.8</v>
      </c>
      <c r="AT32" s="657">
        <v>62.1</v>
      </c>
      <c r="AU32" s="68">
        <v>14.1</v>
      </c>
      <c r="AV32" s="68">
        <v>18.399999999999999</v>
      </c>
      <c r="AW32" s="68">
        <v>-13.7</v>
      </c>
      <c r="AX32" s="664">
        <v>-66.7</v>
      </c>
      <c r="AY32" s="68">
        <v>-37.4</v>
      </c>
      <c r="AZ32" s="873">
        <v>-0.4</v>
      </c>
      <c r="BA32" s="873">
        <v>17.7</v>
      </c>
      <c r="BB32" s="944">
        <v>-96.3</v>
      </c>
      <c r="BD32" s="1025"/>
      <c r="BE32" s="1025"/>
      <c r="BF32" s="1025"/>
      <c r="BG32" s="1025"/>
      <c r="BH32" s="1025"/>
      <c r="BI32" s="1025"/>
    </row>
    <row r="33" spans="1:61" ht="20.149999999999999" customHeight="1" thickBot="1">
      <c r="A33" s="387" t="s">
        <v>361</v>
      </c>
      <c r="B33" s="672" t="s">
        <v>362</v>
      </c>
      <c r="C33" s="388">
        <f t="shared" ref="C33:AB33" si="2">C5+C6</f>
        <v>232.697</v>
      </c>
      <c r="D33" s="388">
        <f t="shared" si="2"/>
        <v>415.61099999999999</v>
      </c>
      <c r="E33" s="388">
        <f t="shared" si="2"/>
        <v>628.7700000000001</v>
      </c>
      <c r="F33" s="389">
        <f t="shared" si="2"/>
        <v>843.21800000000007</v>
      </c>
      <c r="G33" s="654">
        <f t="shared" si="2"/>
        <v>165.66199999999998</v>
      </c>
      <c r="H33" s="389">
        <f t="shared" si="2"/>
        <v>351.928</v>
      </c>
      <c r="I33" s="389">
        <f t="shared" si="2"/>
        <v>548.24399999999991</v>
      </c>
      <c r="J33" s="655">
        <f t="shared" si="2"/>
        <v>859.7349999999999</v>
      </c>
      <c r="K33" s="389">
        <f t="shared" si="2"/>
        <v>184.70400000000001</v>
      </c>
      <c r="L33" s="389">
        <f t="shared" si="2"/>
        <v>735.69999999999982</v>
      </c>
      <c r="M33" s="389">
        <f t="shared" si="2"/>
        <v>1423.9000000000003</v>
      </c>
      <c r="N33" s="389">
        <f t="shared" si="2"/>
        <v>2117.7999999999997</v>
      </c>
      <c r="O33" s="654">
        <f t="shared" si="2"/>
        <v>453.00000000000011</v>
      </c>
      <c r="P33" s="389">
        <f t="shared" si="2"/>
        <v>1327.9999999999995</v>
      </c>
      <c r="Q33" s="389">
        <f t="shared" si="2"/>
        <v>2173.4999999999991</v>
      </c>
      <c r="R33" s="655">
        <f t="shared" si="2"/>
        <v>2985.0999999999995</v>
      </c>
      <c r="S33" s="389">
        <f t="shared" si="2"/>
        <v>584.40000000000009</v>
      </c>
      <c r="T33" s="389">
        <f t="shared" si="2"/>
        <v>1549.4</v>
      </c>
      <c r="U33" s="389">
        <f t="shared" si="2"/>
        <v>2357.5000000000009</v>
      </c>
      <c r="V33" s="389">
        <f t="shared" si="2"/>
        <v>3151.5</v>
      </c>
      <c r="W33" s="654">
        <f t="shared" si="2"/>
        <v>780.70000000000027</v>
      </c>
      <c r="X33" s="389">
        <f t="shared" si="2"/>
        <v>1615.9</v>
      </c>
      <c r="Y33" s="389">
        <f t="shared" si="2"/>
        <v>2245.6999999999998</v>
      </c>
      <c r="Z33" s="655">
        <f t="shared" si="2"/>
        <v>3126.3</v>
      </c>
      <c r="AA33" s="389">
        <f t="shared" si="2"/>
        <v>633.10000000000014</v>
      </c>
      <c r="AB33" s="389">
        <f t="shared" si="2"/>
        <v>1396.9</v>
      </c>
      <c r="AC33" s="389">
        <v>2220.8000000000002</v>
      </c>
      <c r="AD33" s="389">
        <f t="shared" ref="AD33:BB33" si="3">AD5+AD6</f>
        <v>3232.1</v>
      </c>
      <c r="AE33" s="654">
        <f t="shared" si="3"/>
        <v>703.2</v>
      </c>
      <c r="AF33" s="389">
        <f t="shared" si="3"/>
        <v>1554.3000000000002</v>
      </c>
      <c r="AG33" s="389">
        <f t="shared" si="3"/>
        <v>2406.8000000000002</v>
      </c>
      <c r="AH33" s="655">
        <f t="shared" si="3"/>
        <v>3391.8</v>
      </c>
      <c r="AI33" s="389">
        <f t="shared" si="3"/>
        <v>762.2</v>
      </c>
      <c r="AJ33" s="389">
        <f t="shared" si="3"/>
        <v>1709.3000000000002</v>
      </c>
      <c r="AK33" s="389">
        <f t="shared" si="3"/>
        <v>2659.9000000000005</v>
      </c>
      <c r="AL33" s="389">
        <f t="shared" si="3"/>
        <v>3777.8999999999996</v>
      </c>
      <c r="AM33" s="654">
        <f t="shared" si="3"/>
        <v>860.98882651999998</v>
      </c>
      <c r="AN33" s="389">
        <f t="shared" si="3"/>
        <v>1706.8000000000004</v>
      </c>
      <c r="AO33" s="389">
        <f t="shared" si="3"/>
        <v>2655.2999999999997</v>
      </c>
      <c r="AP33" s="655">
        <f t="shared" si="3"/>
        <v>3797.8999999999996</v>
      </c>
      <c r="AQ33" s="389">
        <f t="shared" si="3"/>
        <v>994.30000000000007</v>
      </c>
      <c r="AR33" s="389">
        <f t="shared" si="3"/>
        <v>1885.8999999999999</v>
      </c>
      <c r="AS33" s="389">
        <f t="shared" si="3"/>
        <v>2795.8000000000011</v>
      </c>
      <c r="AT33" s="655">
        <f t="shared" si="3"/>
        <v>3689.699999999998</v>
      </c>
      <c r="AU33" s="389">
        <f t="shared" si="3"/>
        <v>666.80000000000007</v>
      </c>
      <c r="AV33" s="751">
        <f t="shared" si="3"/>
        <v>1493.2999999999997</v>
      </c>
      <c r="AW33" s="389">
        <f t="shared" si="3"/>
        <v>2219.4000000000005</v>
      </c>
      <c r="AX33" s="785">
        <f t="shared" si="3"/>
        <v>2973.5</v>
      </c>
      <c r="AY33" s="389">
        <f t="shared" si="3"/>
        <v>355.70000000000067</v>
      </c>
      <c r="AZ33" s="389">
        <f t="shared" si="3"/>
        <v>1390.8999999999992</v>
      </c>
      <c r="BA33" s="389">
        <f>BA5+BA6</f>
        <v>1665.0999999999995</v>
      </c>
      <c r="BB33" s="785">
        <f t="shared" si="3"/>
        <v>2628.1999999999994</v>
      </c>
      <c r="BD33" s="1025"/>
      <c r="BE33" s="1037"/>
      <c r="BF33" s="1025"/>
      <c r="BG33" s="1025"/>
      <c r="BH33" s="1025"/>
      <c r="BI33" s="1025"/>
    </row>
    <row r="34" spans="1:61" ht="20.149999999999999" customHeight="1">
      <c r="A34" s="70" t="s">
        <v>363</v>
      </c>
      <c r="B34" s="673" t="s">
        <v>364</v>
      </c>
      <c r="C34" s="68">
        <v>-12.561</v>
      </c>
      <c r="D34" s="68">
        <v>-47.188000000000002</v>
      </c>
      <c r="E34" s="68">
        <v>-59.765999999999998</v>
      </c>
      <c r="F34" s="68">
        <v>-78.733000000000004</v>
      </c>
      <c r="G34" s="656">
        <v>-13.763</v>
      </c>
      <c r="H34" s="68">
        <v>-26.318999999999999</v>
      </c>
      <c r="I34" s="68">
        <v>-37.451999999999998</v>
      </c>
      <c r="J34" s="657">
        <v>-67.486000000000004</v>
      </c>
      <c r="K34" s="68">
        <v>-17.809000000000001</v>
      </c>
      <c r="L34" s="68">
        <v>-99.5</v>
      </c>
      <c r="M34" s="68">
        <v>-135.19999999999999</v>
      </c>
      <c r="N34" s="68">
        <v>-189.1</v>
      </c>
      <c r="O34" s="656">
        <v>-48.5</v>
      </c>
      <c r="P34" s="68">
        <v>-44.2</v>
      </c>
      <c r="Q34" s="68">
        <v>-94.2</v>
      </c>
      <c r="R34" s="657">
        <v>-136.19999999999999</v>
      </c>
      <c r="S34" s="68">
        <v>-145.69999999999999</v>
      </c>
      <c r="T34" s="68">
        <v>-186.5</v>
      </c>
      <c r="U34" s="68">
        <v>-236.1</v>
      </c>
      <c r="V34" s="68">
        <v>-292.7</v>
      </c>
      <c r="W34" s="656">
        <v>-43.5</v>
      </c>
      <c r="X34" s="68">
        <v>-112.5</v>
      </c>
      <c r="Y34" s="68">
        <v>-181.5</v>
      </c>
      <c r="Z34" s="657">
        <v>-216.2</v>
      </c>
      <c r="AA34" s="68">
        <v>-70.599999999999994</v>
      </c>
      <c r="AB34" s="68">
        <v>-191.3</v>
      </c>
      <c r="AC34" s="68">
        <v>-265.10000000000002</v>
      </c>
      <c r="AD34" s="68">
        <v>-343.2</v>
      </c>
      <c r="AE34" s="656">
        <v>-66.099999999999994</v>
      </c>
      <c r="AF34" s="68">
        <v>-163</v>
      </c>
      <c r="AG34" s="68">
        <v>-252.5</v>
      </c>
      <c r="AH34" s="657">
        <v>-328.5</v>
      </c>
      <c r="AI34" s="68">
        <v>-66.099999999999994</v>
      </c>
      <c r="AJ34" s="68">
        <v>-163</v>
      </c>
      <c r="AK34" s="68">
        <v>-252.5</v>
      </c>
      <c r="AL34" s="68">
        <v>-328.5</v>
      </c>
      <c r="AM34" s="656">
        <v>-87.1</v>
      </c>
      <c r="AN34" s="68">
        <v>-360.4</v>
      </c>
      <c r="AO34" s="68">
        <v>-438.9</v>
      </c>
      <c r="AP34" s="657">
        <v>-552.9</v>
      </c>
      <c r="AQ34" s="68">
        <v>-106</v>
      </c>
      <c r="AR34" s="68">
        <v>-269.89999999999998</v>
      </c>
      <c r="AS34" s="68">
        <v>-356.9</v>
      </c>
      <c r="AT34" s="657">
        <v>-463</v>
      </c>
      <c r="AU34" s="68">
        <v>-98.9</v>
      </c>
      <c r="AV34" s="68">
        <v>-1079.9000000000001</v>
      </c>
      <c r="AW34" s="68">
        <v>-1175.8</v>
      </c>
      <c r="AX34" s="657">
        <v>-1278.4000000000001</v>
      </c>
      <c r="AY34" s="68">
        <v>-80.5</v>
      </c>
      <c r="AZ34" s="68">
        <v>-197.3</v>
      </c>
      <c r="BA34" s="68">
        <v>-266.5</v>
      </c>
      <c r="BB34" s="657">
        <v>-342.1</v>
      </c>
      <c r="BD34" s="1025"/>
      <c r="BE34" s="1025"/>
      <c r="BF34" s="1025"/>
      <c r="BG34" s="1025"/>
      <c r="BH34" s="1025"/>
      <c r="BI34" s="1025"/>
    </row>
    <row r="35" spans="1:61" ht="20.149999999999999" customHeight="1">
      <c r="A35" s="70" t="s">
        <v>365</v>
      </c>
      <c r="B35" s="673" t="s">
        <v>366</v>
      </c>
      <c r="C35" s="68">
        <v>3.843</v>
      </c>
      <c r="D35" s="68">
        <v>8.1440000000000001</v>
      </c>
      <c r="E35" s="68">
        <v>12.96</v>
      </c>
      <c r="F35" s="68">
        <v>16.882000000000001</v>
      </c>
      <c r="G35" s="656">
        <v>3.544</v>
      </c>
      <c r="H35" s="68">
        <v>6.1040000000000001</v>
      </c>
      <c r="I35" s="68">
        <v>8.5630000000000006</v>
      </c>
      <c r="J35" s="657">
        <v>10.41</v>
      </c>
      <c r="K35" s="68">
        <v>2.165</v>
      </c>
      <c r="L35" s="68">
        <v>13.4</v>
      </c>
      <c r="M35" s="68">
        <v>33.1</v>
      </c>
      <c r="N35" s="68">
        <v>45.2</v>
      </c>
      <c r="O35" s="656">
        <v>13.2</v>
      </c>
      <c r="P35" s="68">
        <v>20.5</v>
      </c>
      <c r="Q35" s="68">
        <v>30.5</v>
      </c>
      <c r="R35" s="657">
        <v>38.799999999999997</v>
      </c>
      <c r="S35" s="68">
        <v>8.1</v>
      </c>
      <c r="T35" s="68">
        <v>13.1</v>
      </c>
      <c r="U35" s="68">
        <v>19.5</v>
      </c>
      <c r="V35" s="68">
        <v>25.9</v>
      </c>
      <c r="W35" s="656">
        <v>14.5</v>
      </c>
      <c r="X35" s="68">
        <v>16</v>
      </c>
      <c r="Y35" s="68">
        <v>23.5</v>
      </c>
      <c r="Z35" s="657">
        <v>31.3</v>
      </c>
      <c r="AA35" s="68">
        <v>7.5</v>
      </c>
      <c r="AB35" s="68">
        <v>14.6</v>
      </c>
      <c r="AC35" s="68">
        <v>20.5</v>
      </c>
      <c r="AD35" s="68">
        <v>26.2</v>
      </c>
      <c r="AE35" s="656">
        <v>4.8</v>
      </c>
      <c r="AF35" s="68">
        <v>11.8</v>
      </c>
      <c r="AG35" s="68">
        <v>18.3</v>
      </c>
      <c r="AH35" s="657">
        <v>24</v>
      </c>
      <c r="AI35" s="68">
        <v>4.8</v>
      </c>
      <c r="AJ35" s="68">
        <v>11.8</v>
      </c>
      <c r="AK35" s="68">
        <v>18.3</v>
      </c>
      <c r="AL35" s="68">
        <v>24</v>
      </c>
      <c r="AM35" s="656">
        <v>4.9000000000000004</v>
      </c>
      <c r="AN35" s="68">
        <v>6.8</v>
      </c>
      <c r="AO35" s="68">
        <v>6.7</v>
      </c>
      <c r="AP35" s="657">
        <v>6.7</v>
      </c>
      <c r="AQ35" s="68">
        <v>0.7</v>
      </c>
      <c r="AR35" s="68">
        <v>2.7</v>
      </c>
      <c r="AS35" s="68">
        <v>3.8</v>
      </c>
      <c r="AT35" s="657">
        <v>7.6</v>
      </c>
      <c r="AU35" s="68">
        <v>10.9</v>
      </c>
      <c r="AV35" s="68">
        <v>32.4</v>
      </c>
      <c r="AW35" s="68">
        <v>46.6</v>
      </c>
      <c r="AX35" s="657">
        <v>66.599999999999994</v>
      </c>
      <c r="AY35" s="68">
        <v>24.4</v>
      </c>
      <c r="AZ35" s="68">
        <v>46.1</v>
      </c>
      <c r="BA35" s="68">
        <v>69.7</v>
      </c>
      <c r="BB35" s="657">
        <v>106.3</v>
      </c>
      <c r="BD35" s="1025"/>
      <c r="BE35" s="1025"/>
      <c r="BF35" s="1025"/>
      <c r="BG35" s="1025"/>
      <c r="BH35" s="1025"/>
      <c r="BI35" s="1025"/>
    </row>
    <row r="36" spans="1:61" s="265" customFormat="1" ht="25.25" customHeight="1">
      <c r="A36" s="385" t="s">
        <v>367</v>
      </c>
      <c r="B36" s="675" t="s">
        <v>368</v>
      </c>
      <c r="C36" s="386">
        <f t="shared" ref="C36:R36" si="4">SUM(C33:C35)</f>
        <v>223.97899999999998</v>
      </c>
      <c r="D36" s="386">
        <f t="shared" si="4"/>
        <v>376.56700000000001</v>
      </c>
      <c r="E36" s="386">
        <f t="shared" si="4"/>
        <v>581.96400000000017</v>
      </c>
      <c r="F36" s="386">
        <f t="shared" si="4"/>
        <v>781.36700000000008</v>
      </c>
      <c r="G36" s="661">
        <f t="shared" si="4"/>
        <v>155.44299999999998</v>
      </c>
      <c r="H36" s="386">
        <f t="shared" si="4"/>
        <v>331.71299999999997</v>
      </c>
      <c r="I36" s="386">
        <f t="shared" si="4"/>
        <v>519.3549999999999</v>
      </c>
      <c r="J36" s="662">
        <f t="shared" si="4"/>
        <v>802.65899999999988</v>
      </c>
      <c r="K36" s="386">
        <f t="shared" si="4"/>
        <v>169.06</v>
      </c>
      <c r="L36" s="386">
        <f t="shared" si="4"/>
        <v>649.5999999999998</v>
      </c>
      <c r="M36" s="386">
        <f t="shared" si="4"/>
        <v>1321.8000000000002</v>
      </c>
      <c r="N36" s="386">
        <f t="shared" si="4"/>
        <v>1973.8999999999999</v>
      </c>
      <c r="O36" s="661">
        <f t="shared" si="4"/>
        <v>417.7000000000001</v>
      </c>
      <c r="P36" s="386">
        <f t="shared" si="4"/>
        <v>1304.2999999999995</v>
      </c>
      <c r="Q36" s="386">
        <f t="shared" si="4"/>
        <v>2109.7999999999993</v>
      </c>
      <c r="R36" s="662">
        <f t="shared" si="4"/>
        <v>2887.7</v>
      </c>
      <c r="S36" s="386">
        <f t="shared" ref="S36" si="5">SUM(S33:S35)</f>
        <v>446.80000000000013</v>
      </c>
      <c r="T36" s="386">
        <f t="shared" ref="T36:U36" si="6">SUM(T33:T35)</f>
        <v>1376</v>
      </c>
      <c r="U36" s="386">
        <f t="shared" si="6"/>
        <v>2140.900000000001</v>
      </c>
      <c r="V36" s="386">
        <f t="shared" ref="V36:Z36" si="7">SUM(V33:V35)</f>
        <v>2884.7000000000003</v>
      </c>
      <c r="W36" s="661">
        <f t="shared" si="7"/>
        <v>751.70000000000027</v>
      </c>
      <c r="X36" s="386">
        <f t="shared" si="7"/>
        <v>1519.4</v>
      </c>
      <c r="Y36" s="386">
        <f t="shared" si="7"/>
        <v>2087.6999999999998</v>
      </c>
      <c r="Z36" s="662">
        <f t="shared" si="7"/>
        <v>2941.4000000000005</v>
      </c>
      <c r="AA36" s="386">
        <f t="shared" ref="AA36:AD36" si="8">SUM(AA33:AA35)</f>
        <v>570.00000000000011</v>
      </c>
      <c r="AB36" s="386">
        <f>SUM(AB33:AB35)</f>
        <v>1220.2</v>
      </c>
      <c r="AC36" s="386">
        <f>SUM(AC33:AC35)</f>
        <v>1976.2000000000003</v>
      </c>
      <c r="AD36" s="386">
        <f t="shared" si="8"/>
        <v>2915.1</v>
      </c>
      <c r="AE36" s="661">
        <f t="shared" ref="AE36:AH36" si="9">SUM(AE33:AE35)</f>
        <v>641.9</v>
      </c>
      <c r="AF36" s="386">
        <f t="shared" si="9"/>
        <v>1403.1000000000001</v>
      </c>
      <c r="AG36" s="386">
        <f t="shared" si="9"/>
        <v>2172.6000000000004</v>
      </c>
      <c r="AH36" s="662">
        <f t="shared" si="9"/>
        <v>3087.3</v>
      </c>
      <c r="AI36" s="386">
        <f t="shared" ref="AI36:AL36" si="10">SUM(AI33:AI35)</f>
        <v>700.9</v>
      </c>
      <c r="AJ36" s="386">
        <f t="shared" si="10"/>
        <v>1558.1000000000001</v>
      </c>
      <c r="AK36" s="386">
        <f t="shared" si="10"/>
        <v>2425.7000000000007</v>
      </c>
      <c r="AL36" s="386">
        <f t="shared" si="10"/>
        <v>3473.3999999999996</v>
      </c>
      <c r="AM36" s="661">
        <f t="shared" ref="AM36:AP36" si="11">SUM(AM33:AM35)</f>
        <v>778.78882651999993</v>
      </c>
      <c r="AN36" s="386">
        <f t="shared" si="11"/>
        <v>1353.2000000000005</v>
      </c>
      <c r="AO36" s="386">
        <v>2223.1</v>
      </c>
      <c r="AP36" s="662">
        <f t="shared" si="11"/>
        <v>3251.6999999999994</v>
      </c>
      <c r="AQ36" s="386">
        <f t="shared" ref="AQ36:AS36" si="12">SUM(AQ33:AQ35)</f>
        <v>889.00000000000011</v>
      </c>
      <c r="AR36" s="386">
        <f t="shared" si="12"/>
        <v>1618.7</v>
      </c>
      <c r="AS36" s="386">
        <f t="shared" si="12"/>
        <v>2442.7000000000012</v>
      </c>
      <c r="AT36" s="662">
        <f t="shared" ref="AT36:AW36" si="13">SUM(AT33:AT35)</f>
        <v>3234.2999999999979</v>
      </c>
      <c r="AU36" s="386">
        <f t="shared" si="13"/>
        <v>578.80000000000007</v>
      </c>
      <c r="AV36" s="386">
        <f>SUM(AV33:AV35)</f>
        <v>445.79999999999961</v>
      </c>
      <c r="AW36" s="386">
        <f t="shared" si="13"/>
        <v>1090.2000000000005</v>
      </c>
      <c r="AX36" s="662">
        <f t="shared" ref="AX36:AY36" si="14">SUM(AX33:AX35)</f>
        <v>1761.6999999999998</v>
      </c>
      <c r="AY36" s="386">
        <f t="shared" si="14"/>
        <v>299.60000000000065</v>
      </c>
      <c r="AZ36" s="386">
        <f>SUM(AZ33:AZ35)</f>
        <v>1239.6999999999991</v>
      </c>
      <c r="BA36" s="386">
        <f t="shared" ref="BA36:BB36" si="15">SUM(BA33:BA35)</f>
        <v>1468.2999999999995</v>
      </c>
      <c r="BB36" s="662">
        <f t="shared" si="15"/>
        <v>2392.3999999999996</v>
      </c>
      <c r="BC36" s="847"/>
      <c r="BD36" s="1036"/>
      <c r="BE36" s="1038"/>
      <c r="BF36" s="1038"/>
      <c r="BG36" s="1039"/>
      <c r="BH36" s="1039"/>
      <c r="BI36" s="1039"/>
    </row>
    <row r="37" spans="1:61" ht="20.149999999999999" customHeight="1">
      <c r="A37" s="70" t="s">
        <v>369</v>
      </c>
      <c r="B37" s="673" t="s">
        <v>370</v>
      </c>
      <c r="C37" s="68">
        <v>-13.759</v>
      </c>
      <c r="D37" s="68">
        <v>-28.18</v>
      </c>
      <c r="E37" s="68">
        <v>-40.478000000000002</v>
      </c>
      <c r="F37" s="68">
        <v>-54.936999999999998</v>
      </c>
      <c r="G37" s="656">
        <v>-21.702999999999999</v>
      </c>
      <c r="H37" s="68">
        <v>-40.633000000000003</v>
      </c>
      <c r="I37" s="68">
        <v>-53.000999999999998</v>
      </c>
      <c r="J37" s="657">
        <v>-60.844999999999999</v>
      </c>
      <c r="K37" s="68">
        <v>-19.433</v>
      </c>
      <c r="L37" s="68">
        <v>-93</v>
      </c>
      <c r="M37" s="68">
        <v>-180</v>
      </c>
      <c r="N37" s="68">
        <v>-263.60000000000002</v>
      </c>
      <c r="O37" s="656">
        <v>-137.6</v>
      </c>
      <c r="P37" s="68">
        <v>-187</v>
      </c>
      <c r="Q37" s="68">
        <v>-323.2</v>
      </c>
      <c r="R37" s="657">
        <v>-417.8</v>
      </c>
      <c r="S37" s="68">
        <v>-98.4</v>
      </c>
      <c r="T37" s="68">
        <v>-179.5</v>
      </c>
      <c r="U37" s="68">
        <v>-301.2</v>
      </c>
      <c r="V37" s="68">
        <v>-436.2</v>
      </c>
      <c r="W37" s="656">
        <v>-138.9</v>
      </c>
      <c r="X37" s="68">
        <v>-268.8</v>
      </c>
      <c r="Y37" s="68">
        <v>-418.9</v>
      </c>
      <c r="Z37" s="657">
        <v>-524.79999999999995</v>
      </c>
      <c r="AA37" s="68">
        <v>-131.6</v>
      </c>
      <c r="AB37" s="68">
        <v>-266.7</v>
      </c>
      <c r="AC37" s="68">
        <v>-465</v>
      </c>
      <c r="AD37" s="68">
        <v>-624.29999999999995</v>
      </c>
      <c r="AE37" s="656">
        <v>-251.4</v>
      </c>
      <c r="AF37" s="68">
        <v>-433.6</v>
      </c>
      <c r="AG37" s="68">
        <v>-651.9</v>
      </c>
      <c r="AH37" s="657">
        <v>-852.6</v>
      </c>
      <c r="AI37" s="68">
        <v>-251.4</v>
      </c>
      <c r="AJ37" s="68">
        <v>-433.6</v>
      </c>
      <c r="AK37" s="68">
        <v>-651.9</v>
      </c>
      <c r="AL37" s="68">
        <v>-852.6</v>
      </c>
      <c r="AM37" s="656">
        <v>-255.9</v>
      </c>
      <c r="AN37" s="68">
        <v>-441.3</v>
      </c>
      <c r="AO37" s="68">
        <v>-648.29999999999995</v>
      </c>
      <c r="AP37" s="657">
        <v>-1006.4</v>
      </c>
      <c r="AQ37" s="68">
        <v>-270.10000000000002</v>
      </c>
      <c r="AR37" s="68">
        <v>-567.4</v>
      </c>
      <c r="AS37" s="68">
        <v>-728.5</v>
      </c>
      <c r="AT37" s="657">
        <v>-924.1</v>
      </c>
      <c r="AU37" s="68">
        <v>-222.5</v>
      </c>
      <c r="AV37" s="68">
        <v>-422.7</v>
      </c>
      <c r="AW37" s="68">
        <v>-567.9</v>
      </c>
      <c r="AX37" s="664">
        <v>-776.9</v>
      </c>
      <c r="AY37" s="68">
        <v>-215.4</v>
      </c>
      <c r="AZ37" s="68">
        <v>-344.2</v>
      </c>
      <c r="BA37" s="68">
        <v>-765</v>
      </c>
      <c r="BB37" s="664">
        <v>-1289.4000000000001</v>
      </c>
      <c r="BC37" s="234"/>
      <c r="BD37" s="1036"/>
      <c r="BE37" s="1038"/>
      <c r="BF37" s="1031"/>
      <c r="BG37" s="1032"/>
      <c r="BH37" s="1033"/>
      <c r="BI37" s="1025"/>
    </row>
    <row r="38" spans="1:61" ht="20.149999999999999" customHeight="1">
      <c r="A38" s="70" t="s">
        <v>371</v>
      </c>
      <c r="B38" s="673" t="s">
        <v>372</v>
      </c>
      <c r="C38" s="68">
        <v>-7.0449999999999999</v>
      </c>
      <c r="D38" s="68">
        <v>-11.33</v>
      </c>
      <c r="E38" s="68">
        <v>-23.225000000000001</v>
      </c>
      <c r="F38" s="68">
        <v>-36.24</v>
      </c>
      <c r="G38" s="656">
        <v>-13.377000000000001</v>
      </c>
      <c r="H38" s="68">
        <v>-20.378</v>
      </c>
      <c r="I38" s="68">
        <v>-45.453000000000003</v>
      </c>
      <c r="J38" s="657">
        <v>-62.041000000000004</v>
      </c>
      <c r="K38" s="68">
        <v>-19.987000000000002</v>
      </c>
      <c r="L38" s="68">
        <v>-46.6</v>
      </c>
      <c r="M38" s="68">
        <v>-57.4</v>
      </c>
      <c r="N38" s="68">
        <v>-71.8</v>
      </c>
      <c r="O38" s="656">
        <v>-19.100000000000001</v>
      </c>
      <c r="P38" s="68">
        <v>-90.7</v>
      </c>
      <c r="Q38" s="68">
        <v>-111.1</v>
      </c>
      <c r="R38" s="657">
        <v>-165.3</v>
      </c>
      <c r="S38" s="68">
        <v>-20.3</v>
      </c>
      <c r="T38" s="68">
        <v>-61.3</v>
      </c>
      <c r="U38" s="68">
        <v>-94.6</v>
      </c>
      <c r="V38" s="68">
        <v>-154.19999999999999</v>
      </c>
      <c r="W38" s="656">
        <v>-33.200000000000003</v>
      </c>
      <c r="X38" s="68">
        <v>-114.2</v>
      </c>
      <c r="Y38" s="68">
        <v>-137.30000000000001</v>
      </c>
      <c r="Z38" s="657">
        <v>-214.3</v>
      </c>
      <c r="AA38" s="68">
        <v>-42.8</v>
      </c>
      <c r="AB38" s="68">
        <v>-83.9</v>
      </c>
      <c r="AC38" s="68">
        <v>-168.4</v>
      </c>
      <c r="AD38" s="68">
        <v>-304.10000000000002</v>
      </c>
      <c r="AE38" s="656">
        <v>-108.5</v>
      </c>
      <c r="AF38" s="68">
        <v>-202.7</v>
      </c>
      <c r="AG38" s="68">
        <v>-302.7</v>
      </c>
      <c r="AH38" s="657">
        <v>-379</v>
      </c>
      <c r="AI38" s="68">
        <v>-108.5</v>
      </c>
      <c r="AJ38" s="68">
        <v>-202.7</v>
      </c>
      <c r="AK38" s="68">
        <v>-302.7</v>
      </c>
      <c r="AL38" s="68">
        <v>-379</v>
      </c>
      <c r="AM38" s="656">
        <v>-51.5</v>
      </c>
      <c r="AN38" s="68">
        <v>-90.2</v>
      </c>
      <c r="AO38" s="68">
        <v>-139.4</v>
      </c>
      <c r="AP38" s="657">
        <v>-211.5</v>
      </c>
      <c r="AQ38" s="68">
        <v>-65.400000000000006</v>
      </c>
      <c r="AR38" s="68">
        <v>-102.6</v>
      </c>
      <c r="AS38" s="68">
        <v>-173.3</v>
      </c>
      <c r="AT38" s="657">
        <v>-234.7</v>
      </c>
      <c r="AU38" s="68">
        <v>-102.4</v>
      </c>
      <c r="AV38" s="68">
        <v>-164.2</v>
      </c>
      <c r="AW38" s="68">
        <v>-244.3</v>
      </c>
      <c r="AX38" s="657">
        <v>-337.5</v>
      </c>
      <c r="AY38" s="68">
        <v>-79.8</v>
      </c>
      <c r="AZ38" s="68">
        <v>-166.8</v>
      </c>
      <c r="BA38" s="68">
        <v>-239.5</v>
      </c>
      <c r="BB38" s="664">
        <v>-312.5</v>
      </c>
      <c r="BD38" s="1025"/>
      <c r="BE38" s="1025"/>
      <c r="BF38" s="1031"/>
      <c r="BG38" s="1032"/>
      <c r="BH38" s="1033"/>
      <c r="BI38" s="1025"/>
    </row>
    <row r="39" spans="1:61" ht="20.149999999999999" customHeight="1">
      <c r="A39" s="70" t="s">
        <v>373</v>
      </c>
      <c r="B39" s="673" t="s">
        <v>374</v>
      </c>
      <c r="C39" s="68"/>
      <c r="D39" s="68"/>
      <c r="E39" s="68"/>
      <c r="F39" s="68"/>
      <c r="G39" s="656"/>
      <c r="H39" s="68"/>
      <c r="I39" s="68"/>
      <c r="J39" s="657"/>
      <c r="K39" s="68"/>
      <c r="L39" s="68"/>
      <c r="M39" s="68"/>
      <c r="N39" s="68"/>
      <c r="O39" s="656"/>
      <c r="P39" s="68"/>
      <c r="Q39" s="68"/>
      <c r="R39" s="657"/>
      <c r="S39" s="68"/>
      <c r="T39" s="68"/>
      <c r="U39" s="68"/>
      <c r="V39" s="68">
        <v>0</v>
      </c>
      <c r="W39" s="656"/>
      <c r="X39" s="68"/>
      <c r="Y39" s="68"/>
      <c r="Z39" s="657">
        <v>-9.3000000000000007</v>
      </c>
      <c r="AA39" s="68">
        <v>0</v>
      </c>
      <c r="AB39" s="68">
        <v>0</v>
      </c>
      <c r="AC39" s="68">
        <v>0</v>
      </c>
      <c r="AD39" s="68">
        <v>-9.1999999999999993</v>
      </c>
      <c r="AE39" s="656">
        <v>0</v>
      </c>
      <c r="AF39" s="68"/>
      <c r="AG39" s="68">
        <v>0</v>
      </c>
      <c r="AH39" s="657">
        <v>0</v>
      </c>
      <c r="AI39" s="68">
        <v>0</v>
      </c>
      <c r="AJ39" s="68">
        <v>0</v>
      </c>
      <c r="AK39" s="68">
        <v>0</v>
      </c>
      <c r="AL39" s="68">
        <v>0</v>
      </c>
      <c r="AM39" s="656">
        <v>0</v>
      </c>
      <c r="AN39" s="68">
        <v>-8.3000000000000007</v>
      </c>
      <c r="AO39" s="68">
        <v>-8.3000000000000007</v>
      </c>
      <c r="AP39" s="657">
        <v>-8.3000000000000007</v>
      </c>
      <c r="AQ39" s="68">
        <v>-27.8</v>
      </c>
      <c r="AR39" s="68">
        <v>-27.8</v>
      </c>
      <c r="AS39" s="68">
        <v>-27.8</v>
      </c>
      <c r="AT39" s="657">
        <v>-27.8</v>
      </c>
      <c r="AU39" s="68">
        <v>0</v>
      </c>
      <c r="AV39" s="68">
        <v>0</v>
      </c>
      <c r="AW39" s="68">
        <v>0</v>
      </c>
      <c r="AX39" s="657"/>
      <c r="AY39" s="68">
        <v>0</v>
      </c>
      <c r="AZ39" s="68">
        <v>-20</v>
      </c>
      <c r="BA39" s="68">
        <v>-20</v>
      </c>
      <c r="BB39" s="664">
        <v>-20</v>
      </c>
      <c r="BC39" s="907"/>
      <c r="BD39" s="1040"/>
      <c r="BE39" s="1025"/>
      <c r="BF39" s="1031"/>
      <c r="BG39" s="1032"/>
      <c r="BH39" s="1033"/>
      <c r="BI39" s="1025"/>
    </row>
    <row r="40" spans="1:61" ht="20.149999999999999" customHeight="1">
      <c r="A40" s="70" t="s">
        <v>375</v>
      </c>
      <c r="B40" s="673" t="s">
        <v>376</v>
      </c>
      <c r="C40" s="69">
        <v>0</v>
      </c>
      <c r="D40" s="69">
        <v>0</v>
      </c>
      <c r="E40" s="69">
        <v>0</v>
      </c>
      <c r="F40" s="69">
        <v>0</v>
      </c>
      <c r="G40" s="677">
        <v>0</v>
      </c>
      <c r="H40" s="69">
        <v>0</v>
      </c>
      <c r="I40" s="69">
        <v>0</v>
      </c>
      <c r="J40" s="678">
        <v>0</v>
      </c>
      <c r="K40" s="69">
        <v>0</v>
      </c>
      <c r="L40" s="68">
        <v>0</v>
      </c>
      <c r="M40" s="68">
        <v>-482.3</v>
      </c>
      <c r="N40" s="68">
        <v>-482.3</v>
      </c>
      <c r="O40" s="656">
        <v>0</v>
      </c>
      <c r="P40" s="68">
        <v>0</v>
      </c>
      <c r="Q40" s="68">
        <v>-118.7</v>
      </c>
      <c r="R40" s="657">
        <v>-118.7</v>
      </c>
      <c r="S40" s="68">
        <v>-147.69999999999999</v>
      </c>
      <c r="T40" s="68">
        <v>-147.69999999999999</v>
      </c>
      <c r="U40" s="68">
        <v>-268.5</v>
      </c>
      <c r="V40" s="68">
        <v>-268.5</v>
      </c>
      <c r="W40" s="656">
        <v>0</v>
      </c>
      <c r="X40" s="68">
        <v>0</v>
      </c>
      <c r="Y40" s="68">
        <v>-120.7</v>
      </c>
      <c r="Z40" s="657">
        <v>-120.7</v>
      </c>
      <c r="AA40" s="68">
        <v>0</v>
      </c>
      <c r="AB40" s="68">
        <v>0</v>
      </c>
      <c r="AC40" s="68">
        <v>-119.6</v>
      </c>
      <c r="AD40" s="68">
        <v>-119.6</v>
      </c>
      <c r="AE40" s="656">
        <v>0</v>
      </c>
      <c r="AF40" s="68"/>
      <c r="AG40" s="68">
        <v>-122.4</v>
      </c>
      <c r="AH40" s="657">
        <v>-122.4</v>
      </c>
      <c r="AI40" s="68">
        <v>0</v>
      </c>
      <c r="AJ40" s="68">
        <v>0</v>
      </c>
      <c r="AK40" s="68">
        <v>-122.4</v>
      </c>
      <c r="AL40" s="68">
        <v>-122.4</v>
      </c>
      <c r="AM40" s="656">
        <v>0</v>
      </c>
      <c r="AN40" s="68">
        <v>-4.2</v>
      </c>
      <c r="AO40" s="68">
        <v>-126.8</v>
      </c>
      <c r="AP40" s="657">
        <v>-126.8</v>
      </c>
      <c r="AQ40" s="68">
        <v>-21.6</v>
      </c>
      <c r="AR40" s="68">
        <v>-28.3</v>
      </c>
      <c r="AS40" s="68">
        <v>-159.4</v>
      </c>
      <c r="AT40" s="657">
        <v>-159.4</v>
      </c>
      <c r="AU40" s="68">
        <v>-6.4</v>
      </c>
      <c r="AV40" s="68">
        <v>-8.1</v>
      </c>
      <c r="AW40" s="68">
        <v>-162.6</v>
      </c>
      <c r="AX40" s="657">
        <v>-514</v>
      </c>
      <c r="AY40" s="68">
        <v>-852.2</v>
      </c>
      <c r="AZ40" s="68">
        <v>-853.8</v>
      </c>
      <c r="BA40" s="68">
        <v>-1159.4000000000001</v>
      </c>
      <c r="BB40" s="664">
        <v>-1345.9</v>
      </c>
      <c r="BC40" s="234"/>
      <c r="BD40" s="1036"/>
      <c r="BE40" s="1025"/>
      <c r="BF40" s="1031"/>
      <c r="BG40" s="1032"/>
      <c r="BH40" s="1033"/>
      <c r="BI40" s="1025"/>
    </row>
    <row r="41" spans="1:61" ht="20.149999999999999" customHeight="1">
      <c r="A41" s="70" t="s">
        <v>377</v>
      </c>
      <c r="B41" s="673" t="s">
        <v>378</v>
      </c>
      <c r="C41" s="69"/>
      <c r="D41" s="69"/>
      <c r="E41" s="69"/>
      <c r="F41" s="69"/>
      <c r="G41" s="677"/>
      <c r="H41" s="69"/>
      <c r="I41" s="69"/>
      <c r="J41" s="678"/>
      <c r="K41" s="69"/>
      <c r="L41" s="69"/>
      <c r="M41" s="69"/>
      <c r="N41" s="68"/>
      <c r="O41" s="656"/>
      <c r="P41" s="69"/>
      <c r="Q41" s="69"/>
      <c r="R41" s="657"/>
      <c r="S41" s="69">
        <v>0</v>
      </c>
      <c r="T41" s="69">
        <v>0</v>
      </c>
      <c r="U41" s="69">
        <v>0</v>
      </c>
      <c r="V41" s="68">
        <v>0</v>
      </c>
      <c r="W41" s="656">
        <v>0</v>
      </c>
      <c r="X41" s="68">
        <v>0</v>
      </c>
      <c r="Y41" s="68">
        <v>0</v>
      </c>
      <c r="Z41" s="657">
        <v>-662.5</v>
      </c>
      <c r="AA41" s="68">
        <v>-11.3</v>
      </c>
      <c r="AB41" s="68">
        <v>-15.7</v>
      </c>
      <c r="AC41" s="68">
        <v>-15.7</v>
      </c>
      <c r="AD41" s="68">
        <v>-16.100000000000001</v>
      </c>
      <c r="AE41" s="656">
        <v>0</v>
      </c>
      <c r="AF41" s="68">
        <v>-14.7</v>
      </c>
      <c r="AG41" s="68">
        <v>-14.7</v>
      </c>
      <c r="AH41" s="657">
        <v>-1232.5</v>
      </c>
      <c r="AI41" s="68">
        <v>0</v>
      </c>
      <c r="AJ41" s="68">
        <v>-14.7</v>
      </c>
      <c r="AK41" s="68">
        <v>-14.7</v>
      </c>
      <c r="AL41" s="68">
        <v>-1232.5</v>
      </c>
      <c r="AM41" s="656">
        <v>-7.4</v>
      </c>
      <c r="AN41" s="68">
        <v>-7.4</v>
      </c>
      <c r="AO41" s="68">
        <v>-18.8</v>
      </c>
      <c r="AP41" s="657">
        <v>-11.4</v>
      </c>
      <c r="AQ41" s="68">
        <v>0</v>
      </c>
      <c r="AR41" s="68">
        <v>-500</v>
      </c>
      <c r="AS41" s="68">
        <v>-500</v>
      </c>
      <c r="AT41" s="657">
        <v>-500</v>
      </c>
      <c r="AU41" s="68">
        <v>0</v>
      </c>
      <c r="AV41" s="68">
        <v>-4.9000000000000004</v>
      </c>
      <c r="AW41" s="68">
        <v>-4.9000000000000004</v>
      </c>
      <c r="AX41" s="657">
        <v>-4.9000000000000004</v>
      </c>
      <c r="AY41" s="68">
        <v>0</v>
      </c>
      <c r="AZ41" s="68">
        <v>0</v>
      </c>
      <c r="BA41" s="68">
        <v>0</v>
      </c>
      <c r="BB41" s="657">
        <v>0</v>
      </c>
      <c r="BC41" s="847"/>
      <c r="BD41" s="1025"/>
      <c r="BE41" s="1025"/>
      <c r="BF41" s="1031"/>
      <c r="BG41" s="1032"/>
      <c r="BH41" s="1033"/>
      <c r="BI41" s="1025"/>
    </row>
    <row r="42" spans="1:61" ht="26">
      <c r="A42" s="70" t="s">
        <v>379</v>
      </c>
      <c r="B42" s="673" t="s">
        <v>380</v>
      </c>
      <c r="C42" s="68">
        <v>-2.3290000000000002</v>
      </c>
      <c r="D42" s="68">
        <v>-45.099000000000004</v>
      </c>
      <c r="E42" s="68">
        <v>-45.329000000000001</v>
      </c>
      <c r="F42" s="68">
        <v>-45.710999999999999</v>
      </c>
      <c r="G42" s="656">
        <v>-0.153</v>
      </c>
      <c r="H42" s="68">
        <v>-0.26800000000000002</v>
      </c>
      <c r="I42" s="68">
        <v>-64.186999999999998</v>
      </c>
      <c r="J42" s="657">
        <v>-64.266000000000005</v>
      </c>
      <c r="K42" s="69">
        <v>0</v>
      </c>
      <c r="L42" s="68">
        <v>1800.4</v>
      </c>
      <c r="M42" s="68">
        <v>1800.4</v>
      </c>
      <c r="N42" s="68">
        <v>1800.4</v>
      </c>
      <c r="O42" s="656">
        <v>-4.2</v>
      </c>
      <c r="P42" s="68">
        <v>-29.5</v>
      </c>
      <c r="Q42" s="68">
        <v>-29.5</v>
      </c>
      <c r="R42" s="657">
        <v>-29.5</v>
      </c>
      <c r="S42" s="68">
        <v>262.2</v>
      </c>
      <c r="T42" s="68">
        <v>-145.30000000000001</v>
      </c>
      <c r="U42" s="68">
        <v>-144.4</v>
      </c>
      <c r="V42" s="68">
        <v>-144.4</v>
      </c>
      <c r="W42" s="656">
        <v>0</v>
      </c>
      <c r="X42" s="68">
        <v>0</v>
      </c>
      <c r="Y42" s="68">
        <v>1.6</v>
      </c>
      <c r="Z42" s="657">
        <v>-66.8</v>
      </c>
      <c r="AA42" s="68">
        <v>-16.7</v>
      </c>
      <c r="AB42" s="68">
        <v>-276.8</v>
      </c>
      <c r="AC42" s="68">
        <v>-453.7</v>
      </c>
      <c r="AD42" s="68">
        <v>-792.4</v>
      </c>
      <c r="AE42" s="656">
        <v>0</v>
      </c>
      <c r="AF42" s="68">
        <v>-63.8</v>
      </c>
      <c r="AG42" s="68">
        <v>-74.599999999999994</v>
      </c>
      <c r="AH42" s="657">
        <v>-108.5</v>
      </c>
      <c r="AI42" s="68">
        <v>0</v>
      </c>
      <c r="AJ42" s="68">
        <v>-63.8</v>
      </c>
      <c r="AK42" s="68">
        <v>-74.599999999999994</v>
      </c>
      <c r="AL42" s="68">
        <v>-108.5</v>
      </c>
      <c r="AM42" s="656">
        <v>-48.8</v>
      </c>
      <c r="AN42" s="68">
        <v>-48.8</v>
      </c>
      <c r="AO42" s="68">
        <v>-474.6</v>
      </c>
      <c r="AP42" s="657">
        <v>-479.2</v>
      </c>
      <c r="AQ42" s="68">
        <v>-0.7</v>
      </c>
      <c r="AR42" s="68">
        <v>-181.2</v>
      </c>
      <c r="AS42" s="68">
        <v>-938.2</v>
      </c>
      <c r="AT42" s="657">
        <v>-946.4</v>
      </c>
      <c r="AU42" s="68">
        <v>-13</v>
      </c>
      <c r="AV42" s="68">
        <v>-251.1</v>
      </c>
      <c r="AW42" s="68">
        <v>-260.3</v>
      </c>
      <c r="AX42" s="657">
        <v>-266.5</v>
      </c>
      <c r="AY42" s="68">
        <v>-0.1</v>
      </c>
      <c r="AZ42" s="68">
        <v>-0.1</v>
      </c>
      <c r="BA42" s="68">
        <v>126.9</v>
      </c>
      <c r="BB42" s="664">
        <v>-84.9</v>
      </c>
      <c r="BC42" s="847"/>
      <c r="BD42" s="1037"/>
      <c r="BE42" s="1025"/>
      <c r="BF42" s="1031"/>
      <c r="BG42" s="1032"/>
      <c r="BH42" s="1033"/>
      <c r="BI42" s="1025"/>
    </row>
    <row r="43" spans="1:61" s="100" customFormat="1" ht="14.5">
      <c r="A43" s="195" t="s">
        <v>381</v>
      </c>
      <c r="B43" s="674" t="s">
        <v>382</v>
      </c>
      <c r="C43" s="260"/>
      <c r="D43" s="260"/>
      <c r="E43" s="260"/>
      <c r="F43" s="260"/>
      <c r="G43" s="663"/>
      <c r="H43" s="260"/>
      <c r="I43" s="260"/>
      <c r="J43" s="664"/>
      <c r="K43" s="261"/>
      <c r="L43" s="260"/>
      <c r="M43" s="260"/>
      <c r="N43" s="260"/>
      <c r="O43" s="663"/>
      <c r="P43" s="260"/>
      <c r="Q43" s="260"/>
      <c r="R43" s="664"/>
      <c r="S43" s="260"/>
      <c r="T43" s="260"/>
      <c r="U43" s="260"/>
      <c r="V43" s="260"/>
      <c r="W43" s="663"/>
      <c r="X43" s="260"/>
      <c r="Y43" s="260"/>
      <c r="Z43" s="664"/>
      <c r="AA43" s="260"/>
      <c r="AB43" s="260"/>
      <c r="AC43" s="260"/>
      <c r="AD43" s="260"/>
      <c r="AE43" s="663"/>
      <c r="AF43" s="260">
        <v>-16.3</v>
      </c>
      <c r="AG43" s="260">
        <v>-16.3</v>
      </c>
      <c r="AH43" s="664">
        <v>-16.3</v>
      </c>
      <c r="AI43" s="260"/>
      <c r="AJ43" s="260">
        <v>-16.3</v>
      </c>
      <c r="AK43" s="260">
        <v>-16.3</v>
      </c>
      <c r="AL43" s="260">
        <v>-16.3</v>
      </c>
      <c r="AM43" s="663">
        <v>0</v>
      </c>
      <c r="AN43" s="260">
        <v>0</v>
      </c>
      <c r="AO43" s="260">
        <v>0</v>
      </c>
      <c r="AP43" s="664">
        <v>0</v>
      </c>
      <c r="AQ43" s="260">
        <v>0</v>
      </c>
      <c r="AR43" s="260">
        <v>0</v>
      </c>
      <c r="AS43" s="260">
        <v>0</v>
      </c>
      <c r="AT43" s="664">
        <v>0</v>
      </c>
      <c r="AU43" s="260">
        <v>0</v>
      </c>
      <c r="AV43" s="260">
        <v>-473.8</v>
      </c>
      <c r="AW43" s="260">
        <v>-473.8</v>
      </c>
      <c r="AX43" s="664">
        <v>-473.8</v>
      </c>
      <c r="AY43" s="260">
        <v>0</v>
      </c>
      <c r="AZ43" s="260">
        <v>0</v>
      </c>
      <c r="BA43" s="68">
        <v>0</v>
      </c>
      <c r="BB43" s="664">
        <v>0</v>
      </c>
      <c r="BC43" s="847"/>
      <c r="BD43" s="1036"/>
      <c r="BE43" s="1041"/>
      <c r="BF43" s="1031"/>
      <c r="BG43" s="1032"/>
      <c r="BH43" s="1033"/>
      <c r="BI43" s="1041"/>
    </row>
    <row r="44" spans="1:61" ht="26">
      <c r="A44" s="70" t="s">
        <v>383</v>
      </c>
      <c r="B44" s="673" t="s">
        <v>384</v>
      </c>
      <c r="C44" s="69">
        <v>0</v>
      </c>
      <c r="D44" s="69">
        <v>0</v>
      </c>
      <c r="E44" s="69">
        <v>0</v>
      </c>
      <c r="F44" s="69">
        <v>0</v>
      </c>
      <c r="G44" s="677">
        <v>0</v>
      </c>
      <c r="H44" s="69">
        <v>0</v>
      </c>
      <c r="I44" s="68">
        <v>48.219000000000001</v>
      </c>
      <c r="J44" s="657">
        <v>48.736000000000004</v>
      </c>
      <c r="K44" s="69">
        <v>0</v>
      </c>
      <c r="L44" s="68">
        <v>0</v>
      </c>
      <c r="M44" s="68">
        <v>0</v>
      </c>
      <c r="N44" s="68">
        <v>0</v>
      </c>
      <c r="O44" s="656">
        <v>0</v>
      </c>
      <c r="P44" s="68">
        <v>0</v>
      </c>
      <c r="Q44" s="68">
        <v>0</v>
      </c>
      <c r="R44" s="657">
        <v>0</v>
      </c>
      <c r="S44" s="68">
        <v>0</v>
      </c>
      <c r="T44" s="68">
        <v>0.2</v>
      </c>
      <c r="U44" s="68">
        <v>0.2</v>
      </c>
      <c r="V44" s="68">
        <v>0</v>
      </c>
      <c r="W44" s="656">
        <v>0</v>
      </c>
      <c r="X44" s="68">
        <v>0</v>
      </c>
      <c r="Y44" s="68">
        <v>0</v>
      </c>
      <c r="Z44" s="657">
        <v>0</v>
      </c>
      <c r="AA44" s="68">
        <v>0</v>
      </c>
      <c r="AB44" s="68">
        <v>0</v>
      </c>
      <c r="AC44" s="68">
        <v>0</v>
      </c>
      <c r="AD44" s="68">
        <v>0</v>
      </c>
      <c r="AE44" s="656">
        <v>0</v>
      </c>
      <c r="AF44" s="68">
        <v>0</v>
      </c>
      <c r="AG44" s="68"/>
      <c r="AH44" s="657">
        <v>0</v>
      </c>
      <c r="AI44" s="68">
        <v>0</v>
      </c>
      <c r="AJ44" s="68">
        <v>0</v>
      </c>
      <c r="AK44" s="68">
        <v>0</v>
      </c>
      <c r="AL44" s="68">
        <v>0</v>
      </c>
      <c r="AM44" s="656">
        <v>0</v>
      </c>
      <c r="AN44" s="68">
        <v>0</v>
      </c>
      <c r="AO44" s="68">
        <v>0</v>
      </c>
      <c r="AP44" s="657">
        <v>0</v>
      </c>
      <c r="AQ44" s="68">
        <v>0</v>
      </c>
      <c r="AR44" s="68">
        <v>0</v>
      </c>
      <c r="AS44" s="68">
        <v>7111.9</v>
      </c>
      <c r="AT44" s="657">
        <v>7111.9</v>
      </c>
      <c r="AU44" s="68">
        <v>0</v>
      </c>
      <c r="AV44" s="68">
        <v>0</v>
      </c>
      <c r="AW44" s="68">
        <v>643.29999999999995</v>
      </c>
      <c r="AX44" s="657">
        <v>757.4</v>
      </c>
      <c r="AY44" s="68">
        <v>0</v>
      </c>
      <c r="AZ44" s="68"/>
      <c r="BA44" s="68">
        <v>913.8</v>
      </c>
      <c r="BB44" s="1006">
        <v>913.8</v>
      </c>
      <c r="BC44" s="847"/>
      <c r="BD44" s="1040"/>
      <c r="BE44" s="1025"/>
      <c r="BF44" s="1031"/>
      <c r="BG44" s="1032"/>
      <c r="BH44" s="1033"/>
      <c r="BI44" s="1025"/>
    </row>
    <row r="45" spans="1:61" ht="20.149999999999999" customHeight="1">
      <c r="A45" s="70" t="s">
        <v>385</v>
      </c>
      <c r="B45" s="673" t="s">
        <v>386</v>
      </c>
      <c r="C45" s="68">
        <v>0.09</v>
      </c>
      <c r="D45" s="68">
        <v>0.121</v>
      </c>
      <c r="E45" s="68">
        <v>0.69000000000000006</v>
      </c>
      <c r="F45" s="68">
        <v>0.751</v>
      </c>
      <c r="G45" s="656">
        <v>0.35000000000000003</v>
      </c>
      <c r="H45" s="68">
        <v>0.41000000000000003</v>
      </c>
      <c r="I45" s="68">
        <v>1.756</v>
      </c>
      <c r="J45" s="657">
        <v>2.0640000000000001</v>
      </c>
      <c r="K45" s="69">
        <v>0.33700000000000002</v>
      </c>
      <c r="L45" s="68">
        <v>1.6</v>
      </c>
      <c r="M45" s="68">
        <v>4</v>
      </c>
      <c r="N45" s="68">
        <v>4.0999999999999996</v>
      </c>
      <c r="O45" s="656">
        <v>0.2</v>
      </c>
      <c r="P45" s="68">
        <v>13.3</v>
      </c>
      <c r="Q45" s="68">
        <v>15.1</v>
      </c>
      <c r="R45" s="657">
        <v>16.899999999999999</v>
      </c>
      <c r="S45" s="68">
        <v>3.5</v>
      </c>
      <c r="T45" s="68">
        <v>5</v>
      </c>
      <c r="U45" s="68">
        <v>6.3</v>
      </c>
      <c r="V45" s="68">
        <v>9.5</v>
      </c>
      <c r="W45" s="656">
        <v>12.8</v>
      </c>
      <c r="X45" s="68">
        <v>16</v>
      </c>
      <c r="Y45" s="68">
        <v>15.8</v>
      </c>
      <c r="Z45" s="657">
        <v>19.3</v>
      </c>
      <c r="AA45" s="68">
        <v>3.4</v>
      </c>
      <c r="AB45" s="68">
        <v>10.6</v>
      </c>
      <c r="AC45" s="68">
        <v>11.6</v>
      </c>
      <c r="AD45" s="68">
        <v>11.6</v>
      </c>
      <c r="AE45" s="656">
        <v>2.5</v>
      </c>
      <c r="AF45" s="68">
        <v>4.2</v>
      </c>
      <c r="AG45" s="68">
        <v>4.8</v>
      </c>
      <c r="AH45" s="657">
        <v>6.8</v>
      </c>
      <c r="AI45" s="68">
        <v>2.5</v>
      </c>
      <c r="AJ45" s="68">
        <v>4.2</v>
      </c>
      <c r="AK45" s="68">
        <v>4.8</v>
      </c>
      <c r="AL45" s="68">
        <v>6.8</v>
      </c>
      <c r="AM45" s="656">
        <v>1.7</v>
      </c>
      <c r="AN45" s="68">
        <v>4.4000000000000004</v>
      </c>
      <c r="AO45" s="68">
        <v>5.5</v>
      </c>
      <c r="AP45" s="657">
        <v>8.4</v>
      </c>
      <c r="AQ45" s="68">
        <v>3.4</v>
      </c>
      <c r="AR45" s="68">
        <v>4</v>
      </c>
      <c r="AS45" s="68">
        <v>4.8</v>
      </c>
      <c r="AT45" s="657">
        <v>5.7</v>
      </c>
      <c r="AU45" s="68">
        <v>0.6</v>
      </c>
      <c r="AV45" s="68">
        <v>2.2999999999999998</v>
      </c>
      <c r="AW45" s="68">
        <v>2.5</v>
      </c>
      <c r="AX45" s="664">
        <v>78.2</v>
      </c>
      <c r="AY45" s="68">
        <v>6.4</v>
      </c>
      <c r="AZ45" s="68">
        <v>8.6</v>
      </c>
      <c r="BA45" s="68">
        <v>12.9</v>
      </c>
      <c r="BB45" s="1006">
        <v>26.2</v>
      </c>
      <c r="BC45" s="847"/>
      <c r="BD45" s="1040"/>
      <c r="BE45" s="1025"/>
      <c r="BF45" s="1031"/>
      <c r="BG45" s="1032"/>
      <c r="BH45" s="1033"/>
      <c r="BI45" s="1025"/>
    </row>
    <row r="46" spans="1:61" ht="20.149999999999999" customHeight="1">
      <c r="A46" s="70" t="s">
        <v>387</v>
      </c>
      <c r="B46" s="673" t="s">
        <v>388</v>
      </c>
      <c r="C46" s="68"/>
      <c r="D46" s="68"/>
      <c r="E46" s="68"/>
      <c r="F46" s="68"/>
      <c r="G46" s="656"/>
      <c r="H46" s="68"/>
      <c r="I46" s="68"/>
      <c r="J46" s="657"/>
      <c r="K46" s="69"/>
      <c r="L46" s="68"/>
      <c r="M46" s="68"/>
      <c r="N46" s="68"/>
      <c r="O46" s="656"/>
      <c r="P46" s="68"/>
      <c r="Q46" s="68"/>
      <c r="R46" s="657"/>
      <c r="S46" s="68"/>
      <c r="T46" s="68"/>
      <c r="U46" s="68"/>
      <c r="V46" s="68"/>
      <c r="W46" s="656"/>
      <c r="X46" s="68"/>
      <c r="Y46" s="68"/>
      <c r="Z46" s="657"/>
      <c r="AA46" s="68">
        <v>-45</v>
      </c>
      <c r="AB46" s="68">
        <f>-50+50.3</f>
        <v>0.29999999999999716</v>
      </c>
      <c r="AC46" s="68">
        <f>-95+95.4</f>
        <v>0.40000000000000568</v>
      </c>
      <c r="AD46" s="68">
        <f>-130+130.5</f>
        <v>0.5</v>
      </c>
      <c r="AE46" s="656">
        <v>0.1</v>
      </c>
      <c r="AF46" s="68">
        <v>0.3</v>
      </c>
      <c r="AG46" s="68">
        <f>100.5-100</f>
        <v>0.5</v>
      </c>
      <c r="AH46" s="657">
        <v>0.69999999999998863</v>
      </c>
      <c r="AI46" s="68">
        <v>0.1</v>
      </c>
      <c r="AJ46" s="68">
        <v>0.3</v>
      </c>
      <c r="AK46" s="68">
        <v>0.5</v>
      </c>
      <c r="AL46" s="68">
        <v>0.69999999999998863</v>
      </c>
      <c r="AM46" s="656">
        <v>0</v>
      </c>
      <c r="AN46" s="68">
        <v>0</v>
      </c>
      <c r="AO46" s="68">
        <v>0</v>
      </c>
      <c r="AP46" s="657">
        <v>0</v>
      </c>
      <c r="AQ46" s="68">
        <v>0</v>
      </c>
      <c r="AR46" s="68">
        <v>0</v>
      </c>
      <c r="AS46" s="68">
        <v>0</v>
      </c>
      <c r="AT46" s="657">
        <v>0</v>
      </c>
      <c r="AU46" s="68">
        <v>0</v>
      </c>
      <c r="AV46" s="68">
        <v>0</v>
      </c>
      <c r="AW46" s="68">
        <v>0</v>
      </c>
      <c r="AX46" s="657">
        <v>0</v>
      </c>
      <c r="AY46" s="68">
        <v>0</v>
      </c>
      <c r="AZ46" s="68">
        <v>0</v>
      </c>
      <c r="BA46" s="68">
        <v>0</v>
      </c>
      <c r="BB46" s="944">
        <v>0</v>
      </c>
      <c r="BC46" s="847"/>
      <c r="BD46" s="1040"/>
      <c r="BE46" s="1025"/>
      <c r="BF46" s="1031"/>
      <c r="BG46" s="1032"/>
      <c r="BH46" s="1033"/>
      <c r="BI46" s="1025"/>
    </row>
    <row r="47" spans="1:61" ht="20.149999999999999" customHeight="1">
      <c r="A47" s="70" t="s">
        <v>389</v>
      </c>
      <c r="B47" s="673" t="s">
        <v>209</v>
      </c>
      <c r="C47" s="69">
        <v>0</v>
      </c>
      <c r="D47" s="69">
        <v>0</v>
      </c>
      <c r="E47" s="69">
        <v>0</v>
      </c>
      <c r="F47" s="69">
        <v>0</v>
      </c>
      <c r="G47" s="677">
        <v>0</v>
      </c>
      <c r="H47" s="69">
        <v>0</v>
      </c>
      <c r="I47" s="69">
        <v>0</v>
      </c>
      <c r="J47" s="678">
        <v>0</v>
      </c>
      <c r="K47" s="69">
        <v>0</v>
      </c>
      <c r="L47" s="68">
        <v>-270</v>
      </c>
      <c r="M47" s="68">
        <v>-30</v>
      </c>
      <c r="N47" s="68">
        <v>0</v>
      </c>
      <c r="O47" s="656">
        <v>-42.7</v>
      </c>
      <c r="P47" s="68">
        <v>-42.7</v>
      </c>
      <c r="Q47" s="68">
        <v>0</v>
      </c>
      <c r="R47" s="657">
        <v>0</v>
      </c>
      <c r="S47" s="68">
        <v>-12.4</v>
      </c>
      <c r="T47" s="68">
        <v>0</v>
      </c>
      <c r="U47" s="68">
        <v>0</v>
      </c>
      <c r="V47" s="68">
        <v>0</v>
      </c>
      <c r="W47" s="656">
        <v>0</v>
      </c>
      <c r="X47" s="68">
        <v>0</v>
      </c>
      <c r="Y47" s="68">
        <v>0</v>
      </c>
      <c r="Z47" s="657">
        <v>0</v>
      </c>
      <c r="AA47" s="68">
        <v>0</v>
      </c>
      <c r="AB47" s="68">
        <v>0</v>
      </c>
      <c r="AC47" s="68">
        <v>0</v>
      </c>
      <c r="AD47" s="68">
        <v>0</v>
      </c>
      <c r="AE47" s="656">
        <v>0</v>
      </c>
      <c r="AF47" s="68">
        <v>0</v>
      </c>
      <c r="AG47" s="68">
        <v>0</v>
      </c>
      <c r="AH47" s="657">
        <v>0</v>
      </c>
      <c r="AI47" s="68">
        <v>0</v>
      </c>
      <c r="AJ47" s="68">
        <v>0</v>
      </c>
      <c r="AK47" s="68">
        <v>0</v>
      </c>
      <c r="AL47" s="68">
        <v>0</v>
      </c>
      <c r="AM47" s="656">
        <v>0</v>
      </c>
      <c r="AN47" s="68">
        <v>0</v>
      </c>
      <c r="AO47" s="68">
        <v>0</v>
      </c>
      <c r="AP47" s="657">
        <v>0</v>
      </c>
      <c r="AQ47" s="68">
        <v>0</v>
      </c>
      <c r="AR47" s="68">
        <v>0</v>
      </c>
      <c r="AS47" s="68">
        <v>0</v>
      </c>
      <c r="AT47" s="657">
        <v>0</v>
      </c>
      <c r="AU47" s="68">
        <v>0</v>
      </c>
      <c r="AV47" s="68">
        <v>0</v>
      </c>
      <c r="AW47" s="68">
        <v>0</v>
      </c>
      <c r="AX47" s="657">
        <v>0</v>
      </c>
      <c r="AY47" s="68">
        <v>0</v>
      </c>
      <c r="AZ47" s="68">
        <v>0</v>
      </c>
      <c r="BA47" s="68">
        <v>0</v>
      </c>
      <c r="BB47" s="944">
        <v>0</v>
      </c>
      <c r="BC47" s="847"/>
      <c r="BD47" s="1040"/>
      <c r="BE47" s="1025"/>
      <c r="BF47" s="1031"/>
      <c r="BG47" s="1032"/>
      <c r="BH47" s="1033"/>
      <c r="BI47" s="1025"/>
    </row>
    <row r="48" spans="1:61" ht="20.149999999999999" customHeight="1">
      <c r="A48" s="70" t="s">
        <v>390</v>
      </c>
      <c r="B48" s="673" t="s">
        <v>391</v>
      </c>
      <c r="C48" s="68">
        <v>-1.1000000000000001</v>
      </c>
      <c r="D48" s="68">
        <v>-1.1000000000000001</v>
      </c>
      <c r="E48" s="68">
        <v>-1.1000000000000001</v>
      </c>
      <c r="F48" s="68">
        <v>-1.1000000000000001</v>
      </c>
      <c r="G48" s="677">
        <v>0</v>
      </c>
      <c r="H48" s="69">
        <v>0</v>
      </c>
      <c r="I48" s="69">
        <v>0</v>
      </c>
      <c r="J48" s="678">
        <v>0</v>
      </c>
      <c r="K48" s="69">
        <v>0</v>
      </c>
      <c r="L48" s="68">
        <v>-5.8</v>
      </c>
      <c r="M48" s="68">
        <v>-20.399999999999999</v>
      </c>
      <c r="N48" s="68">
        <v>-23.1</v>
      </c>
      <c r="O48" s="656">
        <v>-6</v>
      </c>
      <c r="P48" s="68">
        <v>-8.9</v>
      </c>
      <c r="Q48" s="68">
        <v>-12.1</v>
      </c>
      <c r="R48" s="657">
        <v>-16.100000000000001</v>
      </c>
      <c r="S48" s="68">
        <v>-6.8</v>
      </c>
      <c r="T48" s="68">
        <v>-9.5</v>
      </c>
      <c r="U48" s="68">
        <v>-10.5</v>
      </c>
      <c r="V48" s="68">
        <v>-11.6</v>
      </c>
      <c r="W48" s="656">
        <v>0</v>
      </c>
      <c r="X48" s="68">
        <v>0</v>
      </c>
      <c r="Y48" s="68">
        <v>-28.6</v>
      </c>
      <c r="Z48" s="657">
        <v>-31.1</v>
      </c>
      <c r="AA48" s="68">
        <v>-11</v>
      </c>
      <c r="AB48" s="68">
        <v>-11</v>
      </c>
      <c r="AC48" s="68">
        <v>-11</v>
      </c>
      <c r="AD48" s="68">
        <v>-12.4</v>
      </c>
      <c r="AE48" s="656">
        <v>-12.9</v>
      </c>
      <c r="AF48" s="68">
        <v>-14.6</v>
      </c>
      <c r="AG48" s="68">
        <v>-15.3</v>
      </c>
      <c r="AH48" s="657">
        <v>-21.4</v>
      </c>
      <c r="AI48" s="68">
        <v>-12.9</v>
      </c>
      <c r="AJ48" s="68">
        <v>-14.6</v>
      </c>
      <c r="AK48" s="68">
        <v>-15.3</v>
      </c>
      <c r="AL48" s="68">
        <v>-21.4</v>
      </c>
      <c r="AM48" s="656">
        <v>-5</v>
      </c>
      <c r="AN48" s="68">
        <v>-8.3000000000000007</v>
      </c>
      <c r="AO48" s="68">
        <v>-12.2</v>
      </c>
      <c r="AP48" s="657">
        <v>-13</v>
      </c>
      <c r="AQ48" s="68">
        <v>-2</v>
      </c>
      <c r="AR48" s="68">
        <v>-5.7</v>
      </c>
      <c r="AS48" s="68">
        <v>-13.8</v>
      </c>
      <c r="AT48" s="657">
        <v>-64.900000000000006</v>
      </c>
      <c r="AU48" s="68">
        <v>-192.7</v>
      </c>
      <c r="AV48" s="68">
        <v>-482.2</v>
      </c>
      <c r="AW48" s="68">
        <v>-551.4</v>
      </c>
      <c r="AX48" s="657">
        <v>-686.9</v>
      </c>
      <c r="AY48" s="68">
        <v>-144</v>
      </c>
      <c r="AZ48" s="68">
        <v>-342.5</v>
      </c>
      <c r="BA48" s="68">
        <v>-342.5</v>
      </c>
      <c r="BB48" s="1006">
        <v>-343.4</v>
      </c>
      <c r="BC48" s="847"/>
      <c r="BD48" s="1040"/>
      <c r="BE48" s="1025"/>
      <c r="BF48" s="1031"/>
      <c r="BG48" s="1032"/>
      <c r="BH48" s="1033"/>
      <c r="BI48" s="1025"/>
    </row>
    <row r="49" spans="1:61" ht="20.149999999999999" customHeight="1">
      <c r="A49" s="70" t="s">
        <v>392</v>
      </c>
      <c r="B49" s="673" t="s">
        <v>393</v>
      </c>
      <c r="C49" s="68">
        <v>0</v>
      </c>
      <c r="D49" s="68">
        <v>1.1000000000000001</v>
      </c>
      <c r="E49" s="68">
        <v>1.1000000000000001</v>
      </c>
      <c r="F49" s="68">
        <v>1.1000000000000001</v>
      </c>
      <c r="G49" s="677">
        <v>0</v>
      </c>
      <c r="H49" s="69">
        <v>0</v>
      </c>
      <c r="I49" s="69">
        <v>0</v>
      </c>
      <c r="J49" s="678">
        <v>0</v>
      </c>
      <c r="K49" s="69">
        <v>0</v>
      </c>
      <c r="L49" s="68">
        <v>0</v>
      </c>
      <c r="M49" s="68">
        <v>0</v>
      </c>
      <c r="N49" s="68">
        <v>0</v>
      </c>
      <c r="O49" s="656">
        <v>0</v>
      </c>
      <c r="P49" s="68">
        <v>0</v>
      </c>
      <c r="Q49" s="68">
        <v>0</v>
      </c>
      <c r="R49" s="657">
        <v>0</v>
      </c>
      <c r="S49" s="68">
        <v>0</v>
      </c>
      <c r="T49" s="68">
        <v>0</v>
      </c>
      <c r="U49" s="68">
        <v>0</v>
      </c>
      <c r="V49" s="68">
        <v>0.1</v>
      </c>
      <c r="W49" s="656">
        <v>0</v>
      </c>
      <c r="X49" s="68">
        <v>0</v>
      </c>
      <c r="Y49" s="68">
        <v>25</v>
      </c>
      <c r="Z49" s="657">
        <v>30.5</v>
      </c>
      <c r="AA49" s="68">
        <v>0</v>
      </c>
      <c r="AB49" s="68">
        <v>6.4</v>
      </c>
      <c r="AC49" s="68">
        <v>30</v>
      </c>
      <c r="AD49" s="68">
        <v>29.3</v>
      </c>
      <c r="AE49" s="656">
        <v>0</v>
      </c>
      <c r="AF49" s="68">
        <v>0</v>
      </c>
      <c r="AG49" s="68">
        <v>0</v>
      </c>
      <c r="AH49" s="657">
        <v>0.7</v>
      </c>
      <c r="AI49" s="68">
        <v>0</v>
      </c>
      <c r="AJ49" s="68">
        <v>0</v>
      </c>
      <c r="AK49" s="68">
        <v>0</v>
      </c>
      <c r="AL49" s="68">
        <v>0.7</v>
      </c>
      <c r="AM49" s="656">
        <v>0</v>
      </c>
      <c r="AN49" s="68">
        <v>0</v>
      </c>
      <c r="AO49" s="68">
        <v>0</v>
      </c>
      <c r="AP49" s="657">
        <v>0</v>
      </c>
      <c r="AQ49" s="68">
        <v>0</v>
      </c>
      <c r="AR49" s="68">
        <v>0</v>
      </c>
      <c r="AS49" s="68">
        <v>0</v>
      </c>
      <c r="AT49" s="657">
        <v>0</v>
      </c>
      <c r="AU49" s="68">
        <v>0</v>
      </c>
      <c r="AV49" s="68">
        <v>56.2</v>
      </c>
      <c r="AW49" s="68">
        <v>146.1</v>
      </c>
      <c r="AX49" s="657">
        <v>272.5</v>
      </c>
      <c r="AY49" s="68">
        <v>60.5</v>
      </c>
      <c r="AZ49" s="68">
        <v>132.80000000000001</v>
      </c>
      <c r="BA49" s="68">
        <v>132.80000000000001</v>
      </c>
      <c r="BB49" s="1006">
        <v>133</v>
      </c>
      <c r="BC49" s="847"/>
      <c r="BD49" s="1040"/>
      <c r="BE49" s="1025"/>
      <c r="BF49" s="1031"/>
      <c r="BG49" s="1032"/>
      <c r="BH49" s="1033"/>
      <c r="BI49" s="1025"/>
    </row>
    <row r="50" spans="1:61" ht="20.149999999999999" customHeight="1">
      <c r="A50" s="70" t="s">
        <v>394</v>
      </c>
      <c r="B50" s="673" t="s">
        <v>395</v>
      </c>
      <c r="C50" s="69">
        <v>0</v>
      </c>
      <c r="D50" s="69">
        <v>0</v>
      </c>
      <c r="E50" s="69">
        <v>0</v>
      </c>
      <c r="F50" s="69">
        <v>0</v>
      </c>
      <c r="G50" s="677">
        <v>0</v>
      </c>
      <c r="H50" s="69">
        <v>0</v>
      </c>
      <c r="I50" s="69">
        <v>0</v>
      </c>
      <c r="J50" s="678">
        <v>0</v>
      </c>
      <c r="K50" s="69">
        <v>0</v>
      </c>
      <c r="L50" s="68">
        <v>5</v>
      </c>
      <c r="M50" s="68">
        <v>5.5</v>
      </c>
      <c r="N50" s="68">
        <v>6.6</v>
      </c>
      <c r="O50" s="656">
        <v>1.2</v>
      </c>
      <c r="P50" s="68">
        <v>-2.1</v>
      </c>
      <c r="Q50" s="68">
        <v>3.2</v>
      </c>
      <c r="R50" s="657">
        <v>3.9</v>
      </c>
      <c r="S50" s="68">
        <v>-5</v>
      </c>
      <c r="T50" s="68">
        <v>-4</v>
      </c>
      <c r="U50" s="68">
        <v>-3.5</v>
      </c>
      <c r="V50" s="68">
        <v>-1.6</v>
      </c>
      <c r="W50" s="656">
        <v>-1.1000000000000001</v>
      </c>
      <c r="X50" s="68">
        <v>0</v>
      </c>
      <c r="Y50" s="92" t="s">
        <v>396</v>
      </c>
      <c r="Z50" s="659" t="s">
        <v>396</v>
      </c>
      <c r="AA50" s="68">
        <v>-1.5</v>
      </c>
      <c r="AB50" s="68">
        <v>0</v>
      </c>
      <c r="AC50" s="68">
        <v>0</v>
      </c>
      <c r="AD50" s="92">
        <v>0</v>
      </c>
      <c r="AE50" s="656">
        <v>0</v>
      </c>
      <c r="AF50" s="68">
        <v>0</v>
      </c>
      <c r="AG50" s="68">
        <v>0</v>
      </c>
      <c r="AH50" s="659">
        <v>0</v>
      </c>
      <c r="AI50" s="68">
        <v>0</v>
      </c>
      <c r="AJ50" s="68">
        <v>0</v>
      </c>
      <c r="AK50" s="68">
        <v>0</v>
      </c>
      <c r="AL50" s="92">
        <v>0</v>
      </c>
      <c r="AM50" s="656">
        <v>0</v>
      </c>
      <c r="AN50" s="68">
        <v>0</v>
      </c>
      <c r="AO50" s="68">
        <v>0</v>
      </c>
      <c r="AP50" s="659">
        <v>0</v>
      </c>
      <c r="AQ50" s="68">
        <v>0</v>
      </c>
      <c r="AR50" s="68">
        <v>0</v>
      </c>
      <c r="AS50" s="68">
        <v>0</v>
      </c>
      <c r="AT50" s="659">
        <v>0</v>
      </c>
      <c r="AU50" s="68">
        <v>0</v>
      </c>
      <c r="AV50" s="68">
        <v>0</v>
      </c>
      <c r="AW50" s="68">
        <v>0</v>
      </c>
      <c r="AX50" s="659">
        <v>0</v>
      </c>
      <c r="AY50" s="68">
        <v>0</v>
      </c>
      <c r="AZ50" s="68">
        <v>0</v>
      </c>
      <c r="BA50" s="68">
        <v>0</v>
      </c>
      <c r="BB50" s="1006">
        <v>0</v>
      </c>
      <c r="BC50" s="847"/>
      <c r="BD50" s="1040"/>
      <c r="BE50" s="1025"/>
      <c r="BF50" s="1031"/>
      <c r="BG50" s="1032"/>
      <c r="BH50" s="1033"/>
      <c r="BI50" s="1025"/>
    </row>
    <row r="51" spans="1:61" ht="20.149999999999999" customHeight="1">
      <c r="A51" s="70" t="s">
        <v>397</v>
      </c>
      <c r="B51" s="673" t="s">
        <v>398</v>
      </c>
      <c r="C51" s="69">
        <v>0</v>
      </c>
      <c r="D51" s="68">
        <v>1.258</v>
      </c>
      <c r="E51" s="68">
        <v>1.258</v>
      </c>
      <c r="F51" s="68">
        <v>2.706</v>
      </c>
      <c r="G51" s="656">
        <v>0</v>
      </c>
      <c r="H51" s="68">
        <v>2.5150000000000001</v>
      </c>
      <c r="I51" s="68">
        <v>2.5150000000000001</v>
      </c>
      <c r="J51" s="657">
        <v>2.5150000000000001</v>
      </c>
      <c r="K51" s="68">
        <v>2.5300000000000002</v>
      </c>
      <c r="L51" s="68">
        <v>2.5</v>
      </c>
      <c r="M51" s="68">
        <v>2.5</v>
      </c>
      <c r="N51" s="68">
        <v>2.5</v>
      </c>
      <c r="O51" s="656">
        <v>0</v>
      </c>
      <c r="P51" s="68">
        <v>0</v>
      </c>
      <c r="Q51" s="68">
        <v>0</v>
      </c>
      <c r="R51" s="657">
        <v>0</v>
      </c>
      <c r="S51" s="68">
        <v>0</v>
      </c>
      <c r="T51" s="68">
        <v>0</v>
      </c>
      <c r="U51" s="68">
        <v>0</v>
      </c>
      <c r="V51" s="68">
        <v>0</v>
      </c>
      <c r="W51" s="656">
        <v>0</v>
      </c>
      <c r="X51" s="68">
        <v>0</v>
      </c>
      <c r="Y51" s="68">
        <v>0</v>
      </c>
      <c r="Z51" s="657">
        <v>0</v>
      </c>
      <c r="AA51" s="68">
        <v>0</v>
      </c>
      <c r="AB51" s="68">
        <v>0</v>
      </c>
      <c r="AC51" s="68">
        <v>0</v>
      </c>
      <c r="AD51" s="68">
        <v>0</v>
      </c>
      <c r="AE51" s="656">
        <v>0</v>
      </c>
      <c r="AF51" s="68">
        <v>0</v>
      </c>
      <c r="AG51" s="68">
        <v>0</v>
      </c>
      <c r="AH51" s="657">
        <v>0</v>
      </c>
      <c r="AI51" s="68">
        <v>0</v>
      </c>
      <c r="AJ51" s="68">
        <v>0</v>
      </c>
      <c r="AK51" s="68">
        <v>0</v>
      </c>
      <c r="AL51" s="68">
        <v>0</v>
      </c>
      <c r="AM51" s="656">
        <v>0</v>
      </c>
      <c r="AN51" s="68">
        <v>56.8</v>
      </c>
      <c r="AO51" s="68">
        <v>57.2</v>
      </c>
      <c r="AP51" s="657">
        <v>57.2</v>
      </c>
      <c r="AQ51" s="68">
        <v>0</v>
      </c>
      <c r="AR51" s="665">
        <v>59.2</v>
      </c>
      <c r="AS51" s="68">
        <v>59.2</v>
      </c>
      <c r="AT51" s="657">
        <v>59.2</v>
      </c>
      <c r="AU51" s="68">
        <v>0</v>
      </c>
      <c r="AV51" s="68">
        <v>64</v>
      </c>
      <c r="AW51" s="68">
        <v>64</v>
      </c>
      <c r="AX51" s="657">
        <v>64</v>
      </c>
      <c r="AY51" s="68">
        <v>7.1</v>
      </c>
      <c r="AZ51" s="777">
        <v>73.8</v>
      </c>
      <c r="BA51" s="68">
        <v>73.8</v>
      </c>
      <c r="BB51" s="1006">
        <v>73.8</v>
      </c>
      <c r="BC51" s="847"/>
      <c r="BD51" s="1040"/>
      <c r="BE51" s="1025"/>
      <c r="BF51" s="1027"/>
      <c r="BG51" s="1028"/>
      <c r="BH51" s="1029"/>
      <c r="BI51" s="1025"/>
    </row>
    <row r="52" spans="1:61" s="100" customFormat="1" ht="20.149999999999999" customHeight="1">
      <c r="A52" s="195" t="s">
        <v>399</v>
      </c>
      <c r="B52" s="674" t="s">
        <v>400</v>
      </c>
      <c r="C52" s="261"/>
      <c r="D52" s="260"/>
      <c r="E52" s="260"/>
      <c r="F52" s="260"/>
      <c r="G52" s="663"/>
      <c r="H52" s="260"/>
      <c r="I52" s="260"/>
      <c r="J52" s="664"/>
      <c r="K52" s="260"/>
      <c r="L52" s="260"/>
      <c r="M52" s="260"/>
      <c r="N52" s="260"/>
      <c r="O52" s="663"/>
      <c r="P52" s="260"/>
      <c r="Q52" s="260"/>
      <c r="R52" s="664"/>
      <c r="S52" s="260"/>
      <c r="T52" s="260"/>
      <c r="U52" s="260"/>
      <c r="V52" s="260"/>
      <c r="W52" s="663"/>
      <c r="X52" s="260"/>
      <c r="Y52" s="260"/>
      <c r="Z52" s="664"/>
      <c r="AA52" s="260"/>
      <c r="AB52" s="260"/>
      <c r="AC52" s="260"/>
      <c r="AD52" s="260"/>
      <c r="AE52" s="663"/>
      <c r="AF52" s="260">
        <v>8.6999999999999993</v>
      </c>
      <c r="AG52" s="260">
        <v>8.6999999999999993</v>
      </c>
      <c r="AH52" s="664">
        <v>8.6999999999999993</v>
      </c>
      <c r="AI52" s="260"/>
      <c r="AJ52" s="260">
        <v>8.6999999999999993</v>
      </c>
      <c r="AK52" s="260">
        <v>8.6999999999999993</v>
      </c>
      <c r="AL52" s="260">
        <v>8.6999999999999993</v>
      </c>
      <c r="AM52" s="663">
        <v>0</v>
      </c>
      <c r="AN52" s="260">
        <v>1.4</v>
      </c>
      <c r="AO52" s="260">
        <v>1.4</v>
      </c>
      <c r="AP52" s="664">
        <v>1.4</v>
      </c>
      <c r="AQ52" s="260">
        <v>8.6</v>
      </c>
      <c r="AR52" s="665">
        <v>8.6</v>
      </c>
      <c r="AS52" s="260">
        <v>8.6</v>
      </c>
      <c r="AT52" s="664">
        <v>8.6</v>
      </c>
      <c r="AU52" s="260">
        <v>0</v>
      </c>
      <c r="AV52" s="68">
        <v>0</v>
      </c>
      <c r="AW52" s="68">
        <v>0</v>
      </c>
      <c r="AX52" s="664">
        <v>0</v>
      </c>
      <c r="AY52" s="260">
        <v>0</v>
      </c>
      <c r="AZ52" s="68">
        <v>22</v>
      </c>
      <c r="BA52" s="68">
        <v>22</v>
      </c>
      <c r="BB52" s="1006">
        <v>22</v>
      </c>
      <c r="BC52" s="847"/>
      <c r="BD52" s="1040"/>
      <c r="BE52" s="1041"/>
      <c r="BF52" s="1031"/>
      <c r="BG52" s="1032"/>
      <c r="BH52" s="1033"/>
      <c r="BI52" s="1041"/>
    </row>
    <row r="53" spans="1:61" ht="20.149999999999999" customHeight="1">
      <c r="A53" s="70" t="s">
        <v>401</v>
      </c>
      <c r="B53" s="673" t="s">
        <v>402</v>
      </c>
      <c r="C53" s="69">
        <v>0</v>
      </c>
      <c r="D53" s="69">
        <v>0</v>
      </c>
      <c r="E53" s="69">
        <v>0</v>
      </c>
      <c r="F53" s="69">
        <v>0</v>
      </c>
      <c r="G53" s="677">
        <v>0</v>
      </c>
      <c r="H53" s="69">
        <v>0</v>
      </c>
      <c r="I53" s="69">
        <v>0</v>
      </c>
      <c r="J53" s="678">
        <v>0</v>
      </c>
      <c r="K53" s="69">
        <v>0</v>
      </c>
      <c r="L53" s="68">
        <v>0</v>
      </c>
      <c r="M53" s="68">
        <v>0</v>
      </c>
      <c r="N53" s="68">
        <v>0</v>
      </c>
      <c r="O53" s="656">
        <v>0</v>
      </c>
      <c r="P53" s="68">
        <v>0</v>
      </c>
      <c r="Q53" s="68">
        <v>0</v>
      </c>
      <c r="R53" s="657">
        <v>0</v>
      </c>
      <c r="S53" s="68">
        <v>0</v>
      </c>
      <c r="T53" s="68">
        <v>1</v>
      </c>
      <c r="U53" s="68">
        <v>1</v>
      </c>
      <c r="V53" s="68">
        <v>3.5</v>
      </c>
      <c r="W53" s="656">
        <v>1.2</v>
      </c>
      <c r="X53" s="68">
        <v>-0.5</v>
      </c>
      <c r="Y53" s="68">
        <v>5.9</v>
      </c>
      <c r="Z53" s="657">
        <v>6.4</v>
      </c>
      <c r="AA53" s="68">
        <v>1.1000000000000001</v>
      </c>
      <c r="AB53" s="68">
        <v>-0.9</v>
      </c>
      <c r="AC53" s="68">
        <v>-5.9</v>
      </c>
      <c r="AD53" s="68">
        <v>1.2</v>
      </c>
      <c r="AE53" s="656">
        <v>3</v>
      </c>
      <c r="AF53" s="68">
        <v>0.5</v>
      </c>
      <c r="AG53" s="68">
        <v>2.4</v>
      </c>
      <c r="AH53" s="657">
        <v>0.7</v>
      </c>
      <c r="AI53" s="68">
        <v>3</v>
      </c>
      <c r="AJ53" s="68">
        <v>0.5</v>
      </c>
      <c r="AK53" s="68">
        <v>2.4</v>
      </c>
      <c r="AL53" s="68">
        <v>0.7</v>
      </c>
      <c r="AM53" s="656">
        <v>2.9</v>
      </c>
      <c r="AN53" s="68">
        <v>1.8</v>
      </c>
      <c r="AO53" s="68">
        <v>3.3</v>
      </c>
      <c r="AP53" s="657">
        <v>3.3</v>
      </c>
      <c r="AQ53" s="68">
        <v>1.4</v>
      </c>
      <c r="AR53" s="666">
        <v>2</v>
      </c>
      <c r="AS53" s="68">
        <v>2.5</v>
      </c>
      <c r="AT53" s="657">
        <v>-0.2</v>
      </c>
      <c r="AU53" s="68">
        <v>1.6</v>
      </c>
      <c r="AV53" s="777">
        <v>1.9</v>
      </c>
      <c r="AW53" s="777">
        <v>6.8</v>
      </c>
      <c r="AX53" s="657">
        <v>11.8</v>
      </c>
      <c r="AY53" s="68">
        <v>6.4</v>
      </c>
      <c r="AZ53" s="6">
        <v>8.3000000000000007</v>
      </c>
      <c r="BA53" s="68">
        <v>9.5</v>
      </c>
      <c r="BB53" s="1006">
        <v>11.6</v>
      </c>
      <c r="BC53" s="847"/>
      <c r="BD53" s="1040"/>
      <c r="BE53" s="1025"/>
      <c r="BF53" s="1031"/>
      <c r="BG53" s="1032"/>
      <c r="BH53" s="1033"/>
      <c r="BI53" s="1025"/>
    </row>
    <row r="54" spans="1:61" s="265" customFormat="1" ht="25.25" customHeight="1">
      <c r="A54" s="385" t="s">
        <v>403</v>
      </c>
      <c r="B54" s="675" t="s">
        <v>404</v>
      </c>
      <c r="C54" s="386">
        <f t="shared" ref="C54:AN54" si="16">SUM(C37:C53)</f>
        <v>-24.143000000000004</v>
      </c>
      <c r="D54" s="386">
        <f t="shared" si="16"/>
        <v>-83.230000000000018</v>
      </c>
      <c r="E54" s="386">
        <f t="shared" si="16"/>
        <v>-107.08400000000002</v>
      </c>
      <c r="F54" s="386">
        <f t="shared" si="16"/>
        <v>-133.43099999999998</v>
      </c>
      <c r="G54" s="661">
        <f t="shared" si="16"/>
        <v>-34.882999999999996</v>
      </c>
      <c r="H54" s="386">
        <f t="shared" si="16"/>
        <v>-58.354000000000006</v>
      </c>
      <c r="I54" s="386">
        <f t="shared" si="16"/>
        <v>-110.15100000000002</v>
      </c>
      <c r="J54" s="662">
        <f t="shared" si="16"/>
        <v>-133.83700000000002</v>
      </c>
      <c r="K54" s="386">
        <f t="shared" si="16"/>
        <v>-36.552999999999997</v>
      </c>
      <c r="L54" s="386">
        <f t="shared" si="16"/>
        <v>1394.1000000000001</v>
      </c>
      <c r="M54" s="386">
        <f t="shared" si="16"/>
        <v>1042.3</v>
      </c>
      <c r="N54" s="386">
        <f t="shared" si="16"/>
        <v>972.80000000000007</v>
      </c>
      <c r="O54" s="661">
        <f t="shared" si="16"/>
        <v>-208.2</v>
      </c>
      <c r="P54" s="386">
        <f t="shared" si="16"/>
        <v>-347.59999999999997</v>
      </c>
      <c r="Q54" s="386">
        <f t="shared" si="16"/>
        <v>-576.29999999999995</v>
      </c>
      <c r="R54" s="662">
        <f t="shared" si="16"/>
        <v>-726.60000000000014</v>
      </c>
      <c r="S54" s="386">
        <f t="shared" si="16"/>
        <v>-24.899999999999988</v>
      </c>
      <c r="T54" s="386">
        <f t="shared" si="16"/>
        <v>-541.09999999999991</v>
      </c>
      <c r="U54" s="386">
        <f t="shared" si="16"/>
        <v>-815.19999999999993</v>
      </c>
      <c r="V54" s="386">
        <f t="shared" si="16"/>
        <v>-1003.4</v>
      </c>
      <c r="W54" s="661">
        <f t="shared" si="16"/>
        <v>-159.20000000000002</v>
      </c>
      <c r="X54" s="386">
        <f t="shared" si="16"/>
        <v>-367.5</v>
      </c>
      <c r="Y54" s="386">
        <f t="shared" si="16"/>
        <v>-657.20000000000016</v>
      </c>
      <c r="Z54" s="662">
        <f t="shared" si="16"/>
        <v>-1573.2999999999997</v>
      </c>
      <c r="AA54" s="386">
        <f t="shared" si="16"/>
        <v>-255.4</v>
      </c>
      <c r="AB54" s="386">
        <f t="shared" si="16"/>
        <v>-637.70000000000005</v>
      </c>
      <c r="AC54" s="386">
        <f t="shared" si="16"/>
        <v>-1197.3000000000002</v>
      </c>
      <c r="AD54" s="386">
        <f t="shared" si="16"/>
        <v>-1835.5</v>
      </c>
      <c r="AE54" s="661">
        <f t="shared" si="16"/>
        <v>-367.19999999999993</v>
      </c>
      <c r="AF54" s="386">
        <f t="shared" si="16"/>
        <v>-731.99999999999989</v>
      </c>
      <c r="AG54" s="386">
        <f t="shared" si="16"/>
        <v>-1181.4999999999998</v>
      </c>
      <c r="AH54" s="662">
        <f t="shared" si="16"/>
        <v>-2715.1000000000008</v>
      </c>
      <c r="AI54" s="386">
        <f t="shared" si="16"/>
        <v>-367.19999999999993</v>
      </c>
      <c r="AJ54" s="386">
        <f t="shared" si="16"/>
        <v>-731.99999999999989</v>
      </c>
      <c r="AK54" s="386">
        <f t="shared" si="16"/>
        <v>-1181.4999999999998</v>
      </c>
      <c r="AL54" s="386">
        <f t="shared" si="16"/>
        <v>-2715.1000000000008</v>
      </c>
      <c r="AM54" s="661">
        <f t="shared" si="16"/>
        <v>-364</v>
      </c>
      <c r="AN54" s="386">
        <f t="shared" si="16"/>
        <v>-544.1</v>
      </c>
      <c r="AO54" s="386">
        <v>-1361</v>
      </c>
      <c r="AP54" s="662">
        <f t="shared" ref="AP54:AX54" si="17">SUM(AP37:AP53)</f>
        <v>-1786.3</v>
      </c>
      <c r="AQ54" s="386">
        <f t="shared" si="17"/>
        <v>-374.20000000000005</v>
      </c>
      <c r="AR54" s="386">
        <f t="shared" si="17"/>
        <v>-1339.2</v>
      </c>
      <c r="AS54" s="386">
        <f t="shared" si="17"/>
        <v>4646</v>
      </c>
      <c r="AT54" s="662">
        <f t="shared" si="17"/>
        <v>4327.9000000000005</v>
      </c>
      <c r="AU54" s="386">
        <f t="shared" si="17"/>
        <v>-534.79999999999984</v>
      </c>
      <c r="AV54" s="386">
        <f t="shared" si="17"/>
        <v>-1682.6</v>
      </c>
      <c r="AW54" s="386">
        <f t="shared" si="17"/>
        <v>-1402.5000000000002</v>
      </c>
      <c r="AX54" s="662">
        <f t="shared" si="17"/>
        <v>-1876.6000000000001</v>
      </c>
      <c r="AY54" s="386">
        <f>SUM(AY37:AY53)</f>
        <v>-1211.0999999999999</v>
      </c>
      <c r="AZ54" s="386">
        <f>SUM(AZ37:AZ53)</f>
        <v>-1481.9</v>
      </c>
      <c r="BA54" s="386">
        <f t="shared" ref="BA54:BB54" si="18">SUM(BA37:BA53)</f>
        <v>-1234.7</v>
      </c>
      <c r="BB54" s="386">
        <f t="shared" si="18"/>
        <v>-2215.7000000000007</v>
      </c>
      <c r="BC54" s="847"/>
      <c r="BD54" s="1040"/>
      <c r="BE54" s="1038"/>
      <c r="BF54" s="1031"/>
      <c r="BG54" s="1032"/>
      <c r="BH54" s="1033"/>
      <c r="BI54" s="1039"/>
    </row>
    <row r="55" spans="1:61" ht="20.149999999999999" customHeight="1">
      <c r="A55" s="70" t="s">
        <v>405</v>
      </c>
      <c r="B55" s="673" t="s">
        <v>406</v>
      </c>
      <c r="C55" s="68">
        <v>-26.754999999999999</v>
      </c>
      <c r="D55" s="68">
        <v>-155.76300000000001</v>
      </c>
      <c r="E55" s="68">
        <v>-397.57499999999999</v>
      </c>
      <c r="F55" s="68">
        <v>-453.32400000000001</v>
      </c>
      <c r="G55" s="656">
        <v>-49.813000000000002</v>
      </c>
      <c r="H55" s="68">
        <v>-192.59</v>
      </c>
      <c r="I55" s="68">
        <v>-366.16200000000003</v>
      </c>
      <c r="J55" s="657">
        <v>-431.11700000000002</v>
      </c>
      <c r="K55" s="68">
        <v>-37.393999999999998</v>
      </c>
      <c r="L55" s="68">
        <v>-547.1</v>
      </c>
      <c r="M55" s="68">
        <v>-747.1</v>
      </c>
      <c r="N55" s="68">
        <v>-1087.0999999999999</v>
      </c>
      <c r="O55" s="656">
        <v>-157</v>
      </c>
      <c r="P55" s="68">
        <v>-954.2</v>
      </c>
      <c r="Q55" s="68">
        <v>-9222.2000000000007</v>
      </c>
      <c r="R55" s="657">
        <v>-9222.2000000000007</v>
      </c>
      <c r="S55" s="68">
        <v>-916.1</v>
      </c>
      <c r="T55" s="68">
        <v>-1498.9</v>
      </c>
      <c r="U55" s="68">
        <v>-1706.9</v>
      </c>
      <c r="V55" s="68">
        <v>-1940.9</v>
      </c>
      <c r="W55" s="656">
        <v>-234</v>
      </c>
      <c r="X55" s="68">
        <v>-568</v>
      </c>
      <c r="Y55" s="68">
        <v>-802</v>
      </c>
      <c r="Z55" s="657">
        <v>-1162.5</v>
      </c>
      <c r="AA55" s="68">
        <v>-550</v>
      </c>
      <c r="AB55" s="68">
        <v>-652</v>
      </c>
      <c r="AC55" s="68">
        <v>-1077.8</v>
      </c>
      <c r="AD55" s="68">
        <v>-1282.2</v>
      </c>
      <c r="AE55" s="656">
        <v>-584.4</v>
      </c>
      <c r="AF55" s="68">
        <v>-851.6</v>
      </c>
      <c r="AG55" s="68">
        <v>-1406</v>
      </c>
      <c r="AH55" s="657">
        <v>-1742.5</v>
      </c>
      <c r="AI55" s="68">
        <v>-584.4</v>
      </c>
      <c r="AJ55" s="68">
        <v>-851.6</v>
      </c>
      <c r="AK55" s="68">
        <v>-1406</v>
      </c>
      <c r="AL55" s="68">
        <v>-1742.5</v>
      </c>
      <c r="AM55" s="656">
        <v>-857.2</v>
      </c>
      <c r="AN55" s="68">
        <v>-857.9</v>
      </c>
      <c r="AO55" s="68">
        <v>-857.9</v>
      </c>
      <c r="AP55" s="657">
        <v>-857.9</v>
      </c>
      <c r="AQ55" s="68">
        <v>0</v>
      </c>
      <c r="AR55" s="68">
        <v>-200</v>
      </c>
      <c r="AS55" s="68">
        <v>-1472.4</v>
      </c>
      <c r="AT55" s="657">
        <v>-2682.8</v>
      </c>
      <c r="AU55" s="68">
        <v>-200</v>
      </c>
      <c r="AV55" s="68">
        <v>-645.1</v>
      </c>
      <c r="AW55" s="260">
        <v>-845.1</v>
      </c>
      <c r="AX55" s="657">
        <v>-1045.0999999999999</v>
      </c>
      <c r="AY55" s="68">
        <v>-200</v>
      </c>
      <c r="AZ55" s="260">
        <v>-752.5</v>
      </c>
      <c r="BA55" s="260">
        <v>-760.1</v>
      </c>
      <c r="BB55" s="664">
        <v>-2327</v>
      </c>
      <c r="BD55" s="1042"/>
      <c r="BE55" s="1036"/>
      <c r="BF55" s="1031"/>
      <c r="BG55" s="1032"/>
      <c r="BH55" s="1033"/>
      <c r="BI55" s="1025"/>
    </row>
    <row r="56" spans="1:61" ht="20.149999999999999" customHeight="1">
      <c r="A56" s="70" t="s">
        <v>407</v>
      </c>
      <c r="B56" s="673" t="s">
        <v>408</v>
      </c>
      <c r="C56" s="69">
        <v>0</v>
      </c>
      <c r="D56" s="69">
        <v>0</v>
      </c>
      <c r="E56" s="69">
        <v>0</v>
      </c>
      <c r="F56" s="69">
        <v>0</v>
      </c>
      <c r="G56" s="677">
        <v>0</v>
      </c>
      <c r="H56" s="69">
        <v>0</v>
      </c>
      <c r="I56" s="69">
        <v>0</v>
      </c>
      <c r="J56" s="678">
        <v>0</v>
      </c>
      <c r="K56" s="69">
        <v>0</v>
      </c>
      <c r="L56" s="68">
        <v>2800</v>
      </c>
      <c r="M56" s="68">
        <v>2800</v>
      </c>
      <c r="N56" s="68">
        <v>2800</v>
      </c>
      <c r="O56" s="656">
        <v>50</v>
      </c>
      <c r="P56" s="68">
        <v>120</v>
      </c>
      <c r="Q56" s="68">
        <v>6820</v>
      </c>
      <c r="R56" s="657">
        <v>6820</v>
      </c>
      <c r="S56" s="68">
        <v>5500</v>
      </c>
      <c r="T56" s="68">
        <v>5500</v>
      </c>
      <c r="U56" s="68">
        <v>5500</v>
      </c>
      <c r="V56" s="68">
        <v>5500</v>
      </c>
      <c r="W56" s="656">
        <v>0</v>
      </c>
      <c r="X56" s="68">
        <v>600</v>
      </c>
      <c r="Y56" s="68">
        <v>600</v>
      </c>
      <c r="Z56" s="657">
        <v>1200</v>
      </c>
      <c r="AA56" s="68">
        <v>0</v>
      </c>
      <c r="AB56" s="68">
        <v>18.100000000000001</v>
      </c>
      <c r="AC56" s="68">
        <v>635.29999999999995</v>
      </c>
      <c r="AD56" s="68">
        <v>635.29999999999995</v>
      </c>
      <c r="AE56" s="656">
        <v>0</v>
      </c>
      <c r="AF56" s="68">
        <v>0</v>
      </c>
      <c r="AG56" s="68">
        <v>780</v>
      </c>
      <c r="AH56" s="657">
        <v>2010</v>
      </c>
      <c r="AI56" s="68">
        <v>0</v>
      </c>
      <c r="AJ56" s="68">
        <v>0</v>
      </c>
      <c r="AK56" s="68">
        <v>780</v>
      </c>
      <c r="AL56" s="68">
        <v>2010</v>
      </c>
      <c r="AM56" s="656">
        <v>35</v>
      </c>
      <c r="AN56" s="68">
        <v>35</v>
      </c>
      <c r="AO56" s="68">
        <v>35</v>
      </c>
      <c r="AP56" s="657">
        <v>35</v>
      </c>
      <c r="AQ56" s="68">
        <v>0</v>
      </c>
      <c r="AR56" s="68">
        <v>110</v>
      </c>
      <c r="AS56" s="68">
        <v>1665</v>
      </c>
      <c r="AT56" s="657">
        <v>1665</v>
      </c>
      <c r="AU56" s="68">
        <v>0</v>
      </c>
      <c r="AV56" s="68">
        <v>7.1</v>
      </c>
      <c r="AW56" s="68">
        <v>7.1</v>
      </c>
      <c r="AX56" s="657">
        <v>141.19999999999999</v>
      </c>
      <c r="AY56" s="68">
        <v>865.9</v>
      </c>
      <c r="AZ56" s="68">
        <v>3147.7</v>
      </c>
      <c r="BA56" s="260">
        <v>3162.9</v>
      </c>
      <c r="BB56" s="664">
        <v>3885.1</v>
      </c>
      <c r="BC56" s="234"/>
      <c r="BD56" s="1040"/>
      <c r="BE56" s="1036"/>
      <c r="BF56" s="1031"/>
      <c r="BG56" s="1032"/>
      <c r="BH56" s="1033"/>
      <c r="BI56" s="1025"/>
    </row>
    <row r="57" spans="1:61" s="100" customFormat="1" ht="20.149999999999999" customHeight="1">
      <c r="A57" s="195" t="s">
        <v>409</v>
      </c>
      <c r="B57" s="674" t="s">
        <v>410</v>
      </c>
      <c r="C57" s="261">
        <v>0</v>
      </c>
      <c r="D57" s="261">
        <v>0</v>
      </c>
      <c r="E57" s="261">
        <v>0</v>
      </c>
      <c r="F57" s="261">
        <v>0</v>
      </c>
      <c r="G57" s="679">
        <v>0</v>
      </c>
      <c r="H57" s="261">
        <v>0</v>
      </c>
      <c r="I57" s="261">
        <v>0</v>
      </c>
      <c r="J57" s="680">
        <v>0</v>
      </c>
      <c r="K57" s="261">
        <v>0</v>
      </c>
      <c r="L57" s="260">
        <v>-2275.9</v>
      </c>
      <c r="M57" s="260">
        <v>-2275.9</v>
      </c>
      <c r="N57" s="260">
        <v>-2275.9</v>
      </c>
      <c r="O57" s="663">
        <v>0</v>
      </c>
      <c r="P57" s="260">
        <v>0</v>
      </c>
      <c r="Q57" s="260">
        <v>1000</v>
      </c>
      <c r="R57" s="664">
        <v>1000</v>
      </c>
      <c r="S57" s="260">
        <v>-4483.8</v>
      </c>
      <c r="T57" s="260">
        <v>-4483.8</v>
      </c>
      <c r="U57" s="260">
        <v>-4483.8</v>
      </c>
      <c r="V57" s="260">
        <v>-4484</v>
      </c>
      <c r="W57" s="663">
        <v>0</v>
      </c>
      <c r="X57" s="260">
        <v>-886.7</v>
      </c>
      <c r="Y57" s="260">
        <v>-886.7</v>
      </c>
      <c r="Z57" s="664">
        <v>-886.7</v>
      </c>
      <c r="AA57" s="260">
        <v>0</v>
      </c>
      <c r="AB57" s="260">
        <v>0</v>
      </c>
      <c r="AC57" s="260">
        <v>0</v>
      </c>
      <c r="AD57" s="260">
        <v>0</v>
      </c>
      <c r="AE57" s="663">
        <v>0</v>
      </c>
      <c r="AF57" s="262" t="s">
        <v>411</v>
      </c>
      <c r="AG57" s="262" t="s">
        <v>411</v>
      </c>
      <c r="AH57" s="659" t="s">
        <v>411</v>
      </c>
      <c r="AI57" s="260">
        <v>0</v>
      </c>
      <c r="AJ57" s="262" t="s">
        <v>411</v>
      </c>
      <c r="AK57" s="262" t="s">
        <v>411</v>
      </c>
      <c r="AL57" s="92" t="s">
        <v>411</v>
      </c>
      <c r="AM57" s="663">
        <v>1000</v>
      </c>
      <c r="AN57" s="260">
        <v>1000</v>
      </c>
      <c r="AO57" s="260">
        <v>1000</v>
      </c>
      <c r="AP57" s="657">
        <v>1000</v>
      </c>
      <c r="AQ57" s="260">
        <v>0</v>
      </c>
      <c r="AR57" s="260">
        <v>0</v>
      </c>
      <c r="AS57" s="260">
        <v>0</v>
      </c>
      <c r="AT57" s="657">
        <v>0</v>
      </c>
      <c r="AU57" s="260">
        <v>0</v>
      </c>
      <c r="AV57" s="260">
        <v>0</v>
      </c>
      <c r="AW57" s="260">
        <v>0</v>
      </c>
      <c r="AX57" s="657">
        <v>0</v>
      </c>
      <c r="AY57" s="260">
        <v>1142.0999999999999</v>
      </c>
      <c r="AZ57" s="260">
        <v>1088</v>
      </c>
      <c r="BA57" s="260">
        <v>1745.3</v>
      </c>
      <c r="BB57" s="664">
        <v>2145.3000000000002</v>
      </c>
      <c r="BD57" s="1036"/>
      <c r="BE57" s="1036"/>
      <c r="BF57" s="1031"/>
      <c r="BG57" s="1032"/>
      <c r="BH57" s="1033"/>
      <c r="BI57" s="1041"/>
    </row>
    <row r="58" spans="1:61" ht="20.149999999999999" customHeight="1">
      <c r="A58" s="70" t="s">
        <v>412</v>
      </c>
      <c r="B58" s="673" t="s">
        <v>413</v>
      </c>
      <c r="C58" s="69"/>
      <c r="D58" s="69"/>
      <c r="E58" s="69"/>
      <c r="F58" s="69"/>
      <c r="G58" s="677"/>
      <c r="H58" s="69"/>
      <c r="I58" s="69"/>
      <c r="J58" s="678"/>
      <c r="K58" s="69"/>
      <c r="L58" s="68"/>
      <c r="M58" s="68"/>
      <c r="N58" s="68"/>
      <c r="O58" s="656"/>
      <c r="P58" s="68"/>
      <c r="Q58" s="68"/>
      <c r="R58" s="657"/>
      <c r="S58" s="68">
        <v>-262.10000000000002</v>
      </c>
      <c r="T58" s="68">
        <v>-262.10000000000002</v>
      </c>
      <c r="U58" s="68">
        <v>-262.10000000000002</v>
      </c>
      <c r="V58" s="68">
        <v>-262.10000000000002</v>
      </c>
      <c r="W58" s="656">
        <v>0</v>
      </c>
      <c r="X58" s="68">
        <v>-58.7</v>
      </c>
      <c r="Y58" s="68">
        <v>-58.7</v>
      </c>
      <c r="Z58" s="657">
        <v>-58.7</v>
      </c>
      <c r="AA58" s="68">
        <v>0</v>
      </c>
      <c r="AB58" s="68">
        <v>0</v>
      </c>
      <c r="AC58" s="68">
        <v>0</v>
      </c>
      <c r="AD58" s="68">
        <v>0</v>
      </c>
      <c r="AE58" s="656">
        <v>0</v>
      </c>
      <c r="AF58" s="68">
        <v>0</v>
      </c>
      <c r="AG58" s="68">
        <v>0</v>
      </c>
      <c r="AH58" s="657">
        <v>0</v>
      </c>
      <c r="AI58" s="68">
        <v>0</v>
      </c>
      <c r="AJ58" s="68">
        <v>0</v>
      </c>
      <c r="AK58" s="68">
        <v>0</v>
      </c>
      <c r="AL58" s="68">
        <v>0</v>
      </c>
      <c r="AM58" s="656">
        <v>0</v>
      </c>
      <c r="AN58" s="68">
        <v>0</v>
      </c>
      <c r="AO58" s="68">
        <v>0</v>
      </c>
      <c r="AP58" s="657">
        <v>0</v>
      </c>
      <c r="AQ58" s="68">
        <v>0</v>
      </c>
      <c r="AR58" s="68">
        <v>0</v>
      </c>
      <c r="AS58" s="68">
        <v>0</v>
      </c>
      <c r="AT58" s="657">
        <v>0</v>
      </c>
      <c r="AU58" s="68">
        <v>0</v>
      </c>
      <c r="AV58" s="68">
        <v>0</v>
      </c>
      <c r="AW58" s="68">
        <v>0</v>
      </c>
      <c r="AX58" s="657">
        <v>0</v>
      </c>
      <c r="AY58" s="68">
        <v>0</v>
      </c>
      <c r="AZ58" s="68">
        <v>0</v>
      </c>
      <c r="BA58" s="68">
        <v>0</v>
      </c>
      <c r="BB58" s="657">
        <v>0</v>
      </c>
      <c r="BD58" s="1025"/>
      <c r="BE58" s="1036"/>
      <c r="BF58" s="1031"/>
      <c r="BG58" s="1032"/>
      <c r="BH58" s="1033"/>
      <c r="BI58" s="1025"/>
    </row>
    <row r="59" spans="1:61" ht="25.5" customHeight="1">
      <c r="A59" s="70" t="s">
        <v>414</v>
      </c>
      <c r="B59" s="673" t="s">
        <v>415</v>
      </c>
      <c r="C59" s="69"/>
      <c r="D59" s="69"/>
      <c r="E59" s="69"/>
      <c r="F59" s="69"/>
      <c r="G59" s="677"/>
      <c r="H59" s="69"/>
      <c r="I59" s="69"/>
      <c r="J59" s="678"/>
      <c r="K59" s="69"/>
      <c r="L59" s="68"/>
      <c r="M59" s="68"/>
      <c r="N59" s="68"/>
      <c r="O59" s="656"/>
      <c r="P59" s="68"/>
      <c r="Q59" s="68"/>
      <c r="R59" s="657"/>
      <c r="S59" s="68">
        <v>175.4</v>
      </c>
      <c r="T59" s="68">
        <v>175.4</v>
      </c>
      <c r="U59" s="68">
        <v>175.4</v>
      </c>
      <c r="V59" s="68">
        <v>175.4</v>
      </c>
      <c r="W59" s="656">
        <v>0</v>
      </c>
      <c r="X59" s="68">
        <v>0</v>
      </c>
      <c r="Y59" s="68">
        <v>0</v>
      </c>
      <c r="Z59" s="657">
        <v>0</v>
      </c>
      <c r="AA59" s="68">
        <v>0</v>
      </c>
      <c r="AB59" s="68">
        <v>0</v>
      </c>
      <c r="AC59" s="68">
        <v>0</v>
      </c>
      <c r="AD59" s="68">
        <v>0</v>
      </c>
      <c r="AE59" s="656">
        <v>0</v>
      </c>
      <c r="AF59" s="68">
        <v>0</v>
      </c>
      <c r="AG59" s="68">
        <v>0</v>
      </c>
      <c r="AH59" s="657">
        <v>0</v>
      </c>
      <c r="AI59" s="68">
        <v>0</v>
      </c>
      <c r="AJ59" s="68">
        <v>0</v>
      </c>
      <c r="AK59" s="68">
        <v>0</v>
      </c>
      <c r="AL59" s="68">
        <v>0</v>
      </c>
      <c r="AM59" s="656">
        <v>0</v>
      </c>
      <c r="AN59" s="68">
        <v>0</v>
      </c>
      <c r="AO59" s="68">
        <v>0</v>
      </c>
      <c r="AP59" s="657">
        <v>0</v>
      </c>
      <c r="AQ59" s="68">
        <v>0</v>
      </c>
      <c r="AR59" s="68">
        <v>0</v>
      </c>
      <c r="AS59" s="68">
        <v>0</v>
      </c>
      <c r="AT59" s="657">
        <v>0</v>
      </c>
      <c r="AU59" s="68">
        <v>0</v>
      </c>
      <c r="AV59" s="68">
        <v>0</v>
      </c>
      <c r="AW59" s="68">
        <v>0</v>
      </c>
      <c r="AX59" s="657">
        <v>0</v>
      </c>
      <c r="AY59" s="68">
        <v>0</v>
      </c>
      <c r="AZ59" s="68">
        <v>0</v>
      </c>
      <c r="BA59" s="68">
        <v>0</v>
      </c>
      <c r="BB59" s="657">
        <v>0</v>
      </c>
      <c r="BD59" s="1025"/>
      <c r="BE59" s="1036"/>
      <c r="BF59" s="1031"/>
      <c r="BG59" s="1032"/>
      <c r="BH59" s="1033"/>
      <c r="BI59" s="1025"/>
    </row>
    <row r="60" spans="1:61" s="100" customFormat="1" ht="27.5">
      <c r="A60" s="195" t="s">
        <v>416</v>
      </c>
      <c r="B60" s="674" t="s">
        <v>417</v>
      </c>
      <c r="C60" s="260">
        <v>-26.132999999999999</v>
      </c>
      <c r="D60" s="260">
        <f>(-103258-821)*0.001</f>
        <v>-104.07900000000001</v>
      </c>
      <c r="E60" s="260">
        <f>(-125824-2250)*0.001</f>
        <v>-128.07400000000001</v>
      </c>
      <c r="F60" s="260">
        <f>(-195934-3683)*0.001</f>
        <v>-199.61699999999999</v>
      </c>
      <c r="G60" s="663">
        <f>(-15811-1035)*0.001</f>
        <v>-16.846</v>
      </c>
      <c r="H60" s="260">
        <f>(-84439-1241)*0.001</f>
        <v>-85.68</v>
      </c>
      <c r="I60" s="260">
        <f>(-96215-1689)*0.001</f>
        <v>-97.903999999999996</v>
      </c>
      <c r="J60" s="664">
        <v>-165.017</v>
      </c>
      <c r="K60" s="260">
        <v>-9.0950000000000006</v>
      </c>
      <c r="L60" s="260">
        <v>-348.3</v>
      </c>
      <c r="M60" s="260">
        <v>-733.5</v>
      </c>
      <c r="N60" s="260">
        <v>-872.2</v>
      </c>
      <c r="O60" s="663">
        <v>-357.9</v>
      </c>
      <c r="P60" s="260">
        <v>-472.3</v>
      </c>
      <c r="Q60" s="260">
        <v>-804.1</v>
      </c>
      <c r="R60" s="664">
        <v>-978.9</v>
      </c>
      <c r="S60" s="260">
        <v>-383.2</v>
      </c>
      <c r="T60" s="260">
        <v>-507.9</v>
      </c>
      <c r="U60" s="260">
        <v>-631.70000000000005</v>
      </c>
      <c r="V60" s="260">
        <v>-729.6</v>
      </c>
      <c r="W60" s="663">
        <v>-112.5</v>
      </c>
      <c r="X60" s="260">
        <v>-206</v>
      </c>
      <c r="Y60" s="260">
        <v>-319.60000000000002</v>
      </c>
      <c r="Z60" s="664">
        <v>-409.9</v>
      </c>
      <c r="AA60" s="260">
        <v>-138</v>
      </c>
      <c r="AB60" s="260">
        <v>-230.9</v>
      </c>
      <c r="AC60" s="260">
        <v>-342.8</v>
      </c>
      <c r="AD60" s="260">
        <v>-419</v>
      </c>
      <c r="AE60" s="663">
        <v>-107.1</v>
      </c>
      <c r="AF60" s="260">
        <v>-205.5</v>
      </c>
      <c r="AG60" s="260">
        <v>-362</v>
      </c>
      <c r="AH60" s="664">
        <v>-465.4</v>
      </c>
      <c r="AI60" s="260">
        <v>-107.1</v>
      </c>
      <c r="AJ60" s="260">
        <v>-205.5</v>
      </c>
      <c r="AK60" s="260">
        <v>-362</v>
      </c>
      <c r="AL60" s="260">
        <v>-465.4</v>
      </c>
      <c r="AM60" s="663">
        <v>-84.6</v>
      </c>
      <c r="AN60" s="260">
        <f>-193.4</f>
        <v>-193.4</v>
      </c>
      <c r="AO60" s="260">
        <v>-256.2</v>
      </c>
      <c r="AP60" s="664">
        <v>-315.3</v>
      </c>
      <c r="AQ60" s="260">
        <v>-54.8</v>
      </c>
      <c r="AR60" s="260">
        <v>-111.3</v>
      </c>
      <c r="AS60" s="260">
        <v>-163.9</v>
      </c>
      <c r="AT60" s="664">
        <v>-213.3</v>
      </c>
      <c r="AU60" s="260">
        <v>-79.8</v>
      </c>
      <c r="AV60" s="260">
        <v>-217.6</v>
      </c>
      <c r="AW60" s="260">
        <v>-390.9</v>
      </c>
      <c r="AX60" s="664">
        <v>-616.9</v>
      </c>
      <c r="AY60" s="260">
        <v>-219.4</v>
      </c>
      <c r="AZ60" s="260">
        <v>-501.3</v>
      </c>
      <c r="BA60" s="260">
        <v>-942.3</v>
      </c>
      <c r="BB60" s="1006">
        <v>-1203.3</v>
      </c>
      <c r="BD60" s="1041"/>
      <c r="BE60" s="1036"/>
      <c r="BF60" s="1031"/>
      <c r="BG60" s="1032"/>
      <c r="BH60" s="1033"/>
      <c r="BI60" s="1041"/>
    </row>
    <row r="61" spans="1:61" ht="20.149999999999999" customHeight="1">
      <c r="A61" s="70" t="s">
        <v>418</v>
      </c>
      <c r="B61" s="673" t="s">
        <v>419</v>
      </c>
      <c r="C61" s="68"/>
      <c r="D61" s="68"/>
      <c r="E61" s="68"/>
      <c r="F61" s="68"/>
      <c r="G61" s="656"/>
      <c r="H61" s="68"/>
      <c r="I61" s="68"/>
      <c r="J61" s="657"/>
      <c r="K61" s="68"/>
      <c r="L61" s="68"/>
      <c r="M61" s="68"/>
      <c r="N61" s="68"/>
      <c r="O61" s="656"/>
      <c r="P61" s="68"/>
      <c r="Q61" s="68"/>
      <c r="R61" s="657"/>
      <c r="S61" s="68"/>
      <c r="T61" s="68"/>
      <c r="U61" s="68"/>
      <c r="V61" s="68"/>
      <c r="W61" s="656"/>
      <c r="X61" s="68"/>
      <c r="Y61" s="68"/>
      <c r="Z61" s="657"/>
      <c r="AA61" s="68"/>
      <c r="AB61" s="68"/>
      <c r="AC61" s="68"/>
      <c r="AD61" s="68"/>
      <c r="AE61" s="656">
        <v>-0.2</v>
      </c>
      <c r="AF61" s="68">
        <v>-0.4</v>
      </c>
      <c r="AG61" s="68">
        <v>-0.6</v>
      </c>
      <c r="AH61" s="657">
        <v>-0.8</v>
      </c>
      <c r="AI61" s="68">
        <v>-7.8</v>
      </c>
      <c r="AJ61" s="68">
        <v>-18.8</v>
      </c>
      <c r="AK61" s="68">
        <v>-28.6</v>
      </c>
      <c r="AL61" s="68">
        <v>-47.6</v>
      </c>
      <c r="AM61" s="656">
        <v>-12.4</v>
      </c>
      <c r="AN61" s="68">
        <v>-21.1</v>
      </c>
      <c r="AO61" s="68">
        <v>-35.1</v>
      </c>
      <c r="AP61" s="657">
        <v>-46</v>
      </c>
      <c r="AQ61" s="68">
        <v>-11.4</v>
      </c>
      <c r="AR61" s="68">
        <v>-21</v>
      </c>
      <c r="AS61" s="68">
        <v>-27.6</v>
      </c>
      <c r="AT61" s="657">
        <v>-32.4</v>
      </c>
      <c r="AU61" s="68">
        <v>-5.4</v>
      </c>
      <c r="AV61" s="68">
        <v>-10.3</v>
      </c>
      <c r="AW61" s="68">
        <v>-15.1</v>
      </c>
      <c r="AX61" s="657">
        <v>-20.2</v>
      </c>
      <c r="AY61" s="68">
        <v>-6.3</v>
      </c>
      <c r="AZ61" s="68">
        <v>-12.9</v>
      </c>
      <c r="BA61" s="260">
        <v>-19.600000000000001</v>
      </c>
      <c r="BB61" s="1006">
        <v>-27.4</v>
      </c>
      <c r="BD61" s="1025"/>
      <c r="BE61" s="1036"/>
      <c r="BF61" s="1031"/>
      <c r="BG61" s="1032"/>
      <c r="BH61" s="1033"/>
      <c r="BI61" s="1025"/>
    </row>
    <row r="62" spans="1:61" ht="20.149999999999999" customHeight="1">
      <c r="A62" s="70" t="s">
        <v>420</v>
      </c>
      <c r="B62" s="673" t="s">
        <v>421</v>
      </c>
      <c r="C62" s="68"/>
      <c r="D62" s="68"/>
      <c r="E62" s="68"/>
      <c r="F62" s="68"/>
      <c r="G62" s="656"/>
      <c r="H62" s="68"/>
      <c r="I62" s="68"/>
      <c r="J62" s="657"/>
      <c r="K62" s="68"/>
      <c r="L62" s="68"/>
      <c r="M62" s="68"/>
      <c r="N62" s="68"/>
      <c r="O62" s="656"/>
      <c r="P62" s="68"/>
      <c r="Q62" s="68"/>
      <c r="R62" s="657"/>
      <c r="S62" s="68"/>
      <c r="T62" s="68"/>
      <c r="U62" s="68"/>
      <c r="V62" s="68"/>
      <c r="W62" s="656"/>
      <c r="X62" s="68"/>
      <c r="Y62" s="68"/>
      <c r="Z62" s="657"/>
      <c r="AA62" s="68"/>
      <c r="AB62" s="68"/>
      <c r="AC62" s="68"/>
      <c r="AD62" s="68"/>
      <c r="AE62" s="656">
        <v>-3.1</v>
      </c>
      <c r="AF62" s="68">
        <v>-6.1</v>
      </c>
      <c r="AG62" s="68">
        <v>-8.9</v>
      </c>
      <c r="AH62" s="657">
        <v>-4.4000000000000004</v>
      </c>
      <c r="AI62" s="68">
        <v>-54.5</v>
      </c>
      <c r="AJ62" s="68">
        <v>-142.69999999999999</v>
      </c>
      <c r="AK62" s="68">
        <v>-234</v>
      </c>
      <c r="AL62" s="68">
        <v>-343.7</v>
      </c>
      <c r="AM62" s="656">
        <v>-106.3</v>
      </c>
      <c r="AN62" s="68">
        <v>-185.7</v>
      </c>
      <c r="AO62" s="68">
        <v>-304.39999999999998</v>
      </c>
      <c r="AP62" s="657">
        <v>-399.2</v>
      </c>
      <c r="AQ62" s="68">
        <v>-119</v>
      </c>
      <c r="AR62" s="68">
        <v>-222</v>
      </c>
      <c r="AS62" s="68">
        <v>-280.89999999999998</v>
      </c>
      <c r="AT62" s="657">
        <v>-335.4</v>
      </c>
      <c r="AU62" s="68">
        <v>-52.9</v>
      </c>
      <c r="AV62" s="68">
        <v>-100.7</v>
      </c>
      <c r="AW62" s="68">
        <v>-151</v>
      </c>
      <c r="AX62" s="657">
        <v>-196.4</v>
      </c>
      <c r="AY62" s="68">
        <v>-57.6</v>
      </c>
      <c r="AZ62" s="68">
        <v>-104.7</v>
      </c>
      <c r="BA62" s="260">
        <v>-150.19999999999999</v>
      </c>
      <c r="BB62" s="1006">
        <v>-195.5</v>
      </c>
      <c r="BD62" s="1025"/>
      <c r="BE62" s="1036"/>
      <c r="BF62" s="1027"/>
      <c r="BG62" s="1028"/>
      <c r="BH62" s="1029"/>
      <c r="BI62" s="1025"/>
    </row>
    <row r="63" spans="1:61" ht="20.149999999999999" customHeight="1">
      <c r="A63" s="70" t="s">
        <v>422</v>
      </c>
      <c r="B63" s="673" t="s">
        <v>423</v>
      </c>
      <c r="C63" s="69">
        <v>0</v>
      </c>
      <c r="D63" s="69">
        <v>0</v>
      </c>
      <c r="E63" s="69">
        <v>0</v>
      </c>
      <c r="F63" s="69">
        <v>0</v>
      </c>
      <c r="G63" s="677">
        <v>0</v>
      </c>
      <c r="H63" s="69">
        <v>0</v>
      </c>
      <c r="I63" s="69">
        <v>0</v>
      </c>
      <c r="J63" s="678">
        <v>0</v>
      </c>
      <c r="K63" s="69">
        <v>0</v>
      </c>
      <c r="L63" s="68">
        <v>-102.9</v>
      </c>
      <c r="M63" s="68">
        <v>-102.9</v>
      </c>
      <c r="N63" s="68">
        <v>-102.9</v>
      </c>
      <c r="O63" s="656">
        <v>0</v>
      </c>
      <c r="P63" s="68">
        <v>0</v>
      </c>
      <c r="Q63" s="68">
        <v>0</v>
      </c>
      <c r="R63" s="657">
        <v>0</v>
      </c>
      <c r="S63" s="68">
        <v>0</v>
      </c>
      <c r="T63" s="68">
        <v>0</v>
      </c>
      <c r="U63" s="68">
        <v>0</v>
      </c>
      <c r="V63" s="68">
        <v>0</v>
      </c>
      <c r="W63" s="656">
        <v>0</v>
      </c>
      <c r="X63" s="68">
        <v>0</v>
      </c>
      <c r="Y63" s="68">
        <v>-204.7</v>
      </c>
      <c r="Z63" s="657">
        <v>-204.7</v>
      </c>
      <c r="AA63" s="68">
        <v>0</v>
      </c>
      <c r="AB63" s="68">
        <v>0</v>
      </c>
      <c r="AC63" s="68">
        <v>0</v>
      </c>
      <c r="AD63" s="68">
        <v>0</v>
      </c>
      <c r="AE63" s="656">
        <v>0</v>
      </c>
      <c r="AF63" s="68">
        <v>0</v>
      </c>
      <c r="AG63" s="68">
        <v>-287.8</v>
      </c>
      <c r="AH63" s="657">
        <v>-594.79999999999995</v>
      </c>
      <c r="AI63" s="68">
        <v>0</v>
      </c>
      <c r="AJ63" s="68">
        <v>0</v>
      </c>
      <c r="AK63" s="68">
        <v>-287.8</v>
      </c>
      <c r="AL63" s="68">
        <v>-594.79999999999995</v>
      </c>
      <c r="AM63" s="656">
        <v>0</v>
      </c>
      <c r="AN63" s="68">
        <v>-7.4</v>
      </c>
      <c r="AO63" s="68">
        <v>-7.4</v>
      </c>
      <c r="AP63" s="657">
        <v>-232.5</v>
      </c>
      <c r="AQ63" s="68">
        <v>-415.7</v>
      </c>
      <c r="AR63" s="68">
        <v>-415.7</v>
      </c>
      <c r="AS63" s="68">
        <v>-674.5</v>
      </c>
      <c r="AT63" s="657">
        <v>-1186.2</v>
      </c>
      <c r="AU63" s="68">
        <v>0</v>
      </c>
      <c r="AV63" s="68">
        <v>0</v>
      </c>
      <c r="AW63" s="68">
        <v>0</v>
      </c>
      <c r="AX63" s="657">
        <v>-660.8</v>
      </c>
      <c r="AY63" s="68">
        <v>0</v>
      </c>
      <c r="AZ63" s="68">
        <v>0</v>
      </c>
      <c r="BA63" s="68">
        <v>0</v>
      </c>
      <c r="BB63" s="944">
        <v>0</v>
      </c>
      <c r="BD63" s="1041"/>
      <c r="BE63" s="1036"/>
      <c r="BF63" s="1025"/>
      <c r="BG63" s="1025"/>
      <c r="BH63" s="1025"/>
      <c r="BI63" s="1025"/>
    </row>
    <row r="64" spans="1:61" ht="20.149999999999999" customHeight="1">
      <c r="A64" s="70" t="s">
        <v>424</v>
      </c>
      <c r="B64" s="673" t="s">
        <v>425</v>
      </c>
      <c r="C64" s="69"/>
      <c r="D64" s="69"/>
      <c r="E64" s="69"/>
      <c r="F64" s="69"/>
      <c r="G64" s="677"/>
      <c r="H64" s="69"/>
      <c r="I64" s="69"/>
      <c r="J64" s="678"/>
      <c r="K64" s="69"/>
      <c r="L64" s="68"/>
      <c r="M64" s="68"/>
      <c r="N64" s="68"/>
      <c r="O64" s="656"/>
      <c r="P64" s="68"/>
      <c r="Q64" s="68"/>
      <c r="R64" s="657"/>
      <c r="S64" s="68"/>
      <c r="T64" s="68"/>
      <c r="U64" s="68"/>
      <c r="V64" s="68"/>
      <c r="W64" s="656"/>
      <c r="X64" s="68"/>
      <c r="Y64" s="68"/>
      <c r="Z64" s="657"/>
      <c r="AA64" s="68"/>
      <c r="AB64" s="68"/>
      <c r="AC64" s="68"/>
      <c r="AD64" s="68"/>
      <c r="AE64" s="656"/>
      <c r="AF64" s="68"/>
      <c r="AG64" s="68"/>
      <c r="AH64" s="657"/>
      <c r="AI64" s="68"/>
      <c r="AJ64" s="68"/>
      <c r="AK64" s="68"/>
      <c r="AL64" s="68"/>
      <c r="AM64" s="656"/>
      <c r="AN64" s="68"/>
      <c r="AO64" s="68"/>
      <c r="AP64" s="657"/>
      <c r="AQ64" s="68"/>
      <c r="AR64" s="68"/>
      <c r="AS64" s="68"/>
      <c r="AT64" s="657">
        <v>-2464</v>
      </c>
      <c r="AU64" s="68">
        <v>0</v>
      </c>
      <c r="AV64" s="68">
        <v>-393.9</v>
      </c>
      <c r="AW64" s="68">
        <v>-393.9</v>
      </c>
      <c r="AX64" s="657">
        <v>-393.9</v>
      </c>
      <c r="AY64" s="68">
        <v>0</v>
      </c>
      <c r="AZ64" s="68">
        <v>0</v>
      </c>
      <c r="BA64" s="68">
        <v>0</v>
      </c>
      <c r="BB64" s="944">
        <v>0</v>
      </c>
      <c r="BD64" s="1025"/>
      <c r="BE64" s="1036"/>
      <c r="BF64" s="1025"/>
      <c r="BG64" s="1025"/>
      <c r="BH64" s="1025"/>
      <c r="BI64" s="1025"/>
    </row>
    <row r="65" spans="1:61" ht="20.149999999999999" customHeight="1">
      <c r="A65" s="70" t="s">
        <v>426</v>
      </c>
      <c r="B65" s="673" t="s">
        <v>427</v>
      </c>
      <c r="C65" s="69"/>
      <c r="D65" s="69"/>
      <c r="E65" s="69"/>
      <c r="F65" s="69"/>
      <c r="G65" s="677"/>
      <c r="H65" s="69"/>
      <c r="I65" s="69"/>
      <c r="J65" s="678"/>
      <c r="K65" s="69"/>
      <c r="L65" s="68"/>
      <c r="M65" s="68"/>
      <c r="N65" s="68"/>
      <c r="O65" s="656"/>
      <c r="P65" s="68"/>
      <c r="Q65" s="68"/>
      <c r="R65" s="657"/>
      <c r="S65" s="68"/>
      <c r="T65" s="68">
        <v>-323.60000000000002</v>
      </c>
      <c r="U65" s="68">
        <v>-323.60000000000002</v>
      </c>
      <c r="V65" s="68">
        <v>-323.60000000000002</v>
      </c>
      <c r="W65" s="656">
        <v>0</v>
      </c>
      <c r="X65" s="68">
        <v>0</v>
      </c>
      <c r="Y65" s="68">
        <v>0</v>
      </c>
      <c r="Z65" s="657">
        <v>0</v>
      </c>
      <c r="AA65" s="68">
        <v>0</v>
      </c>
      <c r="AB65" s="68">
        <v>0</v>
      </c>
      <c r="AC65" s="68">
        <v>0</v>
      </c>
      <c r="AD65" s="68">
        <v>0</v>
      </c>
      <c r="AE65" s="656">
        <v>0</v>
      </c>
      <c r="AF65" s="68">
        <v>0</v>
      </c>
      <c r="AG65" s="68">
        <v>0</v>
      </c>
      <c r="AH65" s="657">
        <v>0</v>
      </c>
      <c r="AI65" s="68">
        <v>0</v>
      </c>
      <c r="AJ65" s="68">
        <v>0</v>
      </c>
      <c r="AK65" s="68">
        <v>0</v>
      </c>
      <c r="AL65" s="68">
        <v>0</v>
      </c>
      <c r="AM65" s="656">
        <v>0</v>
      </c>
      <c r="AN65" s="68">
        <v>0</v>
      </c>
      <c r="AO65" s="68">
        <v>0</v>
      </c>
      <c r="AP65" s="657">
        <v>0</v>
      </c>
      <c r="AQ65" s="68">
        <v>0</v>
      </c>
      <c r="AR65" s="68">
        <v>0</v>
      </c>
      <c r="AS65" s="68">
        <v>0</v>
      </c>
      <c r="AT65" s="657">
        <v>0</v>
      </c>
      <c r="AU65" s="68">
        <v>0</v>
      </c>
      <c r="AV65" s="68">
        <v>0</v>
      </c>
      <c r="AW65" s="68">
        <v>0</v>
      </c>
      <c r="AX65" s="657">
        <v>0</v>
      </c>
      <c r="AY65" s="68">
        <v>0</v>
      </c>
      <c r="AZ65" s="68">
        <v>0</v>
      </c>
      <c r="BA65" s="68">
        <v>0</v>
      </c>
      <c r="BB65" s="944">
        <v>0</v>
      </c>
      <c r="BD65" s="1025"/>
      <c r="BE65" s="1036"/>
      <c r="BF65" s="1025"/>
      <c r="BG65" s="1025"/>
      <c r="BH65" s="1025"/>
      <c r="BI65" s="1025"/>
    </row>
    <row r="66" spans="1:61" ht="20.149999999999999" customHeight="1">
      <c r="A66" s="70" t="s">
        <v>428</v>
      </c>
      <c r="B66" s="673" t="s">
        <v>429</v>
      </c>
      <c r="C66" s="68">
        <v>-8.4000000000000005E-2</v>
      </c>
      <c r="D66" s="68">
        <v>-0.23899999999999999</v>
      </c>
      <c r="E66" s="68">
        <v>-0.315</v>
      </c>
      <c r="F66" s="68">
        <v>-0.40600000000000003</v>
      </c>
      <c r="G66" s="656">
        <v>-7.8E-2</v>
      </c>
      <c r="H66" s="68">
        <v>-0.16800000000000001</v>
      </c>
      <c r="I66" s="68">
        <v>-0.25600000000000001</v>
      </c>
      <c r="J66" s="657">
        <v>-0.33</v>
      </c>
      <c r="K66" s="68">
        <v>-6.2E-2</v>
      </c>
      <c r="L66" s="68">
        <v>-0.3</v>
      </c>
      <c r="M66" s="68">
        <v>-0.7</v>
      </c>
      <c r="N66" s="68">
        <v>-0.9</v>
      </c>
      <c r="O66" s="656">
        <v>-2.5</v>
      </c>
      <c r="P66" s="68">
        <v>-3.5</v>
      </c>
      <c r="Q66" s="68">
        <v>-4.5</v>
      </c>
      <c r="R66" s="657">
        <v>-5.6</v>
      </c>
      <c r="S66" s="68">
        <v>-2.1</v>
      </c>
      <c r="T66" s="68">
        <v>-2.7</v>
      </c>
      <c r="U66" s="68">
        <v>-4.4000000000000004</v>
      </c>
      <c r="V66" s="68">
        <v>-6</v>
      </c>
      <c r="W66" s="656">
        <f>-0.3-1.4</f>
        <v>-1.7</v>
      </c>
      <c r="X66" s="68">
        <v>-2.9</v>
      </c>
      <c r="Y66" s="68">
        <v>-4.3</v>
      </c>
      <c r="Z66" s="657">
        <v>-5.2</v>
      </c>
      <c r="AA66" s="68">
        <v>-1.6</v>
      </c>
      <c r="AB66" s="68">
        <v>-3.4</v>
      </c>
      <c r="AC66" s="68">
        <v>-4.8</v>
      </c>
      <c r="AD66" s="68">
        <v>-8.4</v>
      </c>
      <c r="AE66" s="656">
        <v>-0.6</v>
      </c>
      <c r="AF66" s="68">
        <v>-0.4</v>
      </c>
      <c r="AG66" s="68">
        <v>-0.6</v>
      </c>
      <c r="AH66" s="657">
        <v>-0.7</v>
      </c>
      <c r="AI66" s="68">
        <v>-0.6</v>
      </c>
      <c r="AJ66" s="68">
        <v>-0.4</v>
      </c>
      <c r="AK66" s="68">
        <v>-0.6</v>
      </c>
      <c r="AL66" s="68">
        <v>-0.7</v>
      </c>
      <c r="AM66" s="656">
        <v>-4.5</v>
      </c>
      <c r="AN66" s="68">
        <v>-12.7</v>
      </c>
      <c r="AO66" s="68">
        <v>-27.3</v>
      </c>
      <c r="AP66" s="657">
        <v>-40.1</v>
      </c>
      <c r="AQ66" s="68">
        <v>-11.1</v>
      </c>
      <c r="AR66" s="68">
        <v>-19.3</v>
      </c>
      <c r="AS66" s="68">
        <v>-27.2</v>
      </c>
      <c r="AT66" s="657">
        <v>-33.799999999999997</v>
      </c>
      <c r="AU66" s="68">
        <v>-1.5</v>
      </c>
      <c r="AV66" s="68">
        <v>-12.2</v>
      </c>
      <c r="AW66" s="68">
        <v>-16.5</v>
      </c>
      <c r="AX66" s="657">
        <v>-23</v>
      </c>
      <c r="AY66" s="68">
        <v>9.8000000000000007</v>
      </c>
      <c r="AZ66" s="68">
        <v>2.8</v>
      </c>
      <c r="BA66" s="260">
        <v>-1.5</v>
      </c>
      <c r="BB66" s="1006">
        <v>-1.8</v>
      </c>
      <c r="BD66" s="1025"/>
      <c r="BE66" s="1036"/>
      <c r="BF66" s="1025"/>
      <c r="BG66" s="1025"/>
      <c r="BH66" s="1025"/>
      <c r="BI66" s="1025"/>
    </row>
    <row r="67" spans="1:61" ht="22.5" customHeight="1">
      <c r="A67" s="70" t="s">
        <v>430</v>
      </c>
      <c r="B67" s="673" t="s">
        <v>431</v>
      </c>
      <c r="C67" s="68"/>
      <c r="D67" s="68"/>
      <c r="E67" s="68"/>
      <c r="F67" s="68"/>
      <c r="G67" s="656"/>
      <c r="H67" s="68"/>
      <c r="I67" s="68"/>
      <c r="J67" s="657"/>
      <c r="K67" s="68"/>
      <c r="L67" s="68"/>
      <c r="M67" s="68"/>
      <c r="N67" s="68"/>
      <c r="O67" s="656"/>
      <c r="P67" s="68"/>
      <c r="Q67" s="68"/>
      <c r="R67" s="657"/>
      <c r="S67" s="68"/>
      <c r="T67" s="68"/>
      <c r="U67" s="68"/>
      <c r="V67" s="68"/>
      <c r="W67" s="656"/>
      <c r="X67" s="68"/>
      <c r="Y67" s="68"/>
      <c r="Z67" s="657"/>
      <c r="AA67" s="68"/>
      <c r="AB67" s="68"/>
      <c r="AC67" s="68"/>
      <c r="AD67" s="68"/>
      <c r="AE67" s="656"/>
      <c r="AF67" s="68"/>
      <c r="AG67" s="68"/>
      <c r="AH67" s="657"/>
      <c r="AI67" s="68"/>
      <c r="AJ67" s="68"/>
      <c r="AK67" s="68"/>
      <c r="AL67" s="68"/>
      <c r="AM67" s="656"/>
      <c r="AN67" s="68"/>
      <c r="AO67" s="68"/>
      <c r="AP67" s="657"/>
      <c r="AQ67" s="68"/>
      <c r="AR67" s="68"/>
      <c r="AS67" s="68"/>
      <c r="AT67" s="657"/>
      <c r="AU67" s="68">
        <v>7.4</v>
      </c>
      <c r="AV67" s="68">
        <v>31.9</v>
      </c>
      <c r="AW67" s="68">
        <v>75.7</v>
      </c>
      <c r="AX67" s="657">
        <v>109.4</v>
      </c>
      <c r="AY67" s="68">
        <v>32.799999999999997</v>
      </c>
      <c r="AZ67" s="68">
        <v>48.4</v>
      </c>
      <c r="BA67" s="260">
        <v>56.5</v>
      </c>
      <c r="BB67" s="1006">
        <v>60.8</v>
      </c>
      <c r="BD67" s="1025"/>
      <c r="BE67" s="1036"/>
      <c r="BF67" s="1025"/>
      <c r="BG67" s="1025"/>
      <c r="BH67" s="1025"/>
      <c r="BI67" s="1025"/>
    </row>
    <row r="68" spans="1:61" ht="20.149999999999999" customHeight="1">
      <c r="A68" s="70" t="s">
        <v>432</v>
      </c>
      <c r="B68" s="673" t="s">
        <v>433</v>
      </c>
      <c r="C68" s="677">
        <v>0</v>
      </c>
      <c r="D68" s="69">
        <v>0</v>
      </c>
      <c r="E68" s="69">
        <v>0</v>
      </c>
      <c r="F68" s="678">
        <v>0</v>
      </c>
      <c r="G68" s="677">
        <v>0</v>
      </c>
      <c r="H68" s="69">
        <v>0</v>
      </c>
      <c r="I68" s="69">
        <v>0</v>
      </c>
      <c r="J68" s="678">
        <v>0</v>
      </c>
      <c r="K68" s="69">
        <v>0</v>
      </c>
      <c r="L68" s="68">
        <v>-3.8</v>
      </c>
      <c r="M68" s="68">
        <v>-3.9</v>
      </c>
      <c r="N68" s="68">
        <v>-3.9</v>
      </c>
      <c r="O68" s="656">
        <v>0</v>
      </c>
      <c r="P68" s="68">
        <v>0</v>
      </c>
      <c r="Q68" s="68">
        <v>0</v>
      </c>
      <c r="R68" s="657">
        <v>0</v>
      </c>
      <c r="S68" s="68">
        <v>0</v>
      </c>
      <c r="T68" s="68">
        <v>0</v>
      </c>
      <c r="U68" s="68">
        <v>0</v>
      </c>
      <c r="V68" s="68">
        <v>0</v>
      </c>
      <c r="W68" s="656">
        <v>0</v>
      </c>
      <c r="X68" s="68">
        <v>0</v>
      </c>
      <c r="Y68" s="68">
        <v>0</v>
      </c>
      <c r="Z68" s="657">
        <v>0</v>
      </c>
      <c r="AA68" s="68">
        <v>0</v>
      </c>
      <c r="AB68" s="68"/>
      <c r="AC68" s="68">
        <v>0</v>
      </c>
      <c r="AD68" s="68">
        <v>0</v>
      </c>
      <c r="AE68" s="656">
        <v>0</v>
      </c>
      <c r="AF68" s="68">
        <v>0</v>
      </c>
      <c r="AG68" s="68">
        <v>0</v>
      </c>
      <c r="AH68" s="657">
        <v>0</v>
      </c>
      <c r="AI68" s="68">
        <v>0</v>
      </c>
      <c r="AJ68" s="68">
        <v>0</v>
      </c>
      <c r="AK68" s="68">
        <v>0</v>
      </c>
      <c r="AL68" s="68">
        <v>0</v>
      </c>
      <c r="AM68" s="656">
        <v>0</v>
      </c>
      <c r="AN68" s="68">
        <v>0</v>
      </c>
      <c r="AO68" s="68">
        <v>0</v>
      </c>
      <c r="AP68" s="657">
        <v>0</v>
      </c>
      <c r="AQ68" s="68">
        <v>0</v>
      </c>
      <c r="AR68" s="68">
        <v>0</v>
      </c>
      <c r="AS68" s="68">
        <v>0</v>
      </c>
      <c r="AT68" s="657"/>
      <c r="AU68" s="68">
        <v>0</v>
      </c>
      <c r="AV68" s="68">
        <v>0</v>
      </c>
      <c r="AW68" s="68">
        <v>0</v>
      </c>
      <c r="AX68" s="657">
        <v>0</v>
      </c>
      <c r="AY68" s="68">
        <v>0</v>
      </c>
      <c r="AZ68" s="68">
        <v>0</v>
      </c>
      <c r="BA68" s="68">
        <v>0</v>
      </c>
      <c r="BB68" s="657">
        <v>0</v>
      </c>
      <c r="BD68" s="1025"/>
      <c r="BE68" s="1036"/>
      <c r="BF68" s="1025"/>
      <c r="BG68" s="1025"/>
      <c r="BH68" s="1039"/>
      <c r="BI68" s="1039"/>
    </row>
    <row r="69" spans="1:61" s="265" customFormat="1" ht="25.25" customHeight="1" thickBot="1">
      <c r="A69" s="385" t="s">
        <v>434</v>
      </c>
      <c r="B69" s="675" t="s">
        <v>435</v>
      </c>
      <c r="C69" s="661">
        <f t="shared" ref="C69:X69" si="19">SUM(C55:C68)</f>
        <v>-52.972000000000001</v>
      </c>
      <c r="D69" s="386">
        <f t="shared" si="19"/>
        <v>-260.08099999999996</v>
      </c>
      <c r="E69" s="386">
        <f t="shared" si="19"/>
        <v>-525.96400000000006</v>
      </c>
      <c r="F69" s="662">
        <f t="shared" si="19"/>
        <v>-653.34699999999998</v>
      </c>
      <c r="G69" s="661">
        <f t="shared" si="19"/>
        <v>-66.737000000000009</v>
      </c>
      <c r="H69" s="386">
        <f t="shared" si="19"/>
        <v>-278.43799999999999</v>
      </c>
      <c r="I69" s="386">
        <f t="shared" si="19"/>
        <v>-464.322</v>
      </c>
      <c r="J69" s="662">
        <f t="shared" si="19"/>
        <v>-596.46400000000006</v>
      </c>
      <c r="K69" s="386">
        <f t="shared" si="19"/>
        <v>-46.550999999999995</v>
      </c>
      <c r="L69" s="386">
        <f t="shared" si="19"/>
        <v>-478.30000000000007</v>
      </c>
      <c r="M69" s="386">
        <f t="shared" si="19"/>
        <v>-1064.0000000000002</v>
      </c>
      <c r="N69" s="386">
        <f t="shared" si="19"/>
        <v>-1542.9000000000003</v>
      </c>
      <c r="O69" s="661">
        <f t="shared" si="19"/>
        <v>-467.4</v>
      </c>
      <c r="P69" s="386">
        <f t="shared" si="19"/>
        <v>-1310</v>
      </c>
      <c r="Q69" s="386">
        <f t="shared" si="19"/>
        <v>-2210.8000000000006</v>
      </c>
      <c r="R69" s="662">
        <f t="shared" si="19"/>
        <v>-2386.7000000000007</v>
      </c>
      <c r="S69" s="386">
        <f t="shared" si="19"/>
        <v>-371.90000000000055</v>
      </c>
      <c r="T69" s="386">
        <f t="shared" si="19"/>
        <v>-1403.6000000000001</v>
      </c>
      <c r="U69" s="386">
        <f t="shared" si="19"/>
        <v>-1737.1000000000004</v>
      </c>
      <c r="V69" s="386">
        <f t="shared" si="19"/>
        <v>-2070.8000000000002</v>
      </c>
      <c r="W69" s="661">
        <f t="shared" si="19"/>
        <v>-348.2</v>
      </c>
      <c r="X69" s="386">
        <f t="shared" si="19"/>
        <v>-1122.3000000000002</v>
      </c>
      <c r="Y69" s="386">
        <f>SUM(Y55:Y68)</f>
        <v>-1676</v>
      </c>
      <c r="Z69" s="662">
        <f>SUM(Z55:Z68)</f>
        <v>-1527.7000000000003</v>
      </c>
      <c r="AA69" s="386">
        <f t="shared" ref="AA69:AD69" si="20">SUM(AA55:AA68)</f>
        <v>-689.6</v>
      </c>
      <c r="AB69" s="386">
        <f t="shared" si="20"/>
        <v>-868.19999999999993</v>
      </c>
      <c r="AC69" s="386">
        <f t="shared" ref="AC69" si="21">SUM(AC55:AC68)</f>
        <v>-790.09999999999991</v>
      </c>
      <c r="AD69" s="386">
        <f t="shared" si="20"/>
        <v>-1074.3000000000002</v>
      </c>
      <c r="AE69" s="661">
        <f t="shared" ref="AE69:AH69" si="22">SUM(AE55:AE68)</f>
        <v>-695.40000000000009</v>
      </c>
      <c r="AF69" s="386">
        <f t="shared" si="22"/>
        <v>-1064</v>
      </c>
      <c r="AG69" s="386">
        <f>SUM(AG55:AG68)</f>
        <v>-1285.8999999999999</v>
      </c>
      <c r="AH69" s="662">
        <f t="shared" si="22"/>
        <v>-798.6</v>
      </c>
      <c r="AI69" s="386">
        <f t="shared" ref="AI69:AJ69" si="23">SUM(AI55:AI68)</f>
        <v>-754.4</v>
      </c>
      <c r="AJ69" s="386">
        <f t="shared" si="23"/>
        <v>-1219</v>
      </c>
      <c r="AK69" s="386">
        <f>SUM(AK55:AK68)</f>
        <v>-1538.9999999999998</v>
      </c>
      <c r="AL69" s="386">
        <f t="shared" ref="AL69" si="24">SUM(AL55:AL68)</f>
        <v>-1184.7</v>
      </c>
      <c r="AM69" s="661">
        <f t="shared" ref="AM69:AN69" si="25">SUM(AM55:AM68)</f>
        <v>-30.000000000000043</v>
      </c>
      <c r="AN69" s="386">
        <f t="shared" si="25"/>
        <v>-243.19999999999996</v>
      </c>
      <c r="AO69" s="386">
        <v>-453.3</v>
      </c>
      <c r="AP69" s="662">
        <f t="shared" ref="AP69:AR69" si="26">SUM(AP55:AP68)</f>
        <v>-856</v>
      </c>
      <c r="AQ69" s="386">
        <f t="shared" si="26"/>
        <v>-612</v>
      </c>
      <c r="AR69" s="386">
        <f t="shared" si="26"/>
        <v>-879.3</v>
      </c>
      <c r="AS69" s="386">
        <f t="shared" ref="AS69" si="27">SUM(AS55:AS68)</f>
        <v>-981.50000000000011</v>
      </c>
      <c r="AT69" s="662">
        <f t="shared" ref="AT69:AW69" si="28">SUM(AT55:AT68)</f>
        <v>-5282.9000000000005</v>
      </c>
      <c r="AU69" s="386">
        <f t="shared" si="28"/>
        <v>-332.2</v>
      </c>
      <c r="AV69" s="386">
        <f t="shared" si="28"/>
        <v>-1340.8</v>
      </c>
      <c r="AW69" s="386">
        <f t="shared" si="28"/>
        <v>-1729.7</v>
      </c>
      <c r="AX69" s="662">
        <f t="shared" ref="AX69:BA69" si="29">SUM(AX55:AX68)</f>
        <v>-2705.7</v>
      </c>
      <c r="AY69" s="386">
        <f t="shared" si="29"/>
        <v>1567.3</v>
      </c>
      <c r="AZ69" s="386">
        <f t="shared" si="29"/>
        <v>2915.5</v>
      </c>
      <c r="BA69" s="386">
        <f t="shared" si="29"/>
        <v>3091.0000000000005</v>
      </c>
      <c r="BB69" s="662">
        <f t="shared" ref="BB69" si="30">SUM(BB55:BB68)</f>
        <v>2336.2000000000003</v>
      </c>
      <c r="BC69" s="847"/>
      <c r="BD69" s="1025"/>
      <c r="BE69" s="1038"/>
      <c r="BF69" s="1038"/>
      <c r="BG69" s="1043"/>
      <c r="BH69" s="1039"/>
      <c r="BI69" s="1039"/>
    </row>
    <row r="70" spans="1:61" ht="20.149999999999999" customHeight="1" thickBot="1">
      <c r="A70" s="387" t="s">
        <v>436</v>
      </c>
      <c r="B70" s="672" t="s">
        <v>437</v>
      </c>
      <c r="C70" s="388">
        <f>C36+C54+C69</f>
        <v>146.86399999999998</v>
      </c>
      <c r="D70" s="388">
        <f t="shared" ref="D70:AN70" si="31">D69+D54+D36</f>
        <v>33.256000000000029</v>
      </c>
      <c r="E70" s="388">
        <f t="shared" si="31"/>
        <v>-51.083999999999946</v>
      </c>
      <c r="F70" s="389">
        <f t="shared" si="31"/>
        <v>-5.4109999999999445</v>
      </c>
      <c r="G70" s="654">
        <f t="shared" si="31"/>
        <v>53.822999999999979</v>
      </c>
      <c r="H70" s="389">
        <f t="shared" si="31"/>
        <v>-5.0790000000000077</v>
      </c>
      <c r="I70" s="389">
        <f t="shared" si="31"/>
        <v>-55.118000000000166</v>
      </c>
      <c r="J70" s="655">
        <f t="shared" si="31"/>
        <v>72.357999999999834</v>
      </c>
      <c r="K70" s="389">
        <f t="shared" si="31"/>
        <v>85.956000000000017</v>
      </c>
      <c r="L70" s="389">
        <f t="shared" si="31"/>
        <v>1565.3999999999999</v>
      </c>
      <c r="M70" s="389">
        <f t="shared" si="31"/>
        <v>1300.0999999999999</v>
      </c>
      <c r="N70" s="389">
        <f t="shared" si="31"/>
        <v>1403.7999999999997</v>
      </c>
      <c r="O70" s="654">
        <f t="shared" si="31"/>
        <v>-257.89999999999981</v>
      </c>
      <c r="P70" s="389">
        <f t="shared" si="31"/>
        <v>-353.30000000000041</v>
      </c>
      <c r="Q70" s="389">
        <f t="shared" si="31"/>
        <v>-677.30000000000109</v>
      </c>
      <c r="R70" s="655">
        <f t="shared" si="31"/>
        <v>-225.60000000000127</v>
      </c>
      <c r="S70" s="389">
        <f t="shared" si="31"/>
        <v>49.999999999999602</v>
      </c>
      <c r="T70" s="389">
        <f t="shared" si="31"/>
        <v>-568.70000000000005</v>
      </c>
      <c r="U70" s="389">
        <f t="shared" si="31"/>
        <v>-411.39999999999918</v>
      </c>
      <c r="V70" s="389">
        <f t="shared" si="31"/>
        <v>-189.5</v>
      </c>
      <c r="W70" s="654">
        <f t="shared" si="31"/>
        <v>244.3000000000003</v>
      </c>
      <c r="X70" s="389">
        <f t="shared" si="31"/>
        <v>29.599999999999909</v>
      </c>
      <c r="Y70" s="389">
        <f t="shared" si="31"/>
        <v>-245.50000000000045</v>
      </c>
      <c r="Z70" s="655">
        <f t="shared" si="31"/>
        <v>-159.59999999999945</v>
      </c>
      <c r="AA70" s="389">
        <f t="shared" si="31"/>
        <v>-374.99999999999989</v>
      </c>
      <c r="AB70" s="389">
        <f t="shared" si="31"/>
        <v>-285.70000000000005</v>
      </c>
      <c r="AC70" s="389">
        <f t="shared" si="31"/>
        <v>-11.199999999999818</v>
      </c>
      <c r="AD70" s="389">
        <f t="shared" si="31"/>
        <v>5.2999999999997272</v>
      </c>
      <c r="AE70" s="654">
        <f t="shared" si="31"/>
        <v>-420.69999999999993</v>
      </c>
      <c r="AF70" s="389">
        <f t="shared" si="31"/>
        <v>-392.89999999999986</v>
      </c>
      <c r="AG70" s="389">
        <f t="shared" si="31"/>
        <v>-294.79999999999927</v>
      </c>
      <c r="AH70" s="655">
        <f t="shared" si="31"/>
        <v>-426.40000000000055</v>
      </c>
      <c r="AI70" s="389">
        <f t="shared" si="31"/>
        <v>-420.69999999999993</v>
      </c>
      <c r="AJ70" s="389">
        <f t="shared" si="31"/>
        <v>-392.89999999999986</v>
      </c>
      <c r="AK70" s="389">
        <f t="shared" si="31"/>
        <v>-294.79999999999882</v>
      </c>
      <c r="AL70" s="389">
        <f t="shared" si="31"/>
        <v>-426.40000000000146</v>
      </c>
      <c r="AM70" s="654">
        <f t="shared" si="31"/>
        <v>384.78882651999987</v>
      </c>
      <c r="AN70" s="389">
        <f t="shared" si="31"/>
        <v>565.90000000000055</v>
      </c>
      <c r="AO70" s="389">
        <v>408.8</v>
      </c>
      <c r="AP70" s="655">
        <f t="shared" ref="AP70:AX70" si="32">AP69+AP54+AP36</f>
        <v>609.39999999999918</v>
      </c>
      <c r="AQ70" s="389">
        <f t="shared" si="32"/>
        <v>-97.199999999999932</v>
      </c>
      <c r="AR70" s="389">
        <f t="shared" si="32"/>
        <v>-599.79999999999995</v>
      </c>
      <c r="AS70" s="389">
        <f t="shared" si="32"/>
        <v>6107.2000000000007</v>
      </c>
      <c r="AT70" s="655">
        <f t="shared" si="32"/>
        <v>2279.2999999999979</v>
      </c>
      <c r="AU70" s="389">
        <f>AU69+AU54+AU36</f>
        <v>-288.1999999999997</v>
      </c>
      <c r="AV70" s="389">
        <f t="shared" si="32"/>
        <v>-2577.6</v>
      </c>
      <c r="AW70" s="389">
        <f t="shared" si="32"/>
        <v>-2041.9999999999998</v>
      </c>
      <c r="AX70" s="655">
        <f t="shared" si="32"/>
        <v>-2820.6000000000004</v>
      </c>
      <c r="AY70" s="389">
        <f>AY69+AY54+AY36</f>
        <v>655.80000000000064</v>
      </c>
      <c r="AZ70" s="389">
        <f t="shared" ref="AZ70:BB70" si="33">AZ69+AZ54+AZ36</f>
        <v>2673.2999999999993</v>
      </c>
      <c r="BA70" s="389">
        <f t="shared" si="33"/>
        <v>3324.6</v>
      </c>
      <c r="BB70" s="655">
        <f t="shared" si="33"/>
        <v>2512.8999999999992</v>
      </c>
      <c r="BC70" s="847"/>
      <c r="BD70" s="1025"/>
      <c r="BE70" s="1038"/>
      <c r="BF70" s="1038"/>
      <c r="BG70" s="1025"/>
      <c r="BH70" s="1039"/>
      <c r="BI70" s="1039"/>
    </row>
    <row r="71" spans="1:61" ht="20.149999999999999" customHeight="1">
      <c r="A71" s="263" t="s">
        <v>438</v>
      </c>
      <c r="B71" s="676" t="s">
        <v>439</v>
      </c>
      <c r="C71" s="264">
        <v>277.53399999999999</v>
      </c>
      <c r="D71" s="264">
        <v>277.53399999999999</v>
      </c>
      <c r="E71" s="264">
        <v>277.53399999999999</v>
      </c>
      <c r="F71" s="264">
        <v>277.53399999999999</v>
      </c>
      <c r="G71" s="667">
        <v>270.35399999999998</v>
      </c>
      <c r="H71" s="264">
        <v>270.35399999999998</v>
      </c>
      <c r="I71" s="264">
        <v>270.35399999999998</v>
      </c>
      <c r="J71" s="668">
        <v>270.35399999999998</v>
      </c>
      <c r="K71" s="264">
        <v>342.25100000000003</v>
      </c>
      <c r="L71" s="264">
        <v>342.2</v>
      </c>
      <c r="M71" s="264">
        <v>342.2</v>
      </c>
      <c r="N71" s="264">
        <v>342.2</v>
      </c>
      <c r="O71" s="667">
        <v>1747.9</v>
      </c>
      <c r="P71" s="264">
        <v>1747.9</v>
      </c>
      <c r="Q71" s="264">
        <v>1747.9</v>
      </c>
      <c r="R71" s="668">
        <v>1747.9</v>
      </c>
      <c r="S71" s="264">
        <f>$R$74</f>
        <v>1523.6999999999989</v>
      </c>
      <c r="T71" s="264">
        <f t="shared" ref="T71:V71" si="34">$R$74</f>
        <v>1523.6999999999989</v>
      </c>
      <c r="U71" s="264">
        <f t="shared" si="34"/>
        <v>1523.6999999999989</v>
      </c>
      <c r="V71" s="264">
        <f t="shared" si="34"/>
        <v>1523.6999999999989</v>
      </c>
      <c r="W71" s="667">
        <f>V74</f>
        <v>1336.6999999999989</v>
      </c>
      <c r="X71" s="264">
        <f>V74</f>
        <v>1336.6999999999989</v>
      </c>
      <c r="Y71" s="264">
        <f>V74</f>
        <v>1336.6999999999989</v>
      </c>
      <c r="Z71" s="668">
        <f>Y71</f>
        <v>1336.6999999999989</v>
      </c>
      <c r="AA71" s="264">
        <f>Z74</f>
        <v>1171.9999999999995</v>
      </c>
      <c r="AB71" s="264">
        <f>Z74</f>
        <v>1171.9999999999995</v>
      </c>
      <c r="AC71" s="264">
        <f>Z74</f>
        <v>1171.9999999999995</v>
      </c>
      <c r="AD71" s="264">
        <f>AC71</f>
        <v>1171.9999999999995</v>
      </c>
      <c r="AE71" s="667">
        <v>1178.7</v>
      </c>
      <c r="AF71" s="264">
        <f>AD74</f>
        <v>1178.6999999999994</v>
      </c>
      <c r="AG71" s="264">
        <f>AD74</f>
        <v>1178.6999999999994</v>
      </c>
      <c r="AH71" s="668">
        <f>AD74</f>
        <v>1178.6999999999994</v>
      </c>
      <c r="AI71" s="264">
        <v>1178.7</v>
      </c>
      <c r="AJ71" s="264">
        <f>AD74</f>
        <v>1178.6999999999994</v>
      </c>
      <c r="AK71" s="264">
        <f>AD74</f>
        <v>1178.6999999999994</v>
      </c>
      <c r="AL71" s="264">
        <f>AD74</f>
        <v>1178.6999999999994</v>
      </c>
      <c r="AM71" s="667">
        <f>AL74</f>
        <v>753.09999999999786</v>
      </c>
      <c r="AN71" s="264">
        <v>753.1</v>
      </c>
      <c r="AO71" s="264">
        <v>753.1</v>
      </c>
      <c r="AP71" s="668">
        <v>753.1</v>
      </c>
      <c r="AQ71" s="264">
        <f>$AP$74</f>
        <v>1365.799999999999</v>
      </c>
      <c r="AR71" s="264">
        <f t="shared" ref="AR71:AT71" si="35">$AP$74</f>
        <v>1365.799999999999</v>
      </c>
      <c r="AS71" s="264">
        <f t="shared" si="35"/>
        <v>1365.799999999999</v>
      </c>
      <c r="AT71" s="668">
        <f t="shared" si="35"/>
        <v>1365.799999999999</v>
      </c>
      <c r="AU71" s="264">
        <f>$AT$74</f>
        <v>3644.2999999999965</v>
      </c>
      <c r="AV71" s="264">
        <f>$AT$74</f>
        <v>3644.2999999999965</v>
      </c>
      <c r="AW71" s="264">
        <f>$AT$74</f>
        <v>3644.2999999999965</v>
      </c>
      <c r="AX71" s="750">
        <f>$AT$74</f>
        <v>3644.2999999999965</v>
      </c>
      <c r="AY71" s="264">
        <f>$AX$74</f>
        <v>817.7999999999962</v>
      </c>
      <c r="AZ71" s="264">
        <f>$AX$74</f>
        <v>817.7999999999962</v>
      </c>
      <c r="BA71" s="264">
        <f>$AX$74</f>
        <v>817.7999999999962</v>
      </c>
      <c r="BB71" s="750">
        <v>817.8</v>
      </c>
      <c r="BC71" s="847"/>
      <c r="BD71" s="1025"/>
      <c r="BE71" s="1025"/>
      <c r="BF71" s="1025"/>
      <c r="BG71" s="1025"/>
      <c r="BH71" s="1025"/>
      <c r="BI71" s="1025"/>
    </row>
    <row r="72" spans="1:61" ht="14.5">
      <c r="A72" s="70" t="s">
        <v>440</v>
      </c>
      <c r="B72" s="673" t="s">
        <v>441</v>
      </c>
      <c r="C72" s="68">
        <v>-2.5009999999999999</v>
      </c>
      <c r="D72" s="68">
        <v>-1.2710000000000001</v>
      </c>
      <c r="E72" s="68">
        <v>-1.339</v>
      </c>
      <c r="F72" s="68">
        <v>-1.7690000000000001</v>
      </c>
      <c r="G72" s="656">
        <v>0.161</v>
      </c>
      <c r="H72" s="68">
        <v>0.52800000000000002</v>
      </c>
      <c r="I72" s="68">
        <v>0.16</v>
      </c>
      <c r="J72" s="657">
        <v>-0.46100000000000002</v>
      </c>
      <c r="K72" s="68">
        <v>-1.7000000000000001E-2</v>
      </c>
      <c r="L72" s="68">
        <v>-0.7</v>
      </c>
      <c r="M72" s="68">
        <v>0.9</v>
      </c>
      <c r="N72" s="68">
        <v>1.9</v>
      </c>
      <c r="O72" s="656">
        <v>1.6</v>
      </c>
      <c r="P72" s="68">
        <v>2</v>
      </c>
      <c r="Q72" s="68">
        <v>1.4</v>
      </c>
      <c r="R72" s="657">
        <v>1.4</v>
      </c>
      <c r="S72" s="68">
        <v>-3.7</v>
      </c>
      <c r="T72" s="68">
        <v>0.4</v>
      </c>
      <c r="U72" s="68">
        <v>-2.1</v>
      </c>
      <c r="V72" s="68">
        <v>2.5</v>
      </c>
      <c r="W72" s="656">
        <v>-3.7</v>
      </c>
      <c r="X72" s="68">
        <v>-3.7</v>
      </c>
      <c r="Y72" s="68">
        <v>-2.8</v>
      </c>
      <c r="Z72" s="657">
        <v>-5.0999999999999996</v>
      </c>
      <c r="AA72" s="68">
        <v>0.5</v>
      </c>
      <c r="AB72" s="68">
        <v>1.5</v>
      </c>
      <c r="AC72" s="68">
        <v>2.2999999999999998</v>
      </c>
      <c r="AD72" s="68">
        <v>1.4</v>
      </c>
      <c r="AE72" s="656">
        <v>-1</v>
      </c>
      <c r="AF72" s="68">
        <v>-2</v>
      </c>
      <c r="AG72" s="68">
        <v>2.2999999999999998</v>
      </c>
      <c r="AH72" s="657">
        <v>0.8</v>
      </c>
      <c r="AI72" s="68">
        <v>-1</v>
      </c>
      <c r="AJ72" s="68">
        <v>-2</v>
      </c>
      <c r="AK72" s="68">
        <v>2.2999999999999998</v>
      </c>
      <c r="AL72" s="68">
        <v>0.8</v>
      </c>
      <c r="AM72" s="656">
        <v>2.9</v>
      </c>
      <c r="AN72" s="68">
        <v>1.5</v>
      </c>
      <c r="AO72" s="68">
        <v>2.2999999999999998</v>
      </c>
      <c r="AP72" s="657">
        <v>3.3</v>
      </c>
      <c r="AQ72" s="68">
        <v>-1.3</v>
      </c>
      <c r="AR72" s="68">
        <v>-2</v>
      </c>
      <c r="AS72" s="68">
        <v>-0.7</v>
      </c>
      <c r="AT72" s="657">
        <v>-0.8</v>
      </c>
      <c r="AU72" s="68">
        <v>-2.4</v>
      </c>
      <c r="AV72" s="68">
        <v>-4.7</v>
      </c>
      <c r="AW72" s="68">
        <v>-6.2</v>
      </c>
      <c r="AX72" s="657">
        <v>-5.9</v>
      </c>
      <c r="AY72" s="68">
        <v>-0.2</v>
      </c>
      <c r="AZ72" s="68">
        <v>-12.6</v>
      </c>
      <c r="BA72" s="68">
        <v>39.299999999999997</v>
      </c>
      <c r="BB72" s="657">
        <v>-3.8</v>
      </c>
      <c r="BD72" s="1040"/>
      <c r="BE72" s="1025"/>
      <c r="BF72" s="1025"/>
      <c r="BG72" s="1025"/>
      <c r="BH72" s="1025"/>
      <c r="BI72" s="1025"/>
    </row>
    <row r="73" spans="1:61" ht="20.149999999999999" customHeight="1">
      <c r="A73" s="70" t="s">
        <v>442</v>
      </c>
      <c r="B73" s="673" t="s">
        <v>443</v>
      </c>
      <c r="C73" s="68"/>
      <c r="D73" s="68"/>
      <c r="E73" s="68"/>
      <c r="F73" s="68"/>
      <c r="G73" s="656"/>
      <c r="H73" s="68"/>
      <c r="I73" s="68"/>
      <c r="J73" s="657"/>
      <c r="K73" s="68"/>
      <c r="L73" s="68"/>
      <c r="M73" s="68"/>
      <c r="N73" s="68"/>
      <c r="O73" s="656"/>
      <c r="P73" s="68"/>
      <c r="Q73" s="68"/>
      <c r="R73" s="657"/>
      <c r="S73" s="68"/>
      <c r="T73" s="68"/>
      <c r="U73" s="68"/>
      <c r="V73" s="68"/>
      <c r="W73" s="656"/>
      <c r="X73" s="68"/>
      <c r="Y73" s="68"/>
      <c r="Z73" s="657"/>
      <c r="AA73" s="68"/>
      <c r="AB73" s="68"/>
      <c r="AC73" s="68"/>
      <c r="AD73" s="68"/>
      <c r="AE73" s="656"/>
      <c r="AF73" s="68"/>
      <c r="AG73" s="68"/>
      <c r="AH73" s="657"/>
      <c r="AI73" s="68"/>
      <c r="AJ73" s="68"/>
      <c r="AK73" s="68"/>
      <c r="AL73" s="68"/>
      <c r="AM73" s="656"/>
      <c r="AN73" s="68"/>
      <c r="AO73" s="68"/>
      <c r="AP73" s="657"/>
      <c r="AQ73" s="68">
        <v>-108.5</v>
      </c>
      <c r="AR73" s="68">
        <v>-95.5</v>
      </c>
      <c r="AS73" s="68">
        <v>0</v>
      </c>
      <c r="AT73" s="657">
        <v>0</v>
      </c>
      <c r="AU73" s="68">
        <v>0</v>
      </c>
      <c r="AV73" s="68">
        <v>0</v>
      </c>
      <c r="AW73" s="68">
        <v>0</v>
      </c>
      <c r="AX73" s="657">
        <v>0</v>
      </c>
      <c r="AY73" s="68">
        <v>0</v>
      </c>
      <c r="AZ73" s="68">
        <v>0</v>
      </c>
      <c r="BA73" s="68">
        <v>0</v>
      </c>
      <c r="BB73" s="657">
        <v>-1.2</v>
      </c>
      <c r="BD73" s="1040"/>
      <c r="BE73" s="1025"/>
      <c r="BF73" s="1025"/>
      <c r="BG73" s="1025"/>
      <c r="BH73" s="1025"/>
      <c r="BI73" s="1025"/>
    </row>
    <row r="74" spans="1:61" s="265" customFormat="1" ht="25.25" customHeight="1">
      <c r="A74" s="385" t="s">
        <v>444</v>
      </c>
      <c r="B74" s="675" t="s">
        <v>445</v>
      </c>
      <c r="C74" s="386">
        <f>C70+C71+C72</f>
        <v>421.89699999999999</v>
      </c>
      <c r="D74" s="386">
        <f t="shared" ref="D74:R74" si="36">D71+D70+D72</f>
        <v>309.51900000000001</v>
      </c>
      <c r="E74" s="386">
        <f t="shared" si="36"/>
        <v>225.11100000000005</v>
      </c>
      <c r="F74" s="386">
        <f t="shared" si="36"/>
        <v>270.35400000000004</v>
      </c>
      <c r="G74" s="661">
        <f t="shared" si="36"/>
        <v>324.33799999999997</v>
      </c>
      <c r="H74" s="386">
        <f t="shared" si="36"/>
        <v>265.803</v>
      </c>
      <c r="I74" s="386">
        <f t="shared" si="36"/>
        <v>215.39599999999982</v>
      </c>
      <c r="J74" s="662">
        <f t="shared" si="36"/>
        <v>342.25099999999981</v>
      </c>
      <c r="K74" s="386">
        <f t="shared" si="36"/>
        <v>428.19000000000005</v>
      </c>
      <c r="L74" s="386">
        <f t="shared" si="36"/>
        <v>1906.8999999999999</v>
      </c>
      <c r="M74" s="386">
        <f t="shared" si="36"/>
        <v>1643.2</v>
      </c>
      <c r="N74" s="386">
        <f t="shared" si="36"/>
        <v>1747.8999999999999</v>
      </c>
      <c r="O74" s="661">
        <f t="shared" si="36"/>
        <v>1491.6000000000001</v>
      </c>
      <c r="P74" s="386">
        <f t="shared" si="36"/>
        <v>1396.5999999999997</v>
      </c>
      <c r="Q74" s="386">
        <f t="shared" si="36"/>
        <v>1071.9999999999991</v>
      </c>
      <c r="R74" s="662">
        <f t="shared" si="36"/>
        <v>1523.6999999999989</v>
      </c>
      <c r="S74" s="386">
        <f t="shared" ref="S74:Z74" si="37">S71+S70+S72</f>
        <v>1569.9999999999984</v>
      </c>
      <c r="T74" s="386">
        <f t="shared" si="37"/>
        <v>955.39999999999884</v>
      </c>
      <c r="U74" s="386">
        <f t="shared" si="37"/>
        <v>1110.1999999999998</v>
      </c>
      <c r="V74" s="386">
        <f t="shared" si="37"/>
        <v>1336.6999999999989</v>
      </c>
      <c r="W74" s="661">
        <f t="shared" si="37"/>
        <v>1577.299999999999</v>
      </c>
      <c r="X74" s="386">
        <f t="shared" si="37"/>
        <v>1362.5999999999988</v>
      </c>
      <c r="Y74" s="386">
        <f t="shared" si="37"/>
        <v>1088.3999999999985</v>
      </c>
      <c r="Z74" s="662">
        <f t="shared" si="37"/>
        <v>1171.9999999999995</v>
      </c>
      <c r="AA74" s="386">
        <f t="shared" ref="AA74:AD74" si="38">AA71+AA70+AA72</f>
        <v>797.49999999999966</v>
      </c>
      <c r="AB74" s="386">
        <f t="shared" si="38"/>
        <v>887.7999999999995</v>
      </c>
      <c r="AC74" s="386">
        <f t="shared" si="38"/>
        <v>1163.0999999999997</v>
      </c>
      <c r="AD74" s="386">
        <f t="shared" si="38"/>
        <v>1178.6999999999994</v>
      </c>
      <c r="AE74" s="661">
        <f t="shared" ref="AE74:AH74" si="39">AE71+AE70+AE72</f>
        <v>757.00000000000011</v>
      </c>
      <c r="AF74" s="386">
        <f>AF71+AF70+AF72</f>
        <v>783.7999999999995</v>
      </c>
      <c r="AG74" s="386">
        <f t="shared" si="39"/>
        <v>886.2</v>
      </c>
      <c r="AH74" s="662">
        <f t="shared" si="39"/>
        <v>753.09999999999877</v>
      </c>
      <c r="AI74" s="386">
        <f t="shared" ref="AI74" si="40">AI71+AI70+AI72</f>
        <v>757.00000000000011</v>
      </c>
      <c r="AJ74" s="386">
        <f>AJ71+AJ70+AJ72</f>
        <v>783.7999999999995</v>
      </c>
      <c r="AK74" s="386">
        <f t="shared" ref="AK74:AL74" si="41">AK71+AK70+AK72</f>
        <v>886.2000000000005</v>
      </c>
      <c r="AL74" s="386">
        <f t="shared" si="41"/>
        <v>753.09999999999786</v>
      </c>
      <c r="AM74" s="661">
        <f t="shared" ref="AM74" si="42">AM71+AM70+AM72</f>
        <v>1140.7888265199979</v>
      </c>
      <c r="AN74" s="386">
        <f>AN71+AN70+AN72</f>
        <v>1320.5000000000005</v>
      </c>
      <c r="AO74" s="386">
        <f t="shared" ref="AO74:AP74" si="43">AO71+AO70+AO72</f>
        <v>1164.2</v>
      </c>
      <c r="AP74" s="662">
        <f t="shared" si="43"/>
        <v>1365.799999999999</v>
      </c>
      <c r="AQ74" s="386">
        <f>AQ71+AQ70+AQ72+AQ73</f>
        <v>1158.799999999999</v>
      </c>
      <c r="AR74" s="386">
        <f>AR71+AR70+AR72+AR73</f>
        <v>668.49999999999909</v>
      </c>
      <c r="AS74" s="386">
        <f t="shared" ref="AS74:AT74" si="44">AS71+AS70+AS72</f>
        <v>7472.3</v>
      </c>
      <c r="AT74" s="662">
        <f t="shared" si="44"/>
        <v>3644.2999999999965</v>
      </c>
      <c r="AU74" s="386">
        <f>AU71+AU70+AU72+AU73</f>
        <v>3353.6999999999966</v>
      </c>
      <c r="AV74" s="386">
        <f>AV71+AV70+AV72+AV73</f>
        <v>1061.9999999999966</v>
      </c>
      <c r="AW74" s="386">
        <f t="shared" ref="AW74:AX74" si="45">AW71+AW70+AW72</f>
        <v>1596.0999999999967</v>
      </c>
      <c r="AX74" s="662">
        <f t="shared" si="45"/>
        <v>817.7999999999962</v>
      </c>
      <c r="AY74" s="386">
        <f>AY71+AY70+AY72+AY73</f>
        <v>1473.3999999999967</v>
      </c>
      <c r="AZ74" s="386">
        <f>AZ71+AZ70+AZ72+AZ73</f>
        <v>3478.4999999999955</v>
      </c>
      <c r="BA74" s="386">
        <f t="shared" ref="BA74" si="46">BA71+BA70+BA72</f>
        <v>4181.6999999999962</v>
      </c>
      <c r="BB74" s="662">
        <f>BB71+BB70+BB72+BB73</f>
        <v>3325.6999999999989</v>
      </c>
      <c r="BC74" s="847"/>
      <c r="BD74" s="1040"/>
      <c r="BE74" s="1039"/>
      <c r="BF74" s="1039"/>
      <c r="BG74" s="1039"/>
      <c r="BH74" s="1039"/>
      <c r="BI74" s="1039"/>
    </row>
    <row r="75" spans="1:61">
      <c r="N75" s="234"/>
      <c r="AE75" s="4"/>
      <c r="AF75" s="4"/>
      <c r="AG75" s="4"/>
      <c r="AH75" s="4"/>
      <c r="AI75" s="4"/>
      <c r="AJ75" s="4"/>
      <c r="AK75" s="4"/>
      <c r="AL75" s="4"/>
      <c r="AM75" s="4"/>
      <c r="AN75" s="4"/>
      <c r="AO75" s="4"/>
      <c r="AP75" s="4"/>
      <c r="AQ75" s="4"/>
      <c r="AR75" s="4"/>
      <c r="AS75" s="4"/>
      <c r="AT75" s="4"/>
      <c r="AU75" s="4"/>
      <c r="AV75" s="4"/>
      <c r="AW75" s="4"/>
      <c r="AX75" s="4"/>
      <c r="AY75" s="4"/>
      <c r="AZ75" s="4"/>
      <c r="BA75" s="4"/>
      <c r="BB75" s="4"/>
      <c r="BD75" s="1025"/>
      <c r="BE75" s="1025"/>
      <c r="BF75" s="1025"/>
      <c r="BG75" s="1025"/>
      <c r="BH75" s="1025"/>
      <c r="BI75" s="1025"/>
    </row>
    <row r="76" spans="1:61" s="6" customFormat="1" ht="52">
      <c r="A76" s="117" t="s">
        <v>446</v>
      </c>
      <c r="B76" s="117" t="s">
        <v>447</v>
      </c>
      <c r="N76" s="16"/>
      <c r="AB76" s="74"/>
      <c r="BD76" s="1025"/>
      <c r="BE76" s="1025"/>
      <c r="BF76" s="1025"/>
      <c r="BG76" s="1025"/>
      <c r="BH76" s="1025"/>
      <c r="BI76" s="1025"/>
    </row>
    <row r="77" spans="1:61" s="6" customFormat="1" ht="19.5" customHeight="1">
      <c r="A77" s="117" t="s">
        <v>448</v>
      </c>
      <c r="B77" s="117" t="s">
        <v>449</v>
      </c>
      <c r="N77" s="16"/>
      <c r="AB77" s="74"/>
      <c r="BD77" s="1040"/>
      <c r="BE77" s="1025"/>
      <c r="BF77" s="1025"/>
      <c r="BG77" s="1025"/>
      <c r="BH77" s="1025"/>
      <c r="BI77" s="1025"/>
    </row>
    <row r="78" spans="1:61" s="6" customFormat="1" ht="44.25" customHeight="1">
      <c r="A78" s="117" t="s">
        <v>450</v>
      </c>
      <c r="B78" s="117" t="s">
        <v>451</v>
      </c>
      <c r="N78" s="16"/>
      <c r="AB78" s="90"/>
      <c r="BD78" s="1025"/>
      <c r="BE78" s="1025"/>
      <c r="BF78" s="1025"/>
      <c r="BG78" s="1025"/>
      <c r="BH78" s="1025"/>
      <c r="BI78" s="1025"/>
    </row>
    <row r="79" spans="1:61" s="6" customFormat="1" ht="29.25" customHeight="1">
      <c r="A79" s="117" t="s">
        <v>452</v>
      </c>
      <c r="B79" s="117" t="s">
        <v>453</v>
      </c>
      <c r="N79" s="16"/>
      <c r="AB79" s="90"/>
      <c r="BD79" s="1025"/>
      <c r="BE79" s="1025"/>
      <c r="BF79" s="1025"/>
      <c r="BG79" s="1025"/>
      <c r="BH79" s="1025"/>
      <c r="BI79" s="1025"/>
    </row>
    <row r="80" spans="1:61" s="6" customFormat="1" ht="51" customHeight="1">
      <c r="A80" s="117" t="s">
        <v>454</v>
      </c>
      <c r="B80" s="117" t="s">
        <v>455</v>
      </c>
      <c r="N80" s="16"/>
      <c r="AB80" s="90"/>
      <c r="BD80" s="1025"/>
      <c r="BE80" s="1025"/>
      <c r="BF80" s="1025"/>
      <c r="BG80" s="1025"/>
      <c r="BH80" s="1025"/>
      <c r="BI80" s="1025"/>
    </row>
    <row r="81" spans="1:61" s="6" customFormat="1" ht="24" customHeight="1">
      <c r="A81" s="117" t="s">
        <v>456</v>
      </c>
      <c r="B81" s="117" t="s">
        <v>457</v>
      </c>
      <c r="N81" s="16"/>
      <c r="AB81" s="91"/>
      <c r="BD81" s="1025"/>
      <c r="BE81" s="1025"/>
      <c r="BF81" s="1025"/>
      <c r="BG81" s="1025"/>
      <c r="BH81" s="1025"/>
      <c r="BI81" s="1025"/>
    </row>
    <row r="82" spans="1:61" s="6" customFormat="1" ht="68.25" customHeight="1">
      <c r="A82" s="117" t="s">
        <v>458</v>
      </c>
      <c r="B82" s="117" t="s">
        <v>459</v>
      </c>
      <c r="N82" s="16"/>
      <c r="AB82" s="91"/>
      <c r="AD82" s="6" t="s">
        <v>460</v>
      </c>
      <c r="BD82" s="1025"/>
      <c r="BE82" s="1025"/>
      <c r="BF82" s="1025"/>
      <c r="BG82" s="1025"/>
      <c r="BH82" s="1025"/>
      <c r="BI82" s="1025"/>
    </row>
    <row r="83" spans="1:61" s="6" customFormat="1" ht="21.75" customHeight="1">
      <c r="A83" s="117" t="s">
        <v>461</v>
      </c>
      <c r="B83" s="117" t="s">
        <v>462</v>
      </c>
      <c r="N83" s="16"/>
      <c r="AB83" s="90"/>
      <c r="BD83" s="1025"/>
      <c r="BE83" s="1025"/>
      <c r="BF83" s="1025"/>
      <c r="BG83" s="1025"/>
      <c r="BH83" s="1025"/>
      <c r="BI83" s="1025"/>
    </row>
    <row r="84" spans="1:61" s="6" customFormat="1">
      <c r="A84" s="117"/>
      <c r="B84" s="117"/>
      <c r="N84" s="16"/>
      <c r="AB84" s="90"/>
      <c r="BD84" s="1025"/>
      <c r="BE84" s="1025"/>
      <c r="BF84" s="1025"/>
      <c r="BG84" s="1025"/>
      <c r="BH84" s="1025"/>
      <c r="BI84" s="1025"/>
    </row>
    <row r="85" spans="1:61" s="6" customFormat="1">
      <c r="A85" s="117"/>
      <c r="B85" s="117"/>
      <c r="N85" s="16"/>
      <c r="AB85" s="90"/>
      <c r="BD85" s="1025"/>
      <c r="BE85" s="1025"/>
      <c r="BF85" s="1025"/>
      <c r="BG85" s="1025"/>
      <c r="BH85" s="1025"/>
      <c r="BI85" s="1025"/>
    </row>
    <row r="86" spans="1:61" s="6" customFormat="1">
      <c r="A86" s="117"/>
      <c r="B86" s="117"/>
      <c r="N86" s="16"/>
      <c r="AB86" s="90"/>
    </row>
    <row r="87" spans="1:61" s="6" customFormat="1">
      <c r="A87" s="117"/>
      <c r="B87" s="117"/>
      <c r="N87" s="16"/>
      <c r="AB87" s="90"/>
    </row>
    <row r="88" spans="1:61" s="6" customFormat="1">
      <c r="A88" s="117"/>
      <c r="B88" s="117"/>
      <c r="N88" s="16"/>
      <c r="AB88" s="90"/>
    </row>
    <row r="89" spans="1:61" s="6" customFormat="1">
      <c r="A89" s="117"/>
      <c r="B89" s="117"/>
      <c r="N89" s="16"/>
      <c r="AB89" s="90"/>
    </row>
    <row r="90" spans="1:61" s="6" customFormat="1" ht="14.5">
      <c r="A90" s="117"/>
      <c r="B90" s="117"/>
      <c r="N90" s="16"/>
      <c r="AB90" s="91"/>
    </row>
    <row r="91" spans="1:61" s="6" customFormat="1" ht="14.5">
      <c r="A91" s="117"/>
      <c r="B91" s="117"/>
      <c r="N91" s="16"/>
      <c r="AB91" s="92"/>
    </row>
    <row r="92" spans="1:61" s="6" customFormat="1">
      <c r="A92" s="117"/>
      <c r="B92" s="117"/>
      <c r="N92" s="16"/>
      <c r="AB92" s="90"/>
    </row>
    <row r="93" spans="1:61" s="6" customFormat="1">
      <c r="A93" s="117"/>
      <c r="B93" s="117"/>
      <c r="N93" s="16"/>
      <c r="AB93" s="90"/>
    </row>
    <row r="94" spans="1:61" s="6" customFormat="1">
      <c r="A94" s="117"/>
      <c r="B94" s="117"/>
      <c r="N94" s="16"/>
      <c r="AB94" s="90"/>
    </row>
    <row r="95" spans="1:61" s="6" customFormat="1">
      <c r="A95" s="117"/>
      <c r="B95" s="117"/>
      <c r="N95" s="16"/>
      <c r="AB95" s="90"/>
    </row>
    <row r="96" spans="1:61" s="6" customFormat="1">
      <c r="A96" s="117"/>
      <c r="B96" s="117"/>
      <c r="N96" s="16"/>
      <c r="AB96" s="90"/>
    </row>
    <row r="97" spans="1:28" s="6" customFormat="1">
      <c r="A97" s="117"/>
      <c r="B97" s="117"/>
      <c r="N97" s="16"/>
      <c r="AB97" s="90"/>
    </row>
    <row r="98" spans="1:28" s="6" customFormat="1">
      <c r="A98" s="117"/>
      <c r="B98" s="117"/>
      <c r="N98" s="16"/>
      <c r="AB98" s="90"/>
    </row>
    <row r="99" spans="1:28" s="6" customFormat="1">
      <c r="A99" s="117"/>
      <c r="B99" s="117"/>
      <c r="N99" s="16"/>
      <c r="AB99" s="68"/>
    </row>
    <row r="100" spans="1:28" s="6" customFormat="1">
      <c r="A100" s="117"/>
      <c r="B100" s="117"/>
      <c r="N100" s="16"/>
      <c r="AB100" s="93"/>
    </row>
    <row r="101" spans="1:28" s="6" customFormat="1">
      <c r="A101" s="117"/>
      <c r="B101" s="117"/>
      <c r="N101" s="16"/>
      <c r="AB101" s="68"/>
    </row>
    <row r="102" spans="1:28" s="6" customFormat="1">
      <c r="A102" s="117"/>
      <c r="B102" s="117"/>
      <c r="N102" s="16"/>
      <c r="AB102" s="68"/>
    </row>
    <row r="103" spans="1:28" s="6" customFormat="1">
      <c r="A103" s="117"/>
      <c r="B103" s="117"/>
      <c r="N103" s="16"/>
      <c r="AB103" s="93"/>
    </row>
    <row r="104" spans="1:28" s="6" customFormat="1">
      <c r="A104" s="117"/>
      <c r="B104" s="117"/>
      <c r="N104" s="16"/>
      <c r="AB104" s="68"/>
    </row>
    <row r="105" spans="1:28" s="6" customFormat="1">
      <c r="A105" s="117"/>
      <c r="B105" s="117"/>
      <c r="N105" s="16"/>
      <c r="AB105" s="68"/>
    </row>
    <row r="106" spans="1:28" s="6" customFormat="1">
      <c r="A106" s="117"/>
      <c r="B106" s="117"/>
      <c r="N106" s="16"/>
      <c r="AB106" s="68"/>
    </row>
    <row r="107" spans="1:28" s="6" customFormat="1">
      <c r="A107" s="117"/>
      <c r="B107" s="117"/>
      <c r="N107" s="16"/>
      <c r="AB107" s="68"/>
    </row>
    <row r="108" spans="1:28" s="6" customFormat="1">
      <c r="A108" s="117"/>
      <c r="B108" s="117"/>
      <c r="N108" s="16"/>
      <c r="AB108" s="68"/>
    </row>
    <row r="109" spans="1:28" s="6" customFormat="1">
      <c r="A109" s="117"/>
      <c r="B109" s="117"/>
      <c r="N109" s="16"/>
      <c r="AB109" s="68"/>
    </row>
    <row r="110" spans="1:28" s="6" customFormat="1">
      <c r="A110" s="117"/>
      <c r="B110" s="117"/>
      <c r="N110" s="16"/>
      <c r="AB110" s="68"/>
    </row>
    <row r="111" spans="1:28" s="6" customFormat="1">
      <c r="A111" s="117"/>
      <c r="B111" s="117"/>
      <c r="N111" s="16"/>
      <c r="AB111" s="68"/>
    </row>
    <row r="112" spans="1:28" s="6" customFormat="1">
      <c r="A112" s="117"/>
      <c r="B112" s="117"/>
      <c r="N112" s="16"/>
      <c r="AB112" s="68"/>
    </row>
    <row r="113" spans="1:28" s="6" customFormat="1">
      <c r="A113" s="117"/>
      <c r="B113" s="117"/>
      <c r="N113" s="16"/>
      <c r="AB113" s="68"/>
    </row>
    <row r="114" spans="1:28" s="6" customFormat="1">
      <c r="A114" s="117"/>
      <c r="B114" s="117"/>
      <c r="AB114" s="68"/>
    </row>
    <row r="115" spans="1:28" s="6" customFormat="1">
      <c r="A115" s="117"/>
      <c r="B115" s="117"/>
      <c r="AB115" s="68"/>
    </row>
    <row r="116" spans="1:28" s="6" customFormat="1" ht="14.5">
      <c r="A116" s="117"/>
      <c r="B116" s="117"/>
      <c r="AB116" s="92"/>
    </row>
    <row r="117" spans="1:28" s="6" customFormat="1">
      <c r="A117" s="117"/>
      <c r="B117" s="117"/>
      <c r="AB117" s="68"/>
    </row>
    <row r="118" spans="1:28" s="6" customFormat="1">
      <c r="A118" s="117"/>
      <c r="B118" s="117"/>
      <c r="AB118" s="68"/>
    </row>
    <row r="119" spans="1:28" s="6" customFormat="1">
      <c r="A119" s="117"/>
      <c r="B119" s="117"/>
      <c r="AB119" s="93"/>
    </row>
    <row r="120" spans="1:28" s="6" customFormat="1">
      <c r="A120" s="117"/>
      <c r="B120" s="117"/>
      <c r="AB120" s="68"/>
    </row>
    <row r="121" spans="1:28" s="6" customFormat="1">
      <c r="A121" s="117"/>
      <c r="B121" s="117"/>
      <c r="AB121" s="68"/>
    </row>
    <row r="122" spans="1:28" s="6" customFormat="1">
      <c r="A122" s="117"/>
      <c r="B122" s="117"/>
      <c r="AB122" s="68"/>
    </row>
    <row r="123" spans="1:28" s="6" customFormat="1">
      <c r="A123" s="117"/>
      <c r="B123" s="117"/>
      <c r="AB123" s="68"/>
    </row>
    <row r="124" spans="1:28" s="6" customFormat="1">
      <c r="A124" s="117"/>
      <c r="B124" s="117"/>
      <c r="AB124" s="68"/>
    </row>
    <row r="125" spans="1:28" s="6" customFormat="1">
      <c r="A125" s="117"/>
      <c r="B125" s="117"/>
      <c r="AB125" s="68"/>
    </row>
    <row r="126" spans="1:28" s="6" customFormat="1">
      <c r="A126" s="117"/>
      <c r="B126" s="117"/>
      <c r="AB126" s="68"/>
    </row>
    <row r="127" spans="1:28" s="6" customFormat="1">
      <c r="A127" s="117"/>
      <c r="B127" s="117"/>
      <c r="AB127" s="68"/>
    </row>
    <row r="128" spans="1:28" s="6" customFormat="1">
      <c r="A128" s="117"/>
      <c r="B128" s="117"/>
      <c r="AB128" s="68"/>
    </row>
    <row r="129" spans="1:28" s="6" customFormat="1">
      <c r="A129" s="117"/>
      <c r="B129" s="117"/>
      <c r="AB129" s="68"/>
    </row>
    <row r="130" spans="1:28" s="6" customFormat="1">
      <c r="A130" s="117"/>
      <c r="B130" s="117"/>
      <c r="AB130" s="93"/>
    </row>
    <row r="131" spans="1:28" s="6" customFormat="1">
      <c r="A131" s="117"/>
      <c r="B131" s="117"/>
      <c r="AB131" s="93"/>
    </row>
    <row r="132" spans="1:28" s="6" customFormat="1">
      <c r="A132" s="117"/>
      <c r="B132" s="117"/>
      <c r="AB132" s="93"/>
    </row>
    <row r="133" spans="1:28" s="6" customFormat="1">
      <c r="A133" s="117"/>
      <c r="B133" s="117"/>
      <c r="AB133" s="68"/>
    </row>
    <row r="134" spans="1:28" s="6" customFormat="1">
      <c r="A134" s="117"/>
      <c r="B134" s="117"/>
      <c r="AB134" s="93"/>
    </row>
    <row r="135" spans="1:28" s="6" customFormat="1">
      <c r="A135" s="117"/>
      <c r="B135" s="117"/>
      <c r="AB135" s="4"/>
    </row>
    <row r="136" spans="1:28" s="6" customFormat="1">
      <c r="A136" s="117"/>
      <c r="B136" s="117"/>
      <c r="AB136" s="4"/>
    </row>
    <row r="137" spans="1:28" s="6" customFormat="1">
      <c r="A137" s="117"/>
      <c r="B137" s="117"/>
      <c r="AB137" s="4"/>
    </row>
    <row r="138" spans="1:28" s="6" customFormat="1">
      <c r="A138" s="117"/>
      <c r="B138" s="117"/>
      <c r="AB138" s="4"/>
    </row>
    <row r="139" spans="1:28" s="6" customFormat="1">
      <c r="A139" s="117"/>
      <c r="B139" s="117"/>
      <c r="AB139" s="4"/>
    </row>
    <row r="140" spans="1:28" s="6" customFormat="1">
      <c r="A140" s="117"/>
      <c r="B140" s="117"/>
      <c r="AB140" s="4"/>
    </row>
    <row r="141" spans="1:28" s="6" customFormat="1">
      <c r="A141" s="117"/>
      <c r="B141" s="117"/>
      <c r="AB141" s="4"/>
    </row>
    <row r="142" spans="1:28" s="6" customFormat="1">
      <c r="A142" s="117"/>
      <c r="B142" s="117"/>
      <c r="AB142" s="4"/>
    </row>
    <row r="143" spans="1:28" s="6" customFormat="1">
      <c r="A143" s="117"/>
      <c r="B143" s="117"/>
      <c r="AB143" s="4"/>
    </row>
    <row r="144" spans="1:28" s="6" customFormat="1">
      <c r="A144" s="117"/>
      <c r="B144" s="117"/>
      <c r="AB144" s="4"/>
    </row>
    <row r="145" spans="1:56" s="6" customFormat="1">
      <c r="A145" s="117"/>
      <c r="B145" s="117"/>
      <c r="AB145" s="4"/>
    </row>
    <row r="146" spans="1:56" s="6" customFormat="1">
      <c r="A146" s="117"/>
      <c r="B146" s="117"/>
      <c r="AB146" s="4"/>
    </row>
    <row r="147" spans="1:56" s="6" customFormat="1">
      <c r="A147" s="117"/>
      <c r="B147" s="117"/>
      <c r="AB147" s="4"/>
    </row>
    <row r="148" spans="1:56" s="6" customFormat="1">
      <c r="A148" s="117"/>
      <c r="B148" s="117"/>
      <c r="AB148" s="4"/>
    </row>
    <row r="149" spans="1:56" s="6" customFormat="1">
      <c r="A149" s="117"/>
      <c r="B149" s="117"/>
      <c r="AB149" s="4"/>
    </row>
    <row r="150" spans="1:56" s="6" customFormat="1">
      <c r="A150" s="117"/>
      <c r="B150" s="117"/>
      <c r="AB150" s="4"/>
    </row>
    <row r="151" spans="1:56" s="6" customFormat="1">
      <c r="A151" s="117"/>
      <c r="B151" s="117"/>
      <c r="AB151" s="4"/>
    </row>
    <row r="152" spans="1:56" s="6" customFormat="1">
      <c r="A152" s="117"/>
      <c r="B152" s="117"/>
      <c r="AB152" s="4"/>
    </row>
    <row r="153" spans="1:56">
      <c r="A153" s="117"/>
      <c r="B153" s="117"/>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C153" s="6"/>
      <c r="AD153" s="6"/>
      <c r="BD153" s="6"/>
    </row>
    <row r="154" spans="1:56">
      <c r="BD154" s="6"/>
    </row>
    <row r="155" spans="1:56">
      <c r="BD155" s="6"/>
    </row>
  </sheetData>
  <customSheetViews>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1"/>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2"/>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4"/>
    </customSheetView>
  </customSheetViews>
  <mergeCells count="16">
    <mergeCell ref="AQ2:AT2"/>
    <mergeCell ref="AM2:AP2"/>
    <mergeCell ref="AI2:AL2"/>
    <mergeCell ref="AE2:AH2"/>
    <mergeCell ref="AA2:AD2"/>
    <mergeCell ref="W2:Z2"/>
    <mergeCell ref="C2:F2"/>
    <mergeCell ref="G2:J2"/>
    <mergeCell ref="K2:N2"/>
    <mergeCell ref="O2:R2"/>
    <mergeCell ref="S2:V2"/>
    <mergeCell ref="BG22:BG23"/>
    <mergeCell ref="BH22:BH23"/>
    <mergeCell ref="BI22:BI23"/>
    <mergeCell ref="AY2:BB2"/>
    <mergeCell ref="AU2:AX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6" formulaRange="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752"/>
  <sheetViews>
    <sheetView showGridLines="0" zoomScale="85" zoomScaleNormal="85" zoomScaleSheetLayoutView="100" workbookViewId="0">
      <pane xSplit="38" ySplit="4" topLeftCell="BN5" activePane="bottomRight" state="frozen"/>
      <selection pane="topRight" activeCell="AM1" sqref="AM1"/>
      <selection pane="bottomLeft" activeCell="A5" sqref="A5"/>
      <selection pane="bottomRight" activeCell="AM5" sqref="AM5"/>
    </sheetView>
  </sheetViews>
  <sheetFormatPr defaultColWidth="9" defaultRowHeight="14.5"/>
  <cols>
    <col min="1" max="1" width="43.1640625" style="166" customWidth="1"/>
    <col min="2" max="2" width="42.4140625" style="166" customWidth="1"/>
    <col min="3" max="38" width="3.5" style="166" hidden="1" customWidth="1"/>
    <col min="39" max="43" width="9" style="165"/>
    <col min="44" max="48" width="9" style="165" hidden="1" customWidth="1"/>
    <col min="49" max="53" width="9" style="165"/>
    <col min="54" max="54" width="9.1640625" style="165" bestFit="1" customWidth="1"/>
    <col min="55" max="58" width="9" style="165"/>
    <col min="59" max="59" width="9.1640625" style="165" bestFit="1" customWidth="1"/>
    <col min="60" max="63" width="9" style="165"/>
    <col min="64" max="64" width="9.1640625" style="165" bestFit="1" customWidth="1"/>
    <col min="65" max="68" width="9" style="165"/>
    <col min="69" max="69" width="9.1640625" style="165" bestFit="1" customWidth="1"/>
    <col min="70" max="492" width="9" style="165"/>
    <col min="493" max="16384" width="9" style="166"/>
  </cols>
  <sheetData>
    <row r="1" spans="1:492"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865"/>
      <c r="AN1" s="865"/>
      <c r="AO1" s="865"/>
      <c r="AP1" s="865"/>
      <c r="AQ1" s="865"/>
      <c r="AR1" s="865"/>
      <c r="AS1" s="865"/>
      <c r="AT1" s="865"/>
      <c r="AU1" s="865"/>
      <c r="AV1" s="865"/>
      <c r="AW1" s="865"/>
      <c r="AX1" s="865"/>
      <c r="AY1" s="865"/>
      <c r="AZ1" s="865"/>
      <c r="BA1" s="865"/>
      <c r="BB1" s="865"/>
      <c r="BC1" s="865"/>
      <c r="BD1" s="865"/>
      <c r="BE1" s="865"/>
      <c r="BF1" s="865"/>
      <c r="BG1" s="865"/>
      <c r="BH1" s="865"/>
      <c r="BI1" s="865"/>
      <c r="BJ1" s="865"/>
      <c r="BK1" s="865"/>
      <c r="BL1" s="865"/>
      <c r="BM1" s="865"/>
      <c r="BN1" s="865"/>
      <c r="BO1" s="865"/>
      <c r="BP1" s="865"/>
      <c r="BQ1" s="865"/>
      <c r="BR1" s="865"/>
      <c r="BS1" s="865"/>
      <c r="BT1" s="865"/>
      <c r="BU1" s="865"/>
      <c r="BV1" s="865"/>
      <c r="BW1" s="865"/>
      <c r="BX1" s="865"/>
      <c r="BY1" s="865"/>
      <c r="BZ1" s="865"/>
      <c r="CA1" s="865"/>
      <c r="CB1" s="865"/>
      <c r="CC1" s="865"/>
      <c r="CD1" s="865"/>
      <c r="CE1" s="865"/>
      <c r="CF1" s="865"/>
      <c r="CG1" s="865"/>
      <c r="CH1" s="865"/>
      <c r="CI1" s="865"/>
      <c r="CJ1" s="865"/>
      <c r="CK1" s="865"/>
      <c r="CL1" s="865"/>
      <c r="CM1" s="865"/>
      <c r="CN1" s="865"/>
      <c r="CO1" s="865"/>
      <c r="CP1" s="865"/>
      <c r="CQ1" s="865"/>
      <c r="CR1" s="865"/>
      <c r="CS1" s="865"/>
      <c r="CT1" s="865"/>
      <c r="CU1" s="865"/>
      <c r="CV1" s="865"/>
      <c r="CW1" s="865"/>
      <c r="CX1" s="865"/>
      <c r="CY1" s="865"/>
      <c r="CZ1" s="865"/>
      <c r="DA1" s="865"/>
      <c r="DB1" s="865"/>
      <c r="DC1" s="865"/>
      <c r="DD1" s="865"/>
      <c r="DE1" s="865"/>
      <c r="DF1" s="865"/>
      <c r="DG1" s="865"/>
      <c r="DH1" s="865"/>
      <c r="DI1" s="865"/>
      <c r="DJ1" s="865"/>
      <c r="DK1" s="865"/>
      <c r="DL1" s="865"/>
      <c r="DM1" s="865"/>
      <c r="DN1" s="865"/>
      <c r="DO1" s="865"/>
      <c r="DP1" s="865"/>
      <c r="DQ1" s="865"/>
      <c r="DR1" s="865"/>
      <c r="DS1" s="865"/>
      <c r="DT1" s="865"/>
      <c r="DU1" s="865"/>
      <c r="DV1" s="865"/>
      <c r="DW1" s="865"/>
      <c r="DX1" s="865"/>
      <c r="DY1" s="865"/>
      <c r="DZ1" s="865"/>
      <c r="EA1" s="865"/>
      <c r="EB1" s="865"/>
      <c r="EC1" s="865"/>
      <c r="ED1" s="865"/>
      <c r="EE1" s="865"/>
      <c r="EF1" s="865"/>
      <c r="EG1" s="865"/>
      <c r="EH1" s="865"/>
      <c r="EI1" s="865"/>
      <c r="EJ1" s="865"/>
      <c r="EK1" s="865"/>
      <c r="EL1" s="865"/>
      <c r="EM1" s="865"/>
      <c r="EN1" s="865"/>
      <c r="EO1" s="865"/>
      <c r="EP1" s="865"/>
      <c r="EQ1" s="865"/>
      <c r="ER1" s="865"/>
      <c r="ES1" s="865"/>
      <c r="ET1" s="865"/>
      <c r="EU1" s="865"/>
      <c r="EV1" s="865"/>
      <c r="EW1" s="865"/>
      <c r="EX1" s="865"/>
      <c r="EY1" s="865"/>
      <c r="EZ1" s="865"/>
      <c r="FA1" s="865"/>
      <c r="FB1" s="865"/>
      <c r="FC1" s="865"/>
      <c r="FD1" s="865"/>
      <c r="FE1" s="865"/>
      <c r="FF1" s="865"/>
      <c r="FG1" s="865"/>
      <c r="FH1" s="865"/>
      <c r="FI1" s="865"/>
      <c r="FJ1" s="865"/>
      <c r="FK1" s="865"/>
      <c r="FL1" s="865"/>
      <c r="FM1" s="865"/>
      <c r="FN1" s="865"/>
      <c r="FO1" s="865"/>
      <c r="FP1" s="865"/>
      <c r="FQ1" s="865"/>
      <c r="FR1" s="865"/>
      <c r="FS1" s="865"/>
      <c r="FT1" s="865"/>
      <c r="FU1" s="865"/>
      <c r="FV1" s="865"/>
      <c r="FW1" s="865"/>
      <c r="FX1" s="865"/>
      <c r="FY1" s="865"/>
      <c r="FZ1" s="865"/>
      <c r="GA1" s="865"/>
      <c r="GB1" s="865"/>
      <c r="GC1" s="865"/>
      <c r="GD1" s="865"/>
      <c r="GE1" s="865"/>
      <c r="GF1" s="865"/>
      <c r="GG1" s="865"/>
      <c r="GH1" s="865"/>
      <c r="GI1" s="865"/>
      <c r="GJ1" s="865"/>
      <c r="GK1" s="865"/>
      <c r="GL1" s="865"/>
      <c r="GM1" s="865"/>
      <c r="GN1" s="865"/>
      <c r="GO1" s="865"/>
      <c r="GP1" s="865"/>
      <c r="GQ1" s="865"/>
      <c r="GR1" s="865"/>
      <c r="GS1" s="865"/>
      <c r="GT1" s="865"/>
      <c r="GU1" s="865"/>
      <c r="GV1" s="865"/>
      <c r="GW1" s="865"/>
      <c r="GX1" s="865"/>
      <c r="GY1" s="865"/>
      <c r="GZ1" s="865"/>
      <c r="HA1" s="865"/>
      <c r="HB1" s="865"/>
      <c r="HC1" s="865"/>
      <c r="HD1" s="865"/>
      <c r="HE1" s="865"/>
      <c r="HF1" s="865"/>
      <c r="HG1" s="865"/>
      <c r="HH1" s="865"/>
      <c r="HI1" s="865"/>
      <c r="HJ1" s="865"/>
      <c r="HK1" s="865"/>
      <c r="HL1" s="865"/>
      <c r="HM1" s="865"/>
      <c r="HN1" s="865"/>
      <c r="HO1" s="865"/>
      <c r="HP1" s="865"/>
      <c r="HQ1" s="865"/>
      <c r="HR1" s="865"/>
      <c r="HS1" s="865"/>
      <c r="HT1" s="865"/>
      <c r="HU1" s="865"/>
      <c r="HV1" s="865"/>
      <c r="HW1" s="865"/>
      <c r="HX1" s="865"/>
      <c r="HY1" s="865"/>
      <c r="HZ1" s="865"/>
      <c r="IA1" s="865"/>
      <c r="IB1" s="865"/>
      <c r="IC1" s="865"/>
      <c r="ID1" s="865"/>
      <c r="IE1" s="865"/>
      <c r="IF1" s="865"/>
      <c r="IG1" s="865"/>
      <c r="IH1" s="865"/>
      <c r="II1" s="865"/>
      <c r="IJ1" s="865"/>
      <c r="IK1" s="865"/>
      <c r="IL1" s="865"/>
      <c r="IM1" s="865"/>
      <c r="IN1" s="865"/>
      <c r="IO1" s="865"/>
      <c r="IP1" s="865"/>
      <c r="IQ1" s="865"/>
      <c r="IR1" s="865"/>
      <c r="IS1" s="865"/>
      <c r="IT1" s="865"/>
      <c r="IU1" s="865"/>
      <c r="IV1" s="865"/>
      <c r="IW1" s="865"/>
      <c r="IX1" s="865"/>
      <c r="IY1" s="865"/>
      <c r="IZ1" s="865"/>
      <c r="JA1" s="865"/>
      <c r="JB1" s="865"/>
      <c r="JC1" s="865"/>
      <c r="JD1" s="865"/>
      <c r="JE1" s="865"/>
      <c r="JF1" s="865"/>
      <c r="JG1" s="865"/>
      <c r="JH1" s="865"/>
      <c r="JI1" s="865"/>
      <c r="JJ1" s="865"/>
      <c r="JK1" s="865"/>
      <c r="JL1" s="865"/>
      <c r="JM1" s="865"/>
      <c r="JN1" s="865"/>
      <c r="JO1" s="865"/>
      <c r="JP1" s="865"/>
      <c r="JQ1" s="865"/>
      <c r="JR1" s="865"/>
      <c r="JS1" s="865"/>
      <c r="JT1" s="865"/>
      <c r="JU1" s="865"/>
      <c r="JV1" s="865"/>
      <c r="JW1" s="865"/>
      <c r="JX1" s="865"/>
      <c r="JY1" s="865"/>
      <c r="JZ1" s="865"/>
      <c r="KA1" s="865"/>
      <c r="KB1" s="865"/>
      <c r="KC1" s="865"/>
      <c r="KD1" s="865"/>
      <c r="KE1" s="865"/>
      <c r="KF1" s="865"/>
      <c r="KG1" s="865"/>
      <c r="KH1" s="865"/>
      <c r="KI1" s="865"/>
      <c r="KJ1" s="865"/>
      <c r="KK1" s="865"/>
      <c r="KL1" s="865"/>
      <c r="KM1" s="865"/>
      <c r="KN1" s="865"/>
      <c r="KO1" s="865"/>
      <c r="KP1" s="865"/>
      <c r="KQ1" s="865"/>
      <c r="KR1" s="865"/>
      <c r="KS1" s="865"/>
      <c r="KT1" s="865"/>
      <c r="KU1" s="865"/>
      <c r="KV1" s="865"/>
      <c r="KW1" s="865"/>
      <c r="KX1" s="865"/>
      <c r="KY1" s="865"/>
      <c r="KZ1" s="865"/>
      <c r="LA1" s="865"/>
      <c r="LB1" s="865"/>
      <c r="LC1" s="865"/>
      <c r="LD1" s="865"/>
      <c r="LE1" s="865"/>
      <c r="LF1" s="865"/>
      <c r="LG1" s="865"/>
      <c r="LH1" s="865"/>
      <c r="LI1" s="865"/>
      <c r="LJ1" s="865"/>
      <c r="LK1" s="865"/>
      <c r="LL1" s="865"/>
      <c r="LM1" s="865"/>
      <c r="LN1" s="865"/>
      <c r="LO1" s="865"/>
      <c r="LP1" s="865"/>
      <c r="LQ1" s="865"/>
      <c r="LR1" s="865"/>
      <c r="LS1" s="865"/>
      <c r="LT1" s="865"/>
      <c r="LU1" s="865"/>
      <c r="LV1" s="865"/>
      <c r="LW1" s="865"/>
      <c r="LX1" s="865"/>
      <c r="LY1" s="865"/>
      <c r="LZ1" s="865"/>
      <c r="MA1" s="865"/>
      <c r="MB1" s="865"/>
      <c r="MC1" s="865"/>
      <c r="MD1" s="865"/>
      <c r="ME1" s="865"/>
      <c r="MF1" s="865"/>
      <c r="MG1" s="865"/>
      <c r="MH1" s="865"/>
      <c r="MI1" s="865"/>
      <c r="MJ1" s="865"/>
      <c r="MK1" s="865"/>
      <c r="ML1" s="865"/>
      <c r="MM1" s="865"/>
      <c r="MN1" s="865"/>
      <c r="MO1" s="865"/>
      <c r="MP1" s="865"/>
      <c r="MQ1" s="865"/>
      <c r="MR1" s="865"/>
      <c r="MS1" s="865"/>
      <c r="MT1" s="865"/>
      <c r="MU1" s="865"/>
      <c r="MV1" s="865"/>
      <c r="MW1" s="865"/>
      <c r="MX1" s="865"/>
      <c r="MY1" s="865"/>
      <c r="MZ1" s="865"/>
      <c r="NA1" s="865"/>
      <c r="NB1" s="865"/>
      <c r="NC1" s="865"/>
      <c r="ND1" s="865"/>
      <c r="NE1" s="865"/>
      <c r="NF1" s="865"/>
      <c r="NG1" s="865"/>
      <c r="NH1" s="865"/>
      <c r="NI1" s="865"/>
      <c r="NJ1" s="865"/>
      <c r="NK1" s="865"/>
      <c r="NL1" s="865"/>
      <c r="NM1" s="865"/>
      <c r="NN1" s="865"/>
      <c r="NO1" s="865"/>
      <c r="NP1" s="865"/>
      <c r="NQ1" s="865"/>
      <c r="NR1" s="865"/>
      <c r="NS1" s="865"/>
      <c r="NT1" s="865"/>
      <c r="NU1" s="865"/>
      <c r="NV1" s="865"/>
      <c r="NW1" s="865"/>
      <c r="NX1" s="865"/>
      <c r="NY1" s="865"/>
      <c r="NZ1" s="865"/>
      <c r="OA1" s="865"/>
      <c r="OB1" s="865"/>
      <c r="OC1" s="865"/>
      <c r="OD1" s="865"/>
      <c r="OE1" s="865"/>
      <c r="OF1" s="865"/>
      <c r="OG1" s="865"/>
      <c r="OH1" s="865"/>
      <c r="OI1" s="865"/>
      <c r="OJ1" s="865"/>
      <c r="OK1" s="865"/>
      <c r="OL1" s="865"/>
      <c r="OM1" s="865"/>
      <c r="ON1" s="865"/>
      <c r="OO1" s="865"/>
      <c r="OP1" s="865"/>
      <c r="OQ1" s="865"/>
      <c r="OR1" s="865"/>
      <c r="OS1" s="865"/>
      <c r="OT1" s="865"/>
      <c r="OU1" s="865"/>
      <c r="OV1" s="865"/>
      <c r="OW1" s="865"/>
      <c r="OX1" s="865"/>
      <c r="OY1" s="865"/>
      <c r="OZ1" s="865"/>
      <c r="PA1" s="865"/>
      <c r="PB1" s="865"/>
      <c r="PC1" s="865"/>
      <c r="PD1" s="865"/>
      <c r="PE1" s="865"/>
      <c r="PF1" s="865"/>
      <c r="PG1" s="865"/>
      <c r="PH1" s="865"/>
      <c r="PI1" s="865"/>
      <c r="PJ1" s="865"/>
      <c r="PK1" s="865"/>
      <c r="PL1" s="865"/>
      <c r="PM1" s="865"/>
      <c r="PN1" s="865"/>
      <c r="PO1" s="865"/>
      <c r="PP1" s="865"/>
      <c r="PQ1" s="865"/>
      <c r="PR1" s="865"/>
      <c r="PS1" s="865"/>
      <c r="PT1" s="865"/>
      <c r="PU1" s="865"/>
      <c r="PV1" s="865"/>
      <c r="PW1" s="865"/>
      <c r="PX1" s="865"/>
      <c r="PY1" s="865"/>
      <c r="PZ1" s="865"/>
      <c r="QA1" s="865"/>
      <c r="QB1" s="865"/>
      <c r="QC1" s="865"/>
      <c r="QD1" s="865"/>
      <c r="QE1" s="865"/>
      <c r="QF1" s="865"/>
      <c r="QG1" s="865"/>
      <c r="QH1" s="865"/>
      <c r="QI1" s="865"/>
      <c r="QJ1" s="865"/>
      <c r="QK1" s="865"/>
      <c r="QL1" s="865"/>
      <c r="QM1" s="865"/>
      <c r="QN1" s="865"/>
      <c r="QO1" s="865"/>
      <c r="QP1" s="865"/>
      <c r="QQ1" s="865"/>
      <c r="QR1" s="865"/>
      <c r="QS1" s="865"/>
      <c r="QT1" s="865"/>
      <c r="QU1" s="865"/>
      <c r="QV1" s="865"/>
      <c r="QW1" s="865"/>
      <c r="QX1" s="865"/>
      <c r="QY1" s="865"/>
      <c r="QZ1" s="865"/>
      <c r="RA1" s="865"/>
      <c r="RB1" s="865"/>
      <c r="RC1" s="865"/>
      <c r="RD1" s="865"/>
      <c r="RE1" s="865"/>
      <c r="RF1" s="865"/>
      <c r="RG1" s="865"/>
      <c r="RH1" s="865"/>
      <c r="RI1" s="865"/>
      <c r="RJ1" s="865"/>
      <c r="RK1" s="865"/>
      <c r="RL1" s="865"/>
      <c r="RM1" s="865"/>
      <c r="RN1" s="865"/>
      <c r="RO1" s="865"/>
      <c r="RP1" s="865"/>
      <c r="RQ1" s="865"/>
      <c r="RR1" s="865"/>
      <c r="RS1" s="865"/>
      <c r="RT1" s="865"/>
      <c r="RU1" s="865"/>
      <c r="RV1" s="865"/>
      <c r="RW1" s="865"/>
      <c r="RX1" s="865"/>
    </row>
    <row r="2" spans="1:492" s="5" customFormat="1" ht="32.15" customHeight="1">
      <c r="A2" s="415"/>
      <c r="B2" s="415"/>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1063" t="s">
        <v>103</v>
      </c>
      <c r="AN2" s="1063"/>
      <c r="AO2" s="1063"/>
      <c r="AP2" s="1063"/>
      <c r="AQ2" s="1063"/>
      <c r="AR2" s="1063"/>
      <c r="AS2" s="1063"/>
      <c r="AT2" s="1063"/>
      <c r="AU2" s="1063"/>
      <c r="AV2" s="1063"/>
      <c r="AW2" s="1063" t="s">
        <v>104</v>
      </c>
      <c r="AX2" s="1063"/>
      <c r="AY2" s="1063"/>
      <c r="AZ2" s="1063"/>
      <c r="BA2" s="1063"/>
      <c r="BB2" s="1063" t="s">
        <v>6</v>
      </c>
      <c r="BC2" s="1063"/>
      <c r="BD2" s="1063"/>
      <c r="BE2" s="1063"/>
      <c r="BF2" s="1063"/>
      <c r="BG2" s="1063" t="s">
        <v>7</v>
      </c>
      <c r="BH2" s="1063"/>
      <c r="BI2" s="1063"/>
      <c r="BJ2" s="1063"/>
      <c r="BK2" s="1063"/>
      <c r="BL2" s="1063" t="s">
        <v>8</v>
      </c>
      <c r="BM2" s="1063"/>
      <c r="BN2" s="1063"/>
      <c r="BO2" s="1063"/>
      <c r="BP2" s="1063"/>
      <c r="BQ2" s="1063" t="s">
        <v>9</v>
      </c>
      <c r="BR2" s="1063"/>
      <c r="BS2" s="1063"/>
      <c r="BT2" s="1063"/>
      <c r="BU2" s="1063"/>
    </row>
    <row r="3" spans="1:492" s="5" customFormat="1" ht="32.15" customHeight="1">
      <c r="A3" s="417"/>
      <c r="B3" s="417"/>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1046" t="s">
        <v>105</v>
      </c>
      <c r="AN3" s="1046"/>
      <c r="AO3" s="1046"/>
      <c r="AP3" s="1046"/>
      <c r="AQ3" s="1046"/>
      <c r="AR3" s="1046"/>
      <c r="AS3" s="1046"/>
      <c r="AT3" s="1046"/>
      <c r="AU3" s="1046"/>
      <c r="AV3" s="1046"/>
      <c r="AW3" s="1046" t="s">
        <v>106</v>
      </c>
      <c r="AX3" s="1046"/>
      <c r="AY3" s="1046"/>
      <c r="AZ3" s="1046"/>
      <c r="BA3" s="1046"/>
      <c r="BB3" s="1046" t="s">
        <v>14</v>
      </c>
      <c r="BC3" s="1046"/>
      <c r="BD3" s="1046"/>
      <c r="BE3" s="1046"/>
      <c r="BF3" s="1046"/>
      <c r="BG3" s="1046" t="s">
        <v>15</v>
      </c>
      <c r="BH3" s="1046"/>
      <c r="BI3" s="1046"/>
      <c r="BJ3" s="1046"/>
      <c r="BK3" s="1046"/>
      <c r="BL3" s="1046" t="s">
        <v>16</v>
      </c>
      <c r="BM3" s="1046"/>
      <c r="BN3" s="1046"/>
      <c r="BO3" s="1046"/>
      <c r="BP3" s="1046"/>
      <c r="BQ3" s="1046" t="s">
        <v>17</v>
      </c>
      <c r="BR3" s="1046"/>
      <c r="BS3" s="1046"/>
      <c r="BT3" s="1046"/>
      <c r="BU3" s="1046"/>
    </row>
    <row r="4" spans="1:492" s="5" customFormat="1" ht="16.5" customHeight="1">
      <c r="A4" s="545" t="s">
        <v>19</v>
      </c>
      <c r="B4" s="419" t="s">
        <v>19</v>
      </c>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555" t="s">
        <v>20</v>
      </c>
      <c r="AN4" s="421" t="s">
        <v>21</v>
      </c>
      <c r="AO4" s="422" t="s">
        <v>22</v>
      </c>
      <c r="AP4" s="421" t="s">
        <v>23</v>
      </c>
      <c r="AQ4" s="577" t="s">
        <v>107</v>
      </c>
      <c r="AR4" s="421"/>
      <c r="AS4" s="421"/>
      <c r="AT4" s="422"/>
      <c r="AU4" s="421"/>
      <c r="AV4" s="423"/>
      <c r="AW4" s="424" t="s">
        <v>20</v>
      </c>
      <c r="AX4" s="424" t="s">
        <v>21</v>
      </c>
      <c r="AY4" s="425" t="s">
        <v>22</v>
      </c>
      <c r="AZ4" s="424" t="s">
        <v>23</v>
      </c>
      <c r="BA4" s="421" t="s">
        <v>108</v>
      </c>
      <c r="BB4" s="424" t="s">
        <v>20</v>
      </c>
      <c r="BC4" s="424" t="s">
        <v>21</v>
      </c>
      <c r="BD4" s="425" t="s">
        <v>22</v>
      </c>
      <c r="BE4" s="424" t="s">
        <v>23</v>
      </c>
      <c r="BF4" s="421" t="s">
        <v>109</v>
      </c>
      <c r="BG4" s="424" t="s">
        <v>20</v>
      </c>
      <c r="BH4" s="424" t="s">
        <v>21</v>
      </c>
      <c r="BI4" s="425" t="s">
        <v>22</v>
      </c>
      <c r="BJ4" s="424" t="s">
        <v>23</v>
      </c>
      <c r="BK4" s="421" t="s">
        <v>110</v>
      </c>
      <c r="BL4" s="424" t="s">
        <v>20</v>
      </c>
      <c r="BM4" s="424" t="s">
        <v>21</v>
      </c>
      <c r="BN4" s="425" t="s">
        <v>22</v>
      </c>
      <c r="BO4" s="424" t="s">
        <v>23</v>
      </c>
      <c r="BP4" s="421" t="s">
        <v>29</v>
      </c>
      <c r="BQ4" s="424" t="s">
        <v>20</v>
      </c>
      <c r="BR4" s="424" t="s">
        <v>21</v>
      </c>
      <c r="BS4" s="425" t="s">
        <v>22</v>
      </c>
      <c r="BT4" s="424" t="s">
        <v>23</v>
      </c>
      <c r="BU4" s="421" t="s">
        <v>742</v>
      </c>
    </row>
    <row r="5" spans="1:492" s="65" customFormat="1" ht="20.25" customHeight="1" thickBot="1">
      <c r="A5" s="546" t="s">
        <v>111</v>
      </c>
      <c r="B5" s="571" t="s">
        <v>112</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556">
        <f>SUM(AM6:AM10)</f>
        <v>2345.9</v>
      </c>
      <c r="AN5" s="430">
        <f>SUM(AN6:AN10)</f>
        <v>2603.1999999999994</v>
      </c>
      <c r="AO5" s="430">
        <f>SUM(AO6:AO10)</f>
        <v>2735</v>
      </c>
      <c r="AP5" s="430">
        <f>SUM(AP6:AP10)</f>
        <v>3002.0000000000014</v>
      </c>
      <c r="AQ5" s="557">
        <f>SUM(AQ6:AQ10)</f>
        <v>10686.1</v>
      </c>
      <c r="AR5" s="430"/>
      <c r="AS5" s="430"/>
      <c r="AT5" s="430"/>
      <c r="AU5" s="430"/>
      <c r="AV5" s="431"/>
      <c r="AW5" s="430">
        <f t="shared" ref="AW5:AZ5" si="0">SUM(AW6:AW10)</f>
        <v>2791.6</v>
      </c>
      <c r="AX5" s="430">
        <f t="shared" si="0"/>
        <v>2923</v>
      </c>
      <c r="AY5" s="430">
        <f t="shared" si="0"/>
        <v>2892.4</v>
      </c>
      <c r="AZ5" s="430">
        <f t="shared" si="0"/>
        <v>3069.0999999999995</v>
      </c>
      <c r="BA5" s="552">
        <f>SUM(BA6:BA10)</f>
        <v>11676.099999999999</v>
      </c>
      <c r="BB5" s="556">
        <f t="shared" ref="BB5:BI5" si="1">SUM(BB6:BB10)</f>
        <v>2848.5</v>
      </c>
      <c r="BC5" s="430">
        <f t="shared" si="1"/>
        <v>2862.6999999999994</v>
      </c>
      <c r="BD5" s="430">
        <f t="shared" si="1"/>
        <v>3003.5000000000005</v>
      </c>
      <c r="BE5" s="430">
        <f t="shared" si="1"/>
        <v>3248.2000000000003</v>
      </c>
      <c r="BF5" s="557">
        <f>SUM(BF6:BF10)</f>
        <v>11962.9</v>
      </c>
      <c r="BG5" s="430">
        <f t="shared" si="1"/>
        <v>2987.3999999999996</v>
      </c>
      <c r="BH5" s="430">
        <f t="shared" si="1"/>
        <v>3159.7</v>
      </c>
      <c r="BI5" s="430">
        <f t="shared" si="1"/>
        <v>3031.9</v>
      </c>
      <c r="BJ5" s="430">
        <f>SUM(BJ6:BJ10)</f>
        <v>3265.0000000000005</v>
      </c>
      <c r="BK5" s="557">
        <f>SUM(BK6:BK10)</f>
        <v>12444.000000000002</v>
      </c>
      <c r="BL5" s="430">
        <f>SUM(BL6:BL10)</f>
        <v>2986.7000000000003</v>
      </c>
      <c r="BM5" s="430">
        <f>SUM(BM6:BM10)</f>
        <v>3228.1000000000004</v>
      </c>
      <c r="BN5" s="430">
        <f t="shared" ref="BN5" si="2">SUM(BN6:BN10)</f>
        <v>3270.9000000000005</v>
      </c>
      <c r="BO5" s="430">
        <f>SUM(BO6:BO10)</f>
        <v>3429.6</v>
      </c>
      <c r="BP5" s="557">
        <f>SUM(BP6:BP10)</f>
        <v>12915.3</v>
      </c>
      <c r="BQ5" s="430">
        <f>SUM(BQ6:BQ10)</f>
        <v>3199.3</v>
      </c>
      <c r="BR5" s="430">
        <f>SUM(BR6:BR10)</f>
        <v>3289.8</v>
      </c>
      <c r="BS5" s="430">
        <f t="shared" ref="BS5" si="3">SUM(BS6:BS10)</f>
        <v>3455.7</v>
      </c>
      <c r="BT5" s="430">
        <f>SUM(BT6:BT10)</f>
        <v>3681.5000000000005</v>
      </c>
      <c r="BU5" s="557">
        <f>SUM(BU6:BU10)</f>
        <v>13626.300000000001</v>
      </c>
      <c r="BV5" s="96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row>
    <row r="6" spans="1:492" s="537" customFormat="1" ht="20.149999999999999" customHeight="1">
      <c r="A6" s="547" t="s">
        <v>113</v>
      </c>
      <c r="B6" s="572" t="s">
        <v>114</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58">
        <v>2049.4</v>
      </c>
      <c r="AN6" s="528">
        <v>2247.4999999999995</v>
      </c>
      <c r="AO6" s="528">
        <v>2429.5</v>
      </c>
      <c r="AP6" s="528">
        <v>2504.3000000000011</v>
      </c>
      <c r="AQ6" s="559">
        <f>SUM(AM6:AP6)</f>
        <v>9230.7000000000007</v>
      </c>
      <c r="AR6" s="528"/>
      <c r="AS6" s="528"/>
      <c r="AT6" s="528"/>
      <c r="AU6" s="528"/>
      <c r="AV6" s="523"/>
      <c r="AW6" s="528">
        <v>2398.1999999999998</v>
      </c>
      <c r="AX6" s="528">
        <v>2468.8000000000002</v>
      </c>
      <c r="AY6" s="528">
        <v>2515.3000000000002</v>
      </c>
      <c r="AZ6" s="528">
        <v>2553.0999999999995</v>
      </c>
      <c r="BA6" s="534">
        <f>SUM(AW6:AZ6)</f>
        <v>9935.4</v>
      </c>
      <c r="BB6" s="558">
        <v>2453.4</v>
      </c>
      <c r="BC6" s="528">
        <v>2518.4999999999995</v>
      </c>
      <c r="BD6" s="528">
        <v>2590.3000000000002</v>
      </c>
      <c r="BE6" s="522">
        <v>2668.6</v>
      </c>
      <c r="BF6" s="559">
        <f>SUM(BB6:BE6)</f>
        <v>10230.799999999999</v>
      </c>
      <c r="BG6" s="528">
        <v>2551</v>
      </c>
      <c r="BH6" s="528">
        <v>2660.7</v>
      </c>
      <c r="BI6" s="528">
        <v>2592.3000000000002</v>
      </c>
      <c r="BJ6" s="522">
        <f>10454.7-SUM(BG6:BI6)</f>
        <v>2650.7000000000007</v>
      </c>
      <c r="BK6" s="559">
        <f>SUM(BG6:BJ6)</f>
        <v>10454.700000000001</v>
      </c>
      <c r="BL6" s="528">
        <v>2525.9</v>
      </c>
      <c r="BM6" s="522">
        <f>5196.8-BL6</f>
        <v>2670.9</v>
      </c>
      <c r="BN6" s="528">
        <f>7940.5-BM6-BL6</f>
        <v>2743.7000000000003</v>
      </c>
      <c r="BO6" s="522">
        <f>10681.6-BN6-BM6-BL6</f>
        <v>2741.1</v>
      </c>
      <c r="BP6" s="559">
        <f>SUM(BL6:BO6)</f>
        <v>10681.6</v>
      </c>
      <c r="BQ6" s="528">
        <v>2674.5</v>
      </c>
      <c r="BR6" s="522">
        <f>5374-BQ6</f>
        <v>2699.5</v>
      </c>
      <c r="BS6" s="528">
        <v>2644.6</v>
      </c>
      <c r="BT6" s="522">
        <v>2693.6000000000004</v>
      </c>
      <c r="BU6" s="559">
        <f>SUM(BQ6:BT6)</f>
        <v>10712.2</v>
      </c>
      <c r="BV6" s="528"/>
      <c r="BW6" s="961"/>
      <c r="BX6" s="536"/>
      <c r="BY6" s="536"/>
      <c r="BZ6" s="536"/>
      <c r="CA6" s="536"/>
      <c r="CB6" s="536"/>
      <c r="CC6" s="536"/>
      <c r="CD6" s="536"/>
      <c r="CE6" s="536"/>
      <c r="CF6" s="536"/>
      <c r="CG6" s="536"/>
      <c r="CH6" s="536"/>
      <c r="CI6" s="536"/>
      <c r="CJ6" s="536"/>
      <c r="CK6" s="536"/>
      <c r="CL6" s="536"/>
      <c r="CM6" s="536"/>
      <c r="CN6" s="536"/>
      <c r="CO6" s="536"/>
      <c r="CP6" s="536"/>
      <c r="CQ6" s="536"/>
      <c r="CR6" s="536"/>
      <c r="CS6" s="536"/>
      <c r="CT6" s="536"/>
      <c r="CU6" s="536"/>
      <c r="CV6" s="536"/>
      <c r="CW6" s="536"/>
      <c r="CX6" s="536"/>
      <c r="CY6" s="536"/>
      <c r="CZ6" s="536"/>
      <c r="DA6" s="536"/>
      <c r="DB6" s="536"/>
      <c r="DC6" s="536"/>
      <c r="DD6" s="536"/>
      <c r="DE6" s="536"/>
      <c r="DF6" s="536"/>
      <c r="DG6" s="536"/>
      <c r="DH6" s="536"/>
      <c r="DI6" s="536"/>
      <c r="DJ6" s="536"/>
      <c r="DK6" s="536"/>
      <c r="DL6" s="536"/>
      <c r="DM6" s="536"/>
      <c r="DN6" s="536"/>
      <c r="DO6" s="536"/>
      <c r="DP6" s="536"/>
      <c r="DQ6" s="536"/>
      <c r="DR6" s="536"/>
      <c r="DS6" s="536"/>
      <c r="DT6" s="536"/>
      <c r="DU6" s="536"/>
      <c r="DV6" s="536"/>
      <c r="DW6" s="536"/>
      <c r="DX6" s="536"/>
      <c r="DY6" s="536"/>
      <c r="DZ6" s="536"/>
      <c r="EA6" s="536"/>
      <c r="EB6" s="536"/>
      <c r="EC6" s="536"/>
      <c r="ED6" s="536"/>
      <c r="EE6" s="536"/>
      <c r="EF6" s="536"/>
      <c r="EG6" s="536"/>
      <c r="EH6" s="536"/>
      <c r="EI6" s="536"/>
      <c r="EJ6" s="536"/>
      <c r="EK6" s="536"/>
      <c r="EL6" s="536"/>
      <c r="EM6" s="536"/>
      <c r="EN6" s="536"/>
      <c r="EO6" s="536"/>
      <c r="EP6" s="536"/>
      <c r="EQ6" s="536"/>
      <c r="ER6" s="536"/>
      <c r="ES6" s="536"/>
      <c r="ET6" s="536"/>
      <c r="EU6" s="536"/>
      <c r="EV6" s="536"/>
      <c r="EW6" s="536"/>
      <c r="EX6" s="536"/>
      <c r="EY6" s="536"/>
      <c r="EZ6" s="536"/>
      <c r="FA6" s="536"/>
      <c r="FB6" s="536"/>
      <c r="FC6" s="536"/>
      <c r="FD6" s="536"/>
      <c r="FE6" s="536"/>
      <c r="FF6" s="536"/>
      <c r="FG6" s="536"/>
      <c r="FH6" s="536"/>
      <c r="FI6" s="536"/>
      <c r="FJ6" s="536"/>
      <c r="FK6" s="536"/>
      <c r="FL6" s="536"/>
      <c r="FM6" s="536"/>
      <c r="FN6" s="536"/>
      <c r="FO6" s="536"/>
      <c r="FP6" s="536"/>
      <c r="FQ6" s="536"/>
      <c r="FR6" s="536"/>
      <c r="FS6" s="536"/>
      <c r="FT6" s="536"/>
      <c r="FU6" s="536"/>
      <c r="FV6" s="536"/>
      <c r="FW6" s="536"/>
      <c r="FX6" s="536"/>
      <c r="FY6" s="536"/>
      <c r="FZ6" s="536"/>
      <c r="GA6" s="536"/>
      <c r="GB6" s="536"/>
      <c r="GC6" s="536"/>
      <c r="GD6" s="536"/>
      <c r="GE6" s="536"/>
      <c r="GF6" s="536"/>
      <c r="GG6" s="536"/>
      <c r="GH6" s="536"/>
      <c r="GI6" s="536"/>
      <c r="GJ6" s="536"/>
      <c r="GK6" s="536"/>
      <c r="GL6" s="536"/>
      <c r="GM6" s="536"/>
      <c r="GN6" s="536"/>
      <c r="GO6" s="536"/>
      <c r="GP6" s="536"/>
      <c r="GQ6" s="536"/>
      <c r="GR6" s="536"/>
      <c r="GS6" s="536"/>
      <c r="GT6" s="536"/>
      <c r="GU6" s="536"/>
      <c r="GV6" s="536"/>
      <c r="GW6" s="536"/>
      <c r="GX6" s="536"/>
      <c r="GY6" s="536"/>
      <c r="GZ6" s="536"/>
      <c r="HA6" s="536"/>
      <c r="HB6" s="536"/>
      <c r="HC6" s="536"/>
      <c r="HD6" s="536"/>
      <c r="HE6" s="536"/>
      <c r="HF6" s="536"/>
      <c r="HG6" s="536"/>
      <c r="HH6" s="536"/>
      <c r="HI6" s="536"/>
      <c r="HJ6" s="536"/>
      <c r="HK6" s="536"/>
      <c r="HL6" s="536"/>
      <c r="HM6" s="536"/>
      <c r="HN6" s="536"/>
      <c r="HO6" s="536"/>
      <c r="HP6" s="536"/>
      <c r="HQ6" s="536"/>
      <c r="HR6" s="536"/>
      <c r="HS6" s="536"/>
      <c r="HT6" s="536"/>
      <c r="HU6" s="536"/>
      <c r="HV6" s="536"/>
      <c r="HW6" s="536"/>
      <c r="HX6" s="536"/>
      <c r="HY6" s="536"/>
      <c r="HZ6" s="536"/>
      <c r="IA6" s="536"/>
      <c r="IB6" s="536"/>
      <c r="IC6" s="536"/>
      <c r="ID6" s="536"/>
      <c r="IE6" s="536"/>
      <c r="IF6" s="536"/>
      <c r="IG6" s="536"/>
      <c r="IH6" s="536"/>
      <c r="II6" s="536"/>
      <c r="IJ6" s="536"/>
      <c r="IK6" s="536"/>
      <c r="IL6" s="536"/>
      <c r="IM6" s="536"/>
      <c r="IN6" s="536"/>
      <c r="IO6" s="536"/>
      <c r="IP6" s="536"/>
      <c r="IQ6" s="536"/>
      <c r="IR6" s="536"/>
      <c r="IS6" s="536"/>
      <c r="IT6" s="536"/>
      <c r="IU6" s="536"/>
      <c r="IV6" s="536"/>
      <c r="IW6" s="536"/>
      <c r="IX6" s="536"/>
      <c r="IY6" s="536"/>
      <c r="IZ6" s="536"/>
      <c r="JA6" s="536"/>
      <c r="JB6" s="536"/>
      <c r="JC6" s="536"/>
      <c r="JD6" s="536"/>
      <c r="JE6" s="536"/>
      <c r="JF6" s="536"/>
      <c r="JG6" s="536"/>
      <c r="JH6" s="536"/>
      <c r="JI6" s="536"/>
      <c r="JJ6" s="536"/>
      <c r="JK6" s="536"/>
      <c r="JL6" s="536"/>
      <c r="JM6" s="536"/>
      <c r="JN6" s="536"/>
      <c r="JO6" s="536"/>
      <c r="JP6" s="536"/>
      <c r="JQ6" s="536"/>
      <c r="JR6" s="536"/>
      <c r="JS6" s="536"/>
      <c r="JT6" s="536"/>
      <c r="JU6" s="536"/>
      <c r="JV6" s="536"/>
      <c r="JW6" s="536"/>
      <c r="JX6" s="536"/>
      <c r="JY6" s="536"/>
      <c r="JZ6" s="536"/>
      <c r="KA6" s="536"/>
      <c r="KB6" s="536"/>
      <c r="KC6" s="536"/>
      <c r="KD6" s="536"/>
      <c r="KE6" s="536"/>
      <c r="KF6" s="536"/>
      <c r="KG6" s="536"/>
      <c r="KH6" s="536"/>
      <c r="KI6" s="536"/>
      <c r="KJ6" s="536"/>
      <c r="KK6" s="536"/>
      <c r="KL6" s="536"/>
      <c r="KM6" s="536"/>
      <c r="KN6" s="536"/>
      <c r="KO6" s="536"/>
      <c r="KP6" s="536"/>
      <c r="KQ6" s="536"/>
      <c r="KR6" s="536"/>
      <c r="KS6" s="536"/>
      <c r="KT6" s="536"/>
      <c r="KU6" s="536"/>
      <c r="KV6" s="536"/>
      <c r="KW6" s="536"/>
      <c r="KX6" s="536"/>
      <c r="KY6" s="536"/>
      <c r="KZ6" s="536"/>
      <c r="LA6" s="536"/>
      <c r="LB6" s="536"/>
      <c r="LC6" s="536"/>
      <c r="LD6" s="536"/>
      <c r="LE6" s="536"/>
      <c r="LF6" s="536"/>
      <c r="LG6" s="536"/>
      <c r="LH6" s="536"/>
      <c r="LI6" s="536"/>
      <c r="LJ6" s="536"/>
      <c r="LK6" s="536"/>
      <c r="LL6" s="536"/>
      <c r="LM6" s="536"/>
      <c r="LN6" s="536"/>
      <c r="LO6" s="536"/>
      <c r="LP6" s="536"/>
      <c r="LQ6" s="536"/>
      <c r="LR6" s="536"/>
      <c r="LS6" s="536"/>
      <c r="LT6" s="536"/>
      <c r="LU6" s="536"/>
      <c r="LV6" s="536"/>
      <c r="LW6" s="536"/>
      <c r="LX6" s="536"/>
      <c r="LY6" s="536"/>
      <c r="LZ6" s="536"/>
      <c r="MA6" s="536"/>
      <c r="MB6" s="536"/>
      <c r="MC6" s="536"/>
      <c r="MD6" s="536"/>
      <c r="ME6" s="536"/>
      <c r="MF6" s="536"/>
      <c r="MG6" s="536"/>
      <c r="MH6" s="536"/>
      <c r="MI6" s="536"/>
      <c r="MJ6" s="536"/>
      <c r="MK6" s="536"/>
      <c r="ML6" s="536"/>
      <c r="MM6" s="536"/>
      <c r="MN6" s="536"/>
      <c r="MO6" s="536"/>
      <c r="MP6" s="536"/>
      <c r="MQ6" s="536"/>
      <c r="MR6" s="536"/>
      <c r="MS6" s="536"/>
      <c r="MT6" s="536"/>
      <c r="MU6" s="536"/>
      <c r="MV6" s="536"/>
      <c r="MW6" s="536"/>
      <c r="MX6" s="536"/>
      <c r="MY6" s="536"/>
      <c r="MZ6" s="536"/>
      <c r="NA6" s="536"/>
      <c r="NB6" s="536"/>
      <c r="NC6" s="536"/>
      <c r="ND6" s="536"/>
      <c r="NE6" s="536"/>
      <c r="NF6" s="536"/>
      <c r="NG6" s="536"/>
      <c r="NH6" s="536"/>
      <c r="NI6" s="536"/>
      <c r="NJ6" s="536"/>
      <c r="NK6" s="536"/>
      <c r="NL6" s="536"/>
      <c r="NM6" s="536"/>
      <c r="NN6" s="536"/>
      <c r="NO6" s="536"/>
      <c r="NP6" s="536"/>
      <c r="NQ6" s="536"/>
      <c r="NR6" s="536"/>
      <c r="NS6" s="536"/>
      <c r="NT6" s="536"/>
      <c r="NU6" s="536"/>
      <c r="NV6" s="536"/>
      <c r="NW6" s="536"/>
      <c r="NX6" s="536"/>
      <c r="NY6" s="536"/>
      <c r="NZ6" s="536"/>
      <c r="OA6" s="536"/>
      <c r="OB6" s="536"/>
      <c r="OC6" s="536"/>
      <c r="OD6" s="536"/>
      <c r="OE6" s="536"/>
      <c r="OF6" s="536"/>
      <c r="OG6" s="536"/>
      <c r="OH6" s="536"/>
      <c r="OI6" s="536"/>
      <c r="OJ6" s="536"/>
      <c r="OK6" s="536"/>
      <c r="OL6" s="536"/>
      <c r="OM6" s="536"/>
      <c r="ON6" s="536"/>
      <c r="OO6" s="536"/>
      <c r="OP6" s="536"/>
      <c r="OQ6" s="536"/>
      <c r="OR6" s="536"/>
      <c r="OS6" s="536"/>
      <c r="OT6" s="536"/>
      <c r="OU6" s="536"/>
      <c r="OV6" s="536"/>
      <c r="OW6" s="536"/>
      <c r="OX6" s="536"/>
      <c r="OY6" s="536"/>
      <c r="OZ6" s="536"/>
      <c r="PA6" s="536"/>
      <c r="PB6" s="536"/>
      <c r="PC6" s="536"/>
      <c r="PD6" s="536"/>
      <c r="PE6" s="536"/>
      <c r="PF6" s="536"/>
      <c r="PG6" s="536"/>
      <c r="PH6" s="536"/>
      <c r="PI6" s="536"/>
      <c r="PJ6" s="536"/>
      <c r="PK6" s="536"/>
      <c r="PL6" s="536"/>
      <c r="PM6" s="536"/>
      <c r="PN6" s="536"/>
      <c r="PO6" s="536"/>
      <c r="PP6" s="536"/>
      <c r="PQ6" s="536"/>
      <c r="PR6" s="536"/>
      <c r="PS6" s="536"/>
      <c r="PT6" s="536"/>
      <c r="PU6" s="536"/>
      <c r="PV6" s="536"/>
      <c r="PW6" s="536"/>
      <c r="PX6" s="536"/>
      <c r="PY6" s="536"/>
      <c r="PZ6" s="536"/>
      <c r="QA6" s="536"/>
      <c r="QB6" s="536"/>
      <c r="QC6" s="536"/>
      <c r="QD6" s="536"/>
      <c r="QE6" s="536"/>
      <c r="QF6" s="536"/>
      <c r="QG6" s="536"/>
      <c r="QH6" s="536"/>
      <c r="QI6" s="536"/>
      <c r="QJ6" s="536"/>
      <c r="QK6" s="536"/>
      <c r="QL6" s="536"/>
      <c r="QM6" s="536"/>
      <c r="QN6" s="536"/>
      <c r="QO6" s="536"/>
      <c r="QP6" s="536"/>
      <c r="QQ6" s="536"/>
      <c r="QR6" s="536"/>
      <c r="QS6" s="536"/>
      <c r="QT6" s="536"/>
      <c r="QU6" s="536"/>
      <c r="QV6" s="536"/>
      <c r="QW6" s="536"/>
      <c r="QX6" s="536"/>
      <c r="QY6" s="536"/>
      <c r="QZ6" s="536"/>
      <c r="RA6" s="536"/>
      <c r="RB6" s="536"/>
      <c r="RC6" s="536"/>
      <c r="RD6" s="536"/>
      <c r="RE6" s="536"/>
      <c r="RF6" s="536"/>
      <c r="RG6" s="536"/>
      <c r="RH6" s="536"/>
      <c r="RI6" s="536"/>
      <c r="RJ6" s="536"/>
      <c r="RK6" s="536"/>
      <c r="RL6" s="536"/>
      <c r="RM6" s="536"/>
      <c r="RN6" s="536"/>
      <c r="RO6" s="536"/>
      <c r="RP6" s="536"/>
      <c r="RQ6" s="536"/>
      <c r="RR6" s="536"/>
      <c r="RS6" s="536"/>
      <c r="RT6" s="536"/>
      <c r="RU6" s="536"/>
      <c r="RV6" s="536"/>
      <c r="RW6" s="536"/>
      <c r="RX6" s="536"/>
    </row>
    <row r="7" spans="1:492" s="537" customFormat="1" ht="20.149999999999999" customHeight="1">
      <c r="A7" s="547" t="s">
        <v>115</v>
      </c>
      <c r="B7" s="572" t="s">
        <v>116</v>
      </c>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58">
        <v>349.6</v>
      </c>
      <c r="AN7" s="528">
        <v>412.69999999999993</v>
      </c>
      <c r="AO7" s="528">
        <v>375.20000000000005</v>
      </c>
      <c r="AP7" s="528">
        <v>558.40000000000009</v>
      </c>
      <c r="AQ7" s="559">
        <f t="shared" ref="AQ7:AQ10" si="4">SUM(AM7:AP7)</f>
        <v>1695.9</v>
      </c>
      <c r="AR7" s="528"/>
      <c r="AS7" s="528"/>
      <c r="AT7" s="528"/>
      <c r="AU7" s="528"/>
      <c r="AV7" s="523"/>
      <c r="AW7" s="528">
        <v>454.6</v>
      </c>
      <c r="AX7" s="528">
        <v>520.19999999999993</v>
      </c>
      <c r="AY7" s="528">
        <v>440.70000000000005</v>
      </c>
      <c r="AZ7" s="528">
        <v>582.40000000000009</v>
      </c>
      <c r="BA7" s="534">
        <f t="shared" ref="BA7:BA10" si="5">SUM(AW7:AZ7)</f>
        <v>1997.9</v>
      </c>
      <c r="BB7" s="558">
        <v>460.6</v>
      </c>
      <c r="BC7" s="528">
        <v>412.19999999999993</v>
      </c>
      <c r="BD7" s="528">
        <v>481.90000000000009</v>
      </c>
      <c r="BE7" s="522">
        <v>652.20000000000005</v>
      </c>
      <c r="BF7" s="559">
        <f t="shared" ref="BF7:BF10" si="6">SUM(BB7:BE7)</f>
        <v>2006.9</v>
      </c>
      <c r="BG7" s="528">
        <v>507.2</v>
      </c>
      <c r="BH7" s="528">
        <v>570</v>
      </c>
      <c r="BI7" s="528">
        <v>499.50000000000006</v>
      </c>
      <c r="BJ7" s="522">
        <f>2264.1-SUM(BG7:BI7)</f>
        <v>687.39999999999986</v>
      </c>
      <c r="BK7" s="559">
        <f t="shared" ref="BK7:BK10" si="7">SUM(BG7:BJ7)</f>
        <v>2264.1</v>
      </c>
      <c r="BL7" s="528">
        <v>533.5</v>
      </c>
      <c r="BM7" s="522">
        <f>1140-BL7</f>
        <v>606.5</v>
      </c>
      <c r="BN7" s="528">
        <f>1693.5-BM7-BL7</f>
        <v>553.5</v>
      </c>
      <c r="BO7" s="522">
        <f>2424.2-BN7-BM7-BL7</f>
        <v>730.69999999999982</v>
      </c>
      <c r="BP7" s="559">
        <f t="shared" ref="BP7:BP10" si="8">SUM(BL7:BO7)</f>
        <v>2424.1999999999998</v>
      </c>
      <c r="BQ7" s="528">
        <v>567.9</v>
      </c>
      <c r="BR7" s="522">
        <f>1206.7-BQ7</f>
        <v>638.80000000000007</v>
      </c>
      <c r="BS7" s="528">
        <v>559.69999999999993</v>
      </c>
      <c r="BT7" s="522">
        <v>703.59999999999991</v>
      </c>
      <c r="BU7" s="559">
        <f t="shared" ref="BU7:BU10" si="9">SUM(BQ7:BT7)</f>
        <v>2470</v>
      </c>
      <c r="BV7" s="528"/>
      <c r="BW7" s="980"/>
      <c r="BX7" s="536"/>
      <c r="BY7" s="536"/>
      <c r="BZ7" s="536"/>
      <c r="CA7" s="536"/>
      <c r="CB7" s="536"/>
      <c r="CC7" s="536"/>
      <c r="CD7" s="536"/>
      <c r="CE7" s="536"/>
      <c r="CF7" s="536"/>
      <c r="CG7" s="536"/>
      <c r="CH7" s="536"/>
      <c r="CI7" s="536"/>
      <c r="CJ7" s="536"/>
      <c r="CK7" s="536"/>
      <c r="CL7" s="536"/>
      <c r="CM7" s="536"/>
      <c r="CN7" s="536"/>
      <c r="CO7" s="536"/>
      <c r="CP7" s="536"/>
      <c r="CQ7" s="536"/>
      <c r="CR7" s="536"/>
      <c r="CS7" s="536"/>
      <c r="CT7" s="536"/>
      <c r="CU7" s="536"/>
      <c r="CV7" s="536"/>
      <c r="CW7" s="536"/>
      <c r="CX7" s="536"/>
      <c r="CY7" s="536"/>
      <c r="CZ7" s="536"/>
      <c r="DA7" s="536"/>
      <c r="DB7" s="536"/>
      <c r="DC7" s="536"/>
      <c r="DD7" s="536"/>
      <c r="DE7" s="536"/>
      <c r="DF7" s="536"/>
      <c r="DG7" s="536"/>
      <c r="DH7" s="536"/>
      <c r="DI7" s="536"/>
      <c r="DJ7" s="536"/>
      <c r="DK7" s="536"/>
      <c r="DL7" s="536"/>
      <c r="DM7" s="536"/>
      <c r="DN7" s="536"/>
      <c r="DO7" s="536"/>
      <c r="DP7" s="536"/>
      <c r="DQ7" s="536"/>
      <c r="DR7" s="536"/>
      <c r="DS7" s="536"/>
      <c r="DT7" s="536"/>
      <c r="DU7" s="536"/>
      <c r="DV7" s="536"/>
      <c r="DW7" s="536"/>
      <c r="DX7" s="536"/>
      <c r="DY7" s="536"/>
      <c r="DZ7" s="536"/>
      <c r="EA7" s="536"/>
      <c r="EB7" s="536"/>
      <c r="EC7" s="536"/>
      <c r="ED7" s="536"/>
      <c r="EE7" s="536"/>
      <c r="EF7" s="536"/>
      <c r="EG7" s="536"/>
      <c r="EH7" s="536"/>
      <c r="EI7" s="536"/>
      <c r="EJ7" s="536"/>
      <c r="EK7" s="536"/>
      <c r="EL7" s="536"/>
      <c r="EM7" s="536"/>
      <c r="EN7" s="536"/>
      <c r="EO7" s="536"/>
      <c r="EP7" s="536"/>
      <c r="EQ7" s="536"/>
      <c r="ER7" s="536"/>
      <c r="ES7" s="536"/>
      <c r="ET7" s="536"/>
      <c r="EU7" s="536"/>
      <c r="EV7" s="536"/>
      <c r="EW7" s="536"/>
      <c r="EX7" s="536"/>
      <c r="EY7" s="536"/>
      <c r="EZ7" s="536"/>
      <c r="FA7" s="536"/>
      <c r="FB7" s="536"/>
      <c r="FC7" s="536"/>
      <c r="FD7" s="536"/>
      <c r="FE7" s="536"/>
      <c r="FF7" s="536"/>
      <c r="FG7" s="536"/>
      <c r="FH7" s="536"/>
      <c r="FI7" s="536"/>
      <c r="FJ7" s="536"/>
      <c r="FK7" s="536"/>
      <c r="FL7" s="536"/>
      <c r="FM7" s="536"/>
      <c r="FN7" s="536"/>
      <c r="FO7" s="536"/>
      <c r="FP7" s="536"/>
      <c r="FQ7" s="536"/>
      <c r="FR7" s="536"/>
      <c r="FS7" s="536"/>
      <c r="FT7" s="536"/>
      <c r="FU7" s="536"/>
      <c r="FV7" s="536"/>
      <c r="FW7" s="536"/>
      <c r="FX7" s="536"/>
      <c r="FY7" s="536"/>
      <c r="FZ7" s="536"/>
      <c r="GA7" s="536"/>
      <c r="GB7" s="536"/>
      <c r="GC7" s="536"/>
      <c r="GD7" s="536"/>
      <c r="GE7" s="536"/>
      <c r="GF7" s="536"/>
      <c r="GG7" s="536"/>
      <c r="GH7" s="536"/>
      <c r="GI7" s="536"/>
      <c r="GJ7" s="536"/>
      <c r="GK7" s="536"/>
      <c r="GL7" s="536"/>
      <c r="GM7" s="536"/>
      <c r="GN7" s="536"/>
      <c r="GO7" s="536"/>
      <c r="GP7" s="536"/>
      <c r="GQ7" s="536"/>
      <c r="GR7" s="536"/>
      <c r="GS7" s="536"/>
      <c r="GT7" s="536"/>
      <c r="GU7" s="536"/>
      <c r="GV7" s="536"/>
      <c r="GW7" s="536"/>
      <c r="GX7" s="536"/>
      <c r="GY7" s="536"/>
      <c r="GZ7" s="536"/>
      <c r="HA7" s="536"/>
      <c r="HB7" s="536"/>
      <c r="HC7" s="536"/>
      <c r="HD7" s="536"/>
      <c r="HE7" s="536"/>
      <c r="HF7" s="536"/>
      <c r="HG7" s="536"/>
      <c r="HH7" s="536"/>
      <c r="HI7" s="536"/>
      <c r="HJ7" s="536"/>
      <c r="HK7" s="536"/>
      <c r="HL7" s="536"/>
      <c r="HM7" s="536"/>
      <c r="HN7" s="536"/>
      <c r="HO7" s="536"/>
      <c r="HP7" s="536"/>
      <c r="HQ7" s="536"/>
      <c r="HR7" s="536"/>
      <c r="HS7" s="536"/>
      <c r="HT7" s="536"/>
      <c r="HU7" s="536"/>
      <c r="HV7" s="536"/>
      <c r="HW7" s="536"/>
      <c r="HX7" s="536"/>
      <c r="HY7" s="536"/>
      <c r="HZ7" s="536"/>
      <c r="IA7" s="536"/>
      <c r="IB7" s="536"/>
      <c r="IC7" s="536"/>
      <c r="ID7" s="536"/>
      <c r="IE7" s="536"/>
      <c r="IF7" s="536"/>
      <c r="IG7" s="536"/>
      <c r="IH7" s="536"/>
      <c r="II7" s="536"/>
      <c r="IJ7" s="536"/>
      <c r="IK7" s="536"/>
      <c r="IL7" s="536"/>
      <c r="IM7" s="536"/>
      <c r="IN7" s="536"/>
      <c r="IO7" s="536"/>
      <c r="IP7" s="536"/>
      <c r="IQ7" s="536"/>
      <c r="IR7" s="536"/>
      <c r="IS7" s="536"/>
      <c r="IT7" s="536"/>
      <c r="IU7" s="536"/>
      <c r="IV7" s="536"/>
      <c r="IW7" s="536"/>
      <c r="IX7" s="536"/>
      <c r="IY7" s="536"/>
      <c r="IZ7" s="536"/>
      <c r="JA7" s="536"/>
      <c r="JB7" s="536"/>
      <c r="JC7" s="536"/>
      <c r="JD7" s="536"/>
      <c r="JE7" s="536"/>
      <c r="JF7" s="536"/>
      <c r="JG7" s="536"/>
      <c r="JH7" s="536"/>
      <c r="JI7" s="536"/>
      <c r="JJ7" s="536"/>
      <c r="JK7" s="536"/>
      <c r="JL7" s="536"/>
      <c r="JM7" s="536"/>
      <c r="JN7" s="536"/>
      <c r="JO7" s="536"/>
      <c r="JP7" s="536"/>
      <c r="JQ7" s="536"/>
      <c r="JR7" s="536"/>
      <c r="JS7" s="536"/>
      <c r="JT7" s="536"/>
      <c r="JU7" s="536"/>
      <c r="JV7" s="536"/>
      <c r="JW7" s="536"/>
      <c r="JX7" s="536"/>
      <c r="JY7" s="536"/>
      <c r="JZ7" s="536"/>
      <c r="KA7" s="536"/>
      <c r="KB7" s="536"/>
      <c r="KC7" s="536"/>
      <c r="KD7" s="536"/>
      <c r="KE7" s="536"/>
      <c r="KF7" s="536"/>
      <c r="KG7" s="536"/>
      <c r="KH7" s="536"/>
      <c r="KI7" s="536"/>
      <c r="KJ7" s="536"/>
      <c r="KK7" s="536"/>
      <c r="KL7" s="536"/>
      <c r="KM7" s="536"/>
      <c r="KN7" s="536"/>
      <c r="KO7" s="536"/>
      <c r="KP7" s="536"/>
      <c r="KQ7" s="536"/>
      <c r="KR7" s="536"/>
      <c r="KS7" s="536"/>
      <c r="KT7" s="536"/>
      <c r="KU7" s="536"/>
      <c r="KV7" s="536"/>
      <c r="KW7" s="536"/>
      <c r="KX7" s="536"/>
      <c r="KY7" s="536"/>
      <c r="KZ7" s="536"/>
      <c r="LA7" s="536"/>
      <c r="LB7" s="536"/>
      <c r="LC7" s="536"/>
      <c r="LD7" s="536"/>
      <c r="LE7" s="536"/>
      <c r="LF7" s="536"/>
      <c r="LG7" s="536"/>
      <c r="LH7" s="536"/>
      <c r="LI7" s="536"/>
      <c r="LJ7" s="536"/>
      <c r="LK7" s="536"/>
      <c r="LL7" s="536"/>
      <c r="LM7" s="536"/>
      <c r="LN7" s="536"/>
      <c r="LO7" s="536"/>
      <c r="LP7" s="536"/>
      <c r="LQ7" s="536"/>
      <c r="LR7" s="536"/>
      <c r="LS7" s="536"/>
      <c r="LT7" s="536"/>
      <c r="LU7" s="536"/>
      <c r="LV7" s="536"/>
      <c r="LW7" s="536"/>
      <c r="LX7" s="536"/>
      <c r="LY7" s="536"/>
      <c r="LZ7" s="536"/>
      <c r="MA7" s="536"/>
      <c r="MB7" s="536"/>
      <c r="MC7" s="536"/>
      <c r="MD7" s="536"/>
      <c r="ME7" s="536"/>
      <c r="MF7" s="536"/>
      <c r="MG7" s="536"/>
      <c r="MH7" s="536"/>
      <c r="MI7" s="536"/>
      <c r="MJ7" s="536"/>
      <c r="MK7" s="536"/>
      <c r="ML7" s="536"/>
      <c r="MM7" s="536"/>
      <c r="MN7" s="536"/>
      <c r="MO7" s="536"/>
      <c r="MP7" s="536"/>
      <c r="MQ7" s="536"/>
      <c r="MR7" s="536"/>
      <c r="MS7" s="536"/>
      <c r="MT7" s="536"/>
      <c r="MU7" s="536"/>
      <c r="MV7" s="536"/>
      <c r="MW7" s="536"/>
      <c r="MX7" s="536"/>
      <c r="MY7" s="536"/>
      <c r="MZ7" s="536"/>
      <c r="NA7" s="536"/>
      <c r="NB7" s="536"/>
      <c r="NC7" s="536"/>
      <c r="ND7" s="536"/>
      <c r="NE7" s="536"/>
      <c r="NF7" s="536"/>
      <c r="NG7" s="536"/>
      <c r="NH7" s="536"/>
      <c r="NI7" s="536"/>
      <c r="NJ7" s="536"/>
      <c r="NK7" s="536"/>
      <c r="NL7" s="536"/>
      <c r="NM7" s="536"/>
      <c r="NN7" s="536"/>
      <c r="NO7" s="536"/>
      <c r="NP7" s="536"/>
      <c r="NQ7" s="536"/>
      <c r="NR7" s="536"/>
      <c r="NS7" s="536"/>
      <c r="NT7" s="536"/>
      <c r="NU7" s="536"/>
      <c r="NV7" s="536"/>
      <c r="NW7" s="536"/>
      <c r="NX7" s="536"/>
      <c r="NY7" s="536"/>
      <c r="NZ7" s="536"/>
      <c r="OA7" s="536"/>
      <c r="OB7" s="536"/>
      <c r="OC7" s="536"/>
      <c r="OD7" s="536"/>
      <c r="OE7" s="536"/>
      <c r="OF7" s="536"/>
      <c r="OG7" s="536"/>
      <c r="OH7" s="536"/>
      <c r="OI7" s="536"/>
      <c r="OJ7" s="536"/>
      <c r="OK7" s="536"/>
      <c r="OL7" s="536"/>
      <c r="OM7" s="536"/>
      <c r="ON7" s="536"/>
      <c r="OO7" s="536"/>
      <c r="OP7" s="536"/>
      <c r="OQ7" s="536"/>
      <c r="OR7" s="536"/>
      <c r="OS7" s="536"/>
      <c r="OT7" s="536"/>
      <c r="OU7" s="536"/>
      <c r="OV7" s="536"/>
      <c r="OW7" s="536"/>
      <c r="OX7" s="536"/>
      <c r="OY7" s="536"/>
      <c r="OZ7" s="536"/>
      <c r="PA7" s="536"/>
      <c r="PB7" s="536"/>
      <c r="PC7" s="536"/>
      <c r="PD7" s="536"/>
      <c r="PE7" s="536"/>
      <c r="PF7" s="536"/>
      <c r="PG7" s="536"/>
      <c r="PH7" s="536"/>
      <c r="PI7" s="536"/>
      <c r="PJ7" s="536"/>
      <c r="PK7" s="536"/>
      <c r="PL7" s="536"/>
      <c r="PM7" s="536"/>
      <c r="PN7" s="536"/>
      <c r="PO7" s="536"/>
      <c r="PP7" s="536"/>
      <c r="PQ7" s="536"/>
      <c r="PR7" s="536"/>
      <c r="PS7" s="536"/>
      <c r="PT7" s="536"/>
      <c r="PU7" s="536"/>
      <c r="PV7" s="536"/>
      <c r="PW7" s="536"/>
      <c r="PX7" s="536"/>
      <c r="PY7" s="536"/>
      <c r="PZ7" s="536"/>
      <c r="QA7" s="536"/>
      <c r="QB7" s="536"/>
      <c r="QC7" s="536"/>
      <c r="QD7" s="536"/>
      <c r="QE7" s="536"/>
      <c r="QF7" s="536"/>
      <c r="QG7" s="536"/>
      <c r="QH7" s="536"/>
      <c r="QI7" s="536"/>
      <c r="QJ7" s="536"/>
      <c r="QK7" s="536"/>
      <c r="QL7" s="536"/>
      <c r="QM7" s="536"/>
      <c r="QN7" s="536"/>
      <c r="QO7" s="536"/>
      <c r="QP7" s="536"/>
      <c r="QQ7" s="536"/>
      <c r="QR7" s="536"/>
      <c r="QS7" s="536"/>
      <c r="QT7" s="536"/>
      <c r="QU7" s="536"/>
      <c r="QV7" s="536"/>
      <c r="QW7" s="536"/>
      <c r="QX7" s="536"/>
      <c r="QY7" s="536"/>
      <c r="QZ7" s="536"/>
      <c r="RA7" s="536"/>
      <c r="RB7" s="536"/>
      <c r="RC7" s="536"/>
      <c r="RD7" s="536"/>
      <c r="RE7" s="536"/>
      <c r="RF7" s="536"/>
      <c r="RG7" s="536"/>
      <c r="RH7" s="536"/>
      <c r="RI7" s="536"/>
      <c r="RJ7" s="536"/>
      <c r="RK7" s="536"/>
      <c r="RL7" s="536"/>
      <c r="RM7" s="536"/>
      <c r="RN7" s="536"/>
      <c r="RO7" s="536"/>
      <c r="RP7" s="536"/>
      <c r="RQ7" s="536"/>
      <c r="RR7" s="536"/>
      <c r="RS7" s="536"/>
      <c r="RT7" s="536"/>
      <c r="RU7" s="536"/>
      <c r="RV7" s="536"/>
      <c r="RW7" s="536"/>
      <c r="RX7" s="536"/>
    </row>
    <row r="8" spans="1:492" s="537" customFormat="1" ht="20.149999999999999" customHeight="1">
      <c r="A8" s="547" t="s">
        <v>117</v>
      </c>
      <c r="B8" s="572" t="s">
        <v>118</v>
      </c>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58"/>
      <c r="AN8" s="528"/>
      <c r="AO8" s="528"/>
      <c r="AP8" s="528"/>
      <c r="AQ8" s="559"/>
      <c r="AR8" s="528"/>
      <c r="AS8" s="528"/>
      <c r="AT8" s="528"/>
      <c r="AU8" s="528"/>
      <c r="AV8" s="523"/>
      <c r="AW8" s="528"/>
      <c r="AX8" s="528"/>
      <c r="AY8" s="528"/>
      <c r="AZ8" s="528"/>
      <c r="BA8" s="534"/>
      <c r="BB8" s="558"/>
      <c r="BC8" s="528"/>
      <c r="BD8" s="528"/>
      <c r="BE8" s="522"/>
      <c r="BF8" s="559"/>
      <c r="BG8" s="528"/>
      <c r="BH8" s="528"/>
      <c r="BI8" s="528"/>
      <c r="BJ8" s="522"/>
      <c r="BK8" s="559"/>
      <c r="BL8" s="528"/>
      <c r="BM8" s="522">
        <v>44.3</v>
      </c>
      <c r="BN8" s="528">
        <f>118.1-BM8-BL8</f>
        <v>73.8</v>
      </c>
      <c r="BO8" s="522">
        <f>183.4-BN8-BM8</f>
        <v>65.300000000000011</v>
      </c>
      <c r="BP8" s="559">
        <f t="shared" si="8"/>
        <v>183.4</v>
      </c>
      <c r="BQ8" s="528">
        <v>44.8</v>
      </c>
      <c r="BR8" s="522">
        <f>83.8-BQ8</f>
        <v>39</v>
      </c>
      <c r="BS8" s="528">
        <v>40.1</v>
      </c>
      <c r="BT8" s="522">
        <v>58.299999999999983</v>
      </c>
      <c r="BU8" s="559">
        <f t="shared" si="9"/>
        <v>182.2</v>
      </c>
      <c r="BV8" s="528"/>
      <c r="BW8" s="980"/>
      <c r="BX8" s="536"/>
      <c r="BY8" s="536"/>
      <c r="BZ8" s="536"/>
      <c r="CA8" s="536"/>
      <c r="CB8" s="536"/>
      <c r="CC8" s="536"/>
      <c r="CD8" s="536"/>
      <c r="CE8" s="536"/>
      <c r="CF8" s="536"/>
      <c r="CG8" s="536"/>
      <c r="CH8" s="536"/>
      <c r="CI8" s="536"/>
      <c r="CJ8" s="536"/>
      <c r="CK8" s="536"/>
      <c r="CL8" s="536"/>
      <c r="CM8" s="536"/>
      <c r="CN8" s="536"/>
      <c r="CO8" s="536"/>
      <c r="CP8" s="536"/>
      <c r="CQ8" s="536"/>
      <c r="CR8" s="536"/>
      <c r="CS8" s="536"/>
      <c r="CT8" s="536"/>
      <c r="CU8" s="536"/>
      <c r="CV8" s="536"/>
      <c r="CW8" s="536"/>
      <c r="CX8" s="536"/>
      <c r="CY8" s="536"/>
      <c r="CZ8" s="536"/>
      <c r="DA8" s="536"/>
      <c r="DB8" s="536"/>
      <c r="DC8" s="536"/>
      <c r="DD8" s="536"/>
      <c r="DE8" s="536"/>
      <c r="DF8" s="536"/>
      <c r="DG8" s="536"/>
      <c r="DH8" s="536"/>
      <c r="DI8" s="536"/>
      <c r="DJ8" s="536"/>
      <c r="DK8" s="536"/>
      <c r="DL8" s="536"/>
      <c r="DM8" s="536"/>
      <c r="DN8" s="536"/>
      <c r="DO8" s="536"/>
      <c r="DP8" s="536"/>
      <c r="DQ8" s="536"/>
      <c r="DR8" s="536"/>
      <c r="DS8" s="536"/>
      <c r="DT8" s="536"/>
      <c r="DU8" s="536"/>
      <c r="DV8" s="536"/>
      <c r="DW8" s="536"/>
      <c r="DX8" s="536"/>
      <c r="DY8" s="536"/>
      <c r="DZ8" s="536"/>
      <c r="EA8" s="536"/>
      <c r="EB8" s="536"/>
      <c r="EC8" s="536"/>
      <c r="ED8" s="536"/>
      <c r="EE8" s="536"/>
      <c r="EF8" s="536"/>
      <c r="EG8" s="536"/>
      <c r="EH8" s="536"/>
      <c r="EI8" s="536"/>
      <c r="EJ8" s="536"/>
      <c r="EK8" s="536"/>
      <c r="EL8" s="536"/>
      <c r="EM8" s="536"/>
      <c r="EN8" s="536"/>
      <c r="EO8" s="536"/>
      <c r="EP8" s="536"/>
      <c r="EQ8" s="536"/>
      <c r="ER8" s="536"/>
      <c r="ES8" s="536"/>
      <c r="ET8" s="536"/>
      <c r="EU8" s="536"/>
      <c r="EV8" s="536"/>
      <c r="EW8" s="536"/>
      <c r="EX8" s="536"/>
      <c r="EY8" s="536"/>
      <c r="EZ8" s="536"/>
      <c r="FA8" s="536"/>
      <c r="FB8" s="536"/>
      <c r="FC8" s="536"/>
      <c r="FD8" s="536"/>
      <c r="FE8" s="536"/>
      <c r="FF8" s="536"/>
      <c r="FG8" s="536"/>
      <c r="FH8" s="536"/>
      <c r="FI8" s="536"/>
      <c r="FJ8" s="536"/>
      <c r="FK8" s="536"/>
      <c r="FL8" s="536"/>
      <c r="FM8" s="536"/>
      <c r="FN8" s="536"/>
      <c r="FO8" s="536"/>
      <c r="FP8" s="536"/>
      <c r="FQ8" s="536"/>
      <c r="FR8" s="536"/>
      <c r="FS8" s="536"/>
      <c r="FT8" s="536"/>
      <c r="FU8" s="536"/>
      <c r="FV8" s="536"/>
      <c r="FW8" s="536"/>
      <c r="FX8" s="536"/>
      <c r="FY8" s="536"/>
      <c r="FZ8" s="536"/>
      <c r="GA8" s="536"/>
      <c r="GB8" s="536"/>
      <c r="GC8" s="536"/>
      <c r="GD8" s="536"/>
      <c r="GE8" s="536"/>
      <c r="GF8" s="536"/>
      <c r="GG8" s="536"/>
      <c r="GH8" s="536"/>
      <c r="GI8" s="536"/>
      <c r="GJ8" s="536"/>
      <c r="GK8" s="536"/>
      <c r="GL8" s="536"/>
      <c r="GM8" s="536"/>
      <c r="GN8" s="536"/>
      <c r="GO8" s="536"/>
      <c r="GP8" s="536"/>
      <c r="GQ8" s="536"/>
      <c r="GR8" s="536"/>
      <c r="GS8" s="536"/>
      <c r="GT8" s="536"/>
      <c r="GU8" s="536"/>
      <c r="GV8" s="536"/>
      <c r="GW8" s="536"/>
      <c r="GX8" s="536"/>
      <c r="GY8" s="536"/>
      <c r="GZ8" s="536"/>
      <c r="HA8" s="536"/>
      <c r="HB8" s="536"/>
      <c r="HC8" s="536"/>
      <c r="HD8" s="536"/>
      <c r="HE8" s="536"/>
      <c r="HF8" s="536"/>
      <c r="HG8" s="536"/>
      <c r="HH8" s="536"/>
      <c r="HI8" s="536"/>
      <c r="HJ8" s="536"/>
      <c r="HK8" s="536"/>
      <c r="HL8" s="536"/>
      <c r="HM8" s="536"/>
      <c r="HN8" s="536"/>
      <c r="HO8" s="536"/>
      <c r="HP8" s="536"/>
      <c r="HQ8" s="536"/>
      <c r="HR8" s="536"/>
      <c r="HS8" s="536"/>
      <c r="HT8" s="536"/>
      <c r="HU8" s="536"/>
      <c r="HV8" s="536"/>
      <c r="HW8" s="536"/>
      <c r="HX8" s="536"/>
      <c r="HY8" s="536"/>
      <c r="HZ8" s="536"/>
      <c r="IA8" s="536"/>
      <c r="IB8" s="536"/>
      <c r="IC8" s="536"/>
      <c r="ID8" s="536"/>
      <c r="IE8" s="536"/>
      <c r="IF8" s="536"/>
      <c r="IG8" s="536"/>
      <c r="IH8" s="536"/>
      <c r="II8" s="536"/>
      <c r="IJ8" s="536"/>
      <c r="IK8" s="536"/>
      <c r="IL8" s="536"/>
      <c r="IM8" s="536"/>
      <c r="IN8" s="536"/>
      <c r="IO8" s="536"/>
      <c r="IP8" s="536"/>
      <c r="IQ8" s="536"/>
      <c r="IR8" s="536"/>
      <c r="IS8" s="536"/>
      <c r="IT8" s="536"/>
      <c r="IU8" s="536"/>
      <c r="IV8" s="536"/>
      <c r="IW8" s="536"/>
      <c r="IX8" s="536"/>
      <c r="IY8" s="536"/>
      <c r="IZ8" s="536"/>
      <c r="JA8" s="536"/>
      <c r="JB8" s="536"/>
      <c r="JC8" s="536"/>
      <c r="JD8" s="536"/>
      <c r="JE8" s="536"/>
      <c r="JF8" s="536"/>
      <c r="JG8" s="536"/>
      <c r="JH8" s="536"/>
      <c r="JI8" s="536"/>
      <c r="JJ8" s="536"/>
      <c r="JK8" s="536"/>
      <c r="JL8" s="536"/>
      <c r="JM8" s="536"/>
      <c r="JN8" s="536"/>
      <c r="JO8" s="536"/>
      <c r="JP8" s="536"/>
      <c r="JQ8" s="536"/>
      <c r="JR8" s="536"/>
      <c r="JS8" s="536"/>
      <c r="JT8" s="536"/>
      <c r="JU8" s="536"/>
      <c r="JV8" s="536"/>
      <c r="JW8" s="536"/>
      <c r="JX8" s="536"/>
      <c r="JY8" s="536"/>
      <c r="JZ8" s="536"/>
      <c r="KA8" s="536"/>
      <c r="KB8" s="536"/>
      <c r="KC8" s="536"/>
      <c r="KD8" s="536"/>
      <c r="KE8" s="536"/>
      <c r="KF8" s="536"/>
      <c r="KG8" s="536"/>
      <c r="KH8" s="536"/>
      <c r="KI8" s="536"/>
      <c r="KJ8" s="536"/>
      <c r="KK8" s="536"/>
      <c r="KL8" s="536"/>
      <c r="KM8" s="536"/>
      <c r="KN8" s="536"/>
      <c r="KO8" s="536"/>
      <c r="KP8" s="536"/>
      <c r="KQ8" s="536"/>
      <c r="KR8" s="536"/>
      <c r="KS8" s="536"/>
      <c r="KT8" s="536"/>
      <c r="KU8" s="536"/>
      <c r="KV8" s="536"/>
      <c r="KW8" s="536"/>
      <c r="KX8" s="536"/>
      <c r="KY8" s="536"/>
      <c r="KZ8" s="536"/>
      <c r="LA8" s="536"/>
      <c r="LB8" s="536"/>
      <c r="LC8" s="536"/>
      <c r="LD8" s="536"/>
      <c r="LE8" s="536"/>
      <c r="LF8" s="536"/>
      <c r="LG8" s="536"/>
      <c r="LH8" s="536"/>
      <c r="LI8" s="536"/>
      <c r="LJ8" s="536"/>
      <c r="LK8" s="536"/>
      <c r="LL8" s="536"/>
      <c r="LM8" s="536"/>
      <c r="LN8" s="536"/>
      <c r="LO8" s="536"/>
      <c r="LP8" s="536"/>
      <c r="LQ8" s="536"/>
      <c r="LR8" s="536"/>
      <c r="LS8" s="536"/>
      <c r="LT8" s="536"/>
      <c r="LU8" s="536"/>
      <c r="LV8" s="536"/>
      <c r="LW8" s="536"/>
      <c r="LX8" s="536"/>
      <c r="LY8" s="536"/>
      <c r="LZ8" s="536"/>
      <c r="MA8" s="536"/>
      <c r="MB8" s="536"/>
      <c r="MC8" s="536"/>
      <c r="MD8" s="536"/>
      <c r="ME8" s="536"/>
      <c r="MF8" s="536"/>
      <c r="MG8" s="536"/>
      <c r="MH8" s="536"/>
      <c r="MI8" s="536"/>
      <c r="MJ8" s="536"/>
      <c r="MK8" s="536"/>
      <c r="ML8" s="536"/>
      <c r="MM8" s="536"/>
      <c r="MN8" s="536"/>
      <c r="MO8" s="536"/>
      <c r="MP8" s="536"/>
      <c r="MQ8" s="536"/>
      <c r="MR8" s="536"/>
      <c r="MS8" s="536"/>
      <c r="MT8" s="536"/>
      <c r="MU8" s="536"/>
      <c r="MV8" s="536"/>
      <c r="MW8" s="536"/>
      <c r="MX8" s="536"/>
      <c r="MY8" s="536"/>
      <c r="MZ8" s="536"/>
      <c r="NA8" s="536"/>
      <c r="NB8" s="536"/>
      <c r="NC8" s="536"/>
      <c r="ND8" s="536"/>
      <c r="NE8" s="536"/>
      <c r="NF8" s="536"/>
      <c r="NG8" s="536"/>
      <c r="NH8" s="536"/>
      <c r="NI8" s="536"/>
      <c r="NJ8" s="536"/>
      <c r="NK8" s="536"/>
      <c r="NL8" s="536"/>
      <c r="NM8" s="536"/>
      <c r="NN8" s="536"/>
      <c r="NO8" s="536"/>
      <c r="NP8" s="536"/>
      <c r="NQ8" s="536"/>
      <c r="NR8" s="536"/>
      <c r="NS8" s="536"/>
      <c r="NT8" s="536"/>
      <c r="NU8" s="536"/>
      <c r="NV8" s="536"/>
      <c r="NW8" s="536"/>
      <c r="NX8" s="536"/>
      <c r="NY8" s="536"/>
      <c r="NZ8" s="536"/>
      <c r="OA8" s="536"/>
      <c r="OB8" s="536"/>
      <c r="OC8" s="536"/>
      <c r="OD8" s="536"/>
      <c r="OE8" s="536"/>
      <c r="OF8" s="536"/>
      <c r="OG8" s="536"/>
      <c r="OH8" s="536"/>
      <c r="OI8" s="536"/>
      <c r="OJ8" s="536"/>
      <c r="OK8" s="536"/>
      <c r="OL8" s="536"/>
      <c r="OM8" s="536"/>
      <c r="ON8" s="536"/>
      <c r="OO8" s="536"/>
      <c r="OP8" s="536"/>
      <c r="OQ8" s="536"/>
      <c r="OR8" s="536"/>
      <c r="OS8" s="536"/>
      <c r="OT8" s="536"/>
      <c r="OU8" s="536"/>
      <c r="OV8" s="536"/>
      <c r="OW8" s="536"/>
      <c r="OX8" s="536"/>
      <c r="OY8" s="536"/>
      <c r="OZ8" s="536"/>
      <c r="PA8" s="536"/>
      <c r="PB8" s="536"/>
      <c r="PC8" s="536"/>
      <c r="PD8" s="536"/>
      <c r="PE8" s="536"/>
      <c r="PF8" s="536"/>
      <c r="PG8" s="536"/>
      <c r="PH8" s="536"/>
      <c r="PI8" s="536"/>
      <c r="PJ8" s="536"/>
      <c r="PK8" s="536"/>
      <c r="PL8" s="536"/>
      <c r="PM8" s="536"/>
      <c r="PN8" s="536"/>
      <c r="PO8" s="536"/>
      <c r="PP8" s="536"/>
      <c r="PQ8" s="536"/>
      <c r="PR8" s="536"/>
      <c r="PS8" s="536"/>
      <c r="PT8" s="536"/>
      <c r="PU8" s="536"/>
      <c r="PV8" s="536"/>
      <c r="PW8" s="536"/>
      <c r="PX8" s="536"/>
      <c r="PY8" s="536"/>
      <c r="PZ8" s="536"/>
      <c r="QA8" s="536"/>
      <c r="QB8" s="536"/>
      <c r="QC8" s="536"/>
      <c r="QD8" s="536"/>
      <c r="QE8" s="536"/>
      <c r="QF8" s="536"/>
      <c r="QG8" s="536"/>
      <c r="QH8" s="536"/>
      <c r="QI8" s="536"/>
      <c r="QJ8" s="536"/>
      <c r="QK8" s="536"/>
      <c r="QL8" s="536"/>
      <c r="QM8" s="536"/>
      <c r="QN8" s="536"/>
      <c r="QO8" s="536"/>
      <c r="QP8" s="536"/>
      <c r="QQ8" s="536"/>
      <c r="QR8" s="536"/>
      <c r="QS8" s="536"/>
      <c r="QT8" s="536"/>
      <c r="QU8" s="536"/>
      <c r="QV8" s="536"/>
      <c r="QW8" s="536"/>
      <c r="QX8" s="536"/>
      <c r="QY8" s="536"/>
      <c r="QZ8" s="536"/>
      <c r="RA8" s="536"/>
      <c r="RB8" s="536"/>
      <c r="RC8" s="536"/>
      <c r="RD8" s="536"/>
      <c r="RE8" s="536"/>
      <c r="RF8" s="536"/>
      <c r="RG8" s="536"/>
      <c r="RH8" s="536"/>
      <c r="RI8" s="536"/>
      <c r="RJ8" s="536"/>
      <c r="RK8" s="536"/>
      <c r="RL8" s="536"/>
      <c r="RM8" s="536"/>
      <c r="RN8" s="536"/>
      <c r="RO8" s="536"/>
      <c r="RP8" s="536"/>
      <c r="RQ8" s="536"/>
      <c r="RR8" s="536"/>
      <c r="RS8" s="536"/>
      <c r="RT8" s="536"/>
      <c r="RU8" s="536"/>
      <c r="RV8" s="536"/>
      <c r="RW8" s="536"/>
      <c r="RX8" s="536"/>
    </row>
    <row r="9" spans="1:492" s="537" customFormat="1" ht="20.149999999999999" customHeight="1">
      <c r="A9" s="547" t="s">
        <v>734</v>
      </c>
      <c r="B9" s="572" t="s">
        <v>735</v>
      </c>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58"/>
      <c r="AN9" s="528"/>
      <c r="AO9" s="528"/>
      <c r="AP9" s="528"/>
      <c r="AQ9" s="559"/>
      <c r="AR9" s="528"/>
      <c r="AS9" s="528"/>
      <c r="AT9" s="528"/>
      <c r="AU9" s="528"/>
      <c r="AV9" s="523"/>
      <c r="AW9" s="528"/>
      <c r="AX9" s="528"/>
      <c r="AY9" s="528"/>
      <c r="AZ9" s="528"/>
      <c r="BA9" s="534"/>
      <c r="BB9" s="558"/>
      <c r="BC9" s="528"/>
      <c r="BD9" s="528"/>
      <c r="BE9" s="522"/>
      <c r="BF9" s="559"/>
      <c r="BG9" s="528"/>
      <c r="BH9" s="528"/>
      <c r="BI9" s="528"/>
      <c r="BJ9" s="522"/>
      <c r="BK9" s="559"/>
      <c r="BL9" s="528"/>
      <c r="BM9" s="522"/>
      <c r="BN9" s="528"/>
      <c r="BO9" s="522"/>
      <c r="BP9" s="559"/>
      <c r="BQ9" s="528"/>
      <c r="BR9" s="522"/>
      <c r="BS9" s="528">
        <v>376.5</v>
      </c>
      <c r="BT9" s="522">
        <v>395.1</v>
      </c>
      <c r="BU9" s="559">
        <f t="shared" si="9"/>
        <v>771.6</v>
      </c>
      <c r="BV9" s="528"/>
      <c r="BW9" s="980"/>
      <c r="BX9" s="536"/>
      <c r="BY9" s="536"/>
      <c r="BZ9" s="536"/>
      <c r="CA9" s="536"/>
      <c r="CB9" s="536"/>
      <c r="CC9" s="536"/>
      <c r="CD9" s="536"/>
      <c r="CE9" s="536"/>
      <c r="CF9" s="536"/>
      <c r="CG9" s="536"/>
      <c r="CH9" s="536"/>
      <c r="CI9" s="536"/>
      <c r="CJ9" s="536"/>
      <c r="CK9" s="536"/>
      <c r="CL9" s="536"/>
      <c r="CM9" s="536"/>
      <c r="CN9" s="536"/>
      <c r="CO9" s="536"/>
      <c r="CP9" s="536"/>
      <c r="CQ9" s="536"/>
      <c r="CR9" s="536"/>
      <c r="CS9" s="536"/>
      <c r="CT9" s="536"/>
      <c r="CU9" s="536"/>
      <c r="CV9" s="536"/>
      <c r="CW9" s="536"/>
      <c r="CX9" s="536"/>
      <c r="CY9" s="536"/>
      <c r="CZ9" s="536"/>
      <c r="DA9" s="536"/>
      <c r="DB9" s="536"/>
      <c r="DC9" s="536"/>
      <c r="DD9" s="536"/>
      <c r="DE9" s="536"/>
      <c r="DF9" s="536"/>
      <c r="DG9" s="536"/>
      <c r="DH9" s="536"/>
      <c r="DI9" s="536"/>
      <c r="DJ9" s="536"/>
      <c r="DK9" s="536"/>
      <c r="DL9" s="536"/>
      <c r="DM9" s="536"/>
      <c r="DN9" s="536"/>
      <c r="DO9" s="536"/>
      <c r="DP9" s="536"/>
      <c r="DQ9" s="536"/>
      <c r="DR9" s="536"/>
      <c r="DS9" s="536"/>
      <c r="DT9" s="536"/>
      <c r="DU9" s="536"/>
      <c r="DV9" s="536"/>
      <c r="DW9" s="536"/>
      <c r="DX9" s="536"/>
      <c r="DY9" s="536"/>
      <c r="DZ9" s="536"/>
      <c r="EA9" s="536"/>
      <c r="EB9" s="536"/>
      <c r="EC9" s="536"/>
      <c r="ED9" s="536"/>
      <c r="EE9" s="536"/>
      <c r="EF9" s="536"/>
      <c r="EG9" s="536"/>
      <c r="EH9" s="536"/>
      <c r="EI9" s="536"/>
      <c r="EJ9" s="536"/>
      <c r="EK9" s="536"/>
      <c r="EL9" s="536"/>
      <c r="EM9" s="536"/>
      <c r="EN9" s="536"/>
      <c r="EO9" s="536"/>
      <c r="EP9" s="536"/>
      <c r="EQ9" s="536"/>
      <c r="ER9" s="536"/>
      <c r="ES9" s="536"/>
      <c r="ET9" s="536"/>
      <c r="EU9" s="536"/>
      <c r="EV9" s="536"/>
      <c r="EW9" s="536"/>
      <c r="EX9" s="536"/>
      <c r="EY9" s="536"/>
      <c r="EZ9" s="536"/>
      <c r="FA9" s="536"/>
      <c r="FB9" s="536"/>
      <c r="FC9" s="536"/>
      <c r="FD9" s="536"/>
      <c r="FE9" s="536"/>
      <c r="FF9" s="536"/>
      <c r="FG9" s="536"/>
      <c r="FH9" s="536"/>
      <c r="FI9" s="536"/>
      <c r="FJ9" s="536"/>
      <c r="FK9" s="536"/>
      <c r="FL9" s="536"/>
      <c r="FM9" s="536"/>
      <c r="FN9" s="536"/>
      <c r="FO9" s="536"/>
      <c r="FP9" s="536"/>
      <c r="FQ9" s="536"/>
      <c r="FR9" s="536"/>
      <c r="FS9" s="536"/>
      <c r="FT9" s="536"/>
      <c r="FU9" s="536"/>
      <c r="FV9" s="536"/>
      <c r="FW9" s="536"/>
      <c r="FX9" s="536"/>
      <c r="FY9" s="536"/>
      <c r="FZ9" s="536"/>
      <c r="GA9" s="536"/>
      <c r="GB9" s="536"/>
      <c r="GC9" s="536"/>
      <c r="GD9" s="536"/>
      <c r="GE9" s="536"/>
      <c r="GF9" s="536"/>
      <c r="GG9" s="536"/>
      <c r="GH9" s="536"/>
      <c r="GI9" s="536"/>
      <c r="GJ9" s="536"/>
      <c r="GK9" s="536"/>
      <c r="GL9" s="536"/>
      <c r="GM9" s="536"/>
      <c r="GN9" s="536"/>
      <c r="GO9" s="536"/>
      <c r="GP9" s="536"/>
      <c r="GQ9" s="536"/>
      <c r="GR9" s="536"/>
      <c r="GS9" s="536"/>
      <c r="GT9" s="536"/>
      <c r="GU9" s="536"/>
      <c r="GV9" s="536"/>
      <c r="GW9" s="536"/>
      <c r="GX9" s="536"/>
      <c r="GY9" s="536"/>
      <c r="GZ9" s="536"/>
      <c r="HA9" s="536"/>
      <c r="HB9" s="536"/>
      <c r="HC9" s="536"/>
      <c r="HD9" s="536"/>
      <c r="HE9" s="536"/>
      <c r="HF9" s="536"/>
      <c r="HG9" s="536"/>
      <c r="HH9" s="536"/>
      <c r="HI9" s="536"/>
      <c r="HJ9" s="536"/>
      <c r="HK9" s="536"/>
      <c r="HL9" s="536"/>
      <c r="HM9" s="536"/>
      <c r="HN9" s="536"/>
      <c r="HO9" s="536"/>
      <c r="HP9" s="536"/>
      <c r="HQ9" s="536"/>
      <c r="HR9" s="536"/>
      <c r="HS9" s="536"/>
      <c r="HT9" s="536"/>
      <c r="HU9" s="536"/>
      <c r="HV9" s="536"/>
      <c r="HW9" s="536"/>
      <c r="HX9" s="536"/>
      <c r="HY9" s="536"/>
      <c r="HZ9" s="536"/>
      <c r="IA9" s="536"/>
      <c r="IB9" s="536"/>
      <c r="IC9" s="536"/>
      <c r="ID9" s="536"/>
      <c r="IE9" s="536"/>
      <c r="IF9" s="536"/>
      <c r="IG9" s="536"/>
      <c r="IH9" s="536"/>
      <c r="II9" s="536"/>
      <c r="IJ9" s="536"/>
      <c r="IK9" s="536"/>
      <c r="IL9" s="536"/>
      <c r="IM9" s="536"/>
      <c r="IN9" s="536"/>
      <c r="IO9" s="536"/>
      <c r="IP9" s="536"/>
      <c r="IQ9" s="536"/>
      <c r="IR9" s="536"/>
      <c r="IS9" s="536"/>
      <c r="IT9" s="536"/>
      <c r="IU9" s="536"/>
      <c r="IV9" s="536"/>
      <c r="IW9" s="536"/>
      <c r="IX9" s="536"/>
      <c r="IY9" s="536"/>
      <c r="IZ9" s="536"/>
      <c r="JA9" s="536"/>
      <c r="JB9" s="536"/>
      <c r="JC9" s="536"/>
      <c r="JD9" s="536"/>
      <c r="JE9" s="536"/>
      <c r="JF9" s="536"/>
      <c r="JG9" s="536"/>
      <c r="JH9" s="536"/>
      <c r="JI9" s="536"/>
      <c r="JJ9" s="536"/>
      <c r="JK9" s="536"/>
      <c r="JL9" s="536"/>
      <c r="JM9" s="536"/>
      <c r="JN9" s="536"/>
      <c r="JO9" s="536"/>
      <c r="JP9" s="536"/>
      <c r="JQ9" s="536"/>
      <c r="JR9" s="536"/>
      <c r="JS9" s="536"/>
      <c r="JT9" s="536"/>
      <c r="JU9" s="536"/>
      <c r="JV9" s="536"/>
      <c r="JW9" s="536"/>
      <c r="JX9" s="536"/>
      <c r="JY9" s="536"/>
      <c r="JZ9" s="536"/>
      <c r="KA9" s="536"/>
      <c r="KB9" s="536"/>
      <c r="KC9" s="536"/>
      <c r="KD9" s="536"/>
      <c r="KE9" s="536"/>
      <c r="KF9" s="536"/>
      <c r="KG9" s="536"/>
      <c r="KH9" s="536"/>
      <c r="KI9" s="536"/>
      <c r="KJ9" s="536"/>
      <c r="KK9" s="536"/>
      <c r="KL9" s="536"/>
      <c r="KM9" s="536"/>
      <c r="KN9" s="536"/>
      <c r="KO9" s="536"/>
      <c r="KP9" s="536"/>
      <c r="KQ9" s="536"/>
      <c r="KR9" s="536"/>
      <c r="KS9" s="536"/>
      <c r="KT9" s="536"/>
      <c r="KU9" s="536"/>
      <c r="KV9" s="536"/>
      <c r="KW9" s="536"/>
      <c r="KX9" s="536"/>
      <c r="KY9" s="536"/>
      <c r="KZ9" s="536"/>
      <c r="LA9" s="536"/>
      <c r="LB9" s="536"/>
      <c r="LC9" s="536"/>
      <c r="LD9" s="536"/>
      <c r="LE9" s="536"/>
      <c r="LF9" s="536"/>
      <c r="LG9" s="536"/>
      <c r="LH9" s="536"/>
      <c r="LI9" s="536"/>
      <c r="LJ9" s="536"/>
      <c r="LK9" s="536"/>
      <c r="LL9" s="536"/>
      <c r="LM9" s="536"/>
      <c r="LN9" s="536"/>
      <c r="LO9" s="536"/>
      <c r="LP9" s="536"/>
      <c r="LQ9" s="536"/>
      <c r="LR9" s="536"/>
      <c r="LS9" s="536"/>
      <c r="LT9" s="536"/>
      <c r="LU9" s="536"/>
      <c r="LV9" s="536"/>
      <c r="LW9" s="536"/>
      <c r="LX9" s="536"/>
      <c r="LY9" s="536"/>
      <c r="LZ9" s="536"/>
      <c r="MA9" s="536"/>
      <c r="MB9" s="536"/>
      <c r="MC9" s="536"/>
      <c r="MD9" s="536"/>
      <c r="ME9" s="536"/>
      <c r="MF9" s="536"/>
      <c r="MG9" s="536"/>
      <c r="MH9" s="536"/>
      <c r="MI9" s="536"/>
      <c r="MJ9" s="536"/>
      <c r="MK9" s="536"/>
      <c r="ML9" s="536"/>
      <c r="MM9" s="536"/>
      <c r="MN9" s="536"/>
      <c r="MO9" s="536"/>
      <c r="MP9" s="536"/>
      <c r="MQ9" s="536"/>
      <c r="MR9" s="536"/>
      <c r="MS9" s="536"/>
      <c r="MT9" s="536"/>
      <c r="MU9" s="536"/>
      <c r="MV9" s="536"/>
      <c r="MW9" s="536"/>
      <c r="MX9" s="536"/>
      <c r="MY9" s="536"/>
      <c r="MZ9" s="536"/>
      <c r="NA9" s="536"/>
      <c r="NB9" s="536"/>
      <c r="NC9" s="536"/>
      <c r="ND9" s="536"/>
      <c r="NE9" s="536"/>
      <c r="NF9" s="536"/>
      <c r="NG9" s="536"/>
      <c r="NH9" s="536"/>
      <c r="NI9" s="536"/>
      <c r="NJ9" s="536"/>
      <c r="NK9" s="536"/>
      <c r="NL9" s="536"/>
      <c r="NM9" s="536"/>
      <c r="NN9" s="536"/>
      <c r="NO9" s="536"/>
      <c r="NP9" s="536"/>
      <c r="NQ9" s="536"/>
      <c r="NR9" s="536"/>
      <c r="NS9" s="536"/>
      <c r="NT9" s="536"/>
      <c r="NU9" s="536"/>
      <c r="NV9" s="536"/>
      <c r="NW9" s="536"/>
      <c r="NX9" s="536"/>
      <c r="NY9" s="536"/>
      <c r="NZ9" s="536"/>
      <c r="OA9" s="536"/>
      <c r="OB9" s="536"/>
      <c r="OC9" s="536"/>
      <c r="OD9" s="536"/>
      <c r="OE9" s="536"/>
      <c r="OF9" s="536"/>
      <c r="OG9" s="536"/>
      <c r="OH9" s="536"/>
      <c r="OI9" s="536"/>
      <c r="OJ9" s="536"/>
      <c r="OK9" s="536"/>
      <c r="OL9" s="536"/>
      <c r="OM9" s="536"/>
      <c r="ON9" s="536"/>
      <c r="OO9" s="536"/>
      <c r="OP9" s="536"/>
      <c r="OQ9" s="536"/>
      <c r="OR9" s="536"/>
      <c r="OS9" s="536"/>
      <c r="OT9" s="536"/>
      <c r="OU9" s="536"/>
      <c r="OV9" s="536"/>
      <c r="OW9" s="536"/>
      <c r="OX9" s="536"/>
      <c r="OY9" s="536"/>
      <c r="OZ9" s="536"/>
      <c r="PA9" s="536"/>
      <c r="PB9" s="536"/>
      <c r="PC9" s="536"/>
      <c r="PD9" s="536"/>
      <c r="PE9" s="536"/>
      <c r="PF9" s="536"/>
      <c r="PG9" s="536"/>
      <c r="PH9" s="536"/>
      <c r="PI9" s="536"/>
      <c r="PJ9" s="536"/>
      <c r="PK9" s="536"/>
      <c r="PL9" s="536"/>
      <c r="PM9" s="536"/>
      <c r="PN9" s="536"/>
      <c r="PO9" s="536"/>
      <c r="PP9" s="536"/>
      <c r="PQ9" s="536"/>
      <c r="PR9" s="536"/>
      <c r="PS9" s="536"/>
      <c r="PT9" s="536"/>
      <c r="PU9" s="536"/>
      <c r="PV9" s="536"/>
      <c r="PW9" s="536"/>
      <c r="PX9" s="536"/>
      <c r="PY9" s="536"/>
      <c r="PZ9" s="536"/>
      <c r="QA9" s="536"/>
      <c r="QB9" s="536"/>
      <c r="QC9" s="536"/>
      <c r="QD9" s="536"/>
      <c r="QE9" s="536"/>
      <c r="QF9" s="536"/>
      <c r="QG9" s="536"/>
      <c r="QH9" s="536"/>
      <c r="QI9" s="536"/>
      <c r="QJ9" s="536"/>
      <c r="QK9" s="536"/>
      <c r="QL9" s="536"/>
      <c r="QM9" s="536"/>
      <c r="QN9" s="536"/>
      <c r="QO9" s="536"/>
      <c r="QP9" s="536"/>
      <c r="QQ9" s="536"/>
      <c r="QR9" s="536"/>
      <c r="QS9" s="536"/>
      <c r="QT9" s="536"/>
      <c r="QU9" s="536"/>
      <c r="QV9" s="536"/>
      <c r="QW9" s="536"/>
      <c r="QX9" s="536"/>
      <c r="QY9" s="536"/>
      <c r="QZ9" s="536"/>
      <c r="RA9" s="536"/>
      <c r="RB9" s="536"/>
      <c r="RC9" s="536"/>
      <c r="RD9" s="536"/>
      <c r="RE9" s="536"/>
      <c r="RF9" s="536"/>
      <c r="RG9" s="536"/>
      <c r="RH9" s="536"/>
      <c r="RI9" s="536"/>
      <c r="RJ9" s="536"/>
      <c r="RK9" s="536"/>
      <c r="RL9" s="536"/>
      <c r="RM9" s="536"/>
      <c r="RN9" s="536"/>
      <c r="RO9" s="536"/>
      <c r="RP9" s="536"/>
      <c r="RQ9" s="536"/>
      <c r="RR9" s="536"/>
      <c r="RS9" s="536"/>
      <c r="RT9" s="536"/>
      <c r="RU9" s="536"/>
      <c r="RV9" s="536"/>
      <c r="RW9" s="536"/>
      <c r="RX9" s="536"/>
    </row>
    <row r="10" spans="1:492" s="537" customFormat="1" ht="20.149999999999999" customHeight="1" thickBot="1">
      <c r="A10" s="547" t="s">
        <v>119</v>
      </c>
      <c r="B10" s="572" t="s">
        <v>120</v>
      </c>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60">
        <v>-53.1</v>
      </c>
      <c r="AN10" s="538">
        <v>-56.999999999999993</v>
      </c>
      <c r="AO10" s="538">
        <v>-69.700000000000017</v>
      </c>
      <c r="AP10" s="538">
        <v>-60.699999999999989</v>
      </c>
      <c r="AQ10" s="559">
        <f t="shared" si="4"/>
        <v>-240.5</v>
      </c>
      <c r="AR10" s="538"/>
      <c r="AS10" s="538"/>
      <c r="AT10" s="538"/>
      <c r="AU10" s="538"/>
      <c r="AV10" s="539"/>
      <c r="AW10" s="538">
        <v>-61.2</v>
      </c>
      <c r="AX10" s="538">
        <v>-66</v>
      </c>
      <c r="AY10" s="538">
        <v>-63.600000000000009</v>
      </c>
      <c r="AZ10" s="538">
        <v>-66.399999999999977</v>
      </c>
      <c r="BA10" s="534">
        <f t="shared" si="5"/>
        <v>-257.2</v>
      </c>
      <c r="BB10" s="560">
        <v>-65.5</v>
      </c>
      <c r="BC10" s="538">
        <v>-68</v>
      </c>
      <c r="BD10" s="538">
        <v>-68.699999999999989</v>
      </c>
      <c r="BE10" s="538">
        <v>-72.599999999999994</v>
      </c>
      <c r="BF10" s="569">
        <f t="shared" si="6"/>
        <v>-274.79999999999995</v>
      </c>
      <c r="BG10" s="538">
        <v>-70.8</v>
      </c>
      <c r="BH10" s="538">
        <v>-71.000000000000014</v>
      </c>
      <c r="BI10" s="538">
        <v>-59.899999999999991</v>
      </c>
      <c r="BJ10" s="538">
        <f>-274.8-SUM(BG10:BI10)</f>
        <v>-73.100000000000023</v>
      </c>
      <c r="BK10" s="569">
        <f t="shared" si="7"/>
        <v>-274.8</v>
      </c>
      <c r="BL10" s="538">
        <v>-72.7</v>
      </c>
      <c r="BM10" s="759">
        <f>-166.3-BL10</f>
        <v>-93.600000000000009</v>
      </c>
      <c r="BN10" s="538">
        <f>-266.4-BM10-BL10</f>
        <v>-100.09999999999995</v>
      </c>
      <c r="BO10" s="538">
        <f>-373.9-BN10-BM10-BL10</f>
        <v>-107.49999999999999</v>
      </c>
      <c r="BP10" s="569">
        <f t="shared" si="8"/>
        <v>-373.9</v>
      </c>
      <c r="BQ10" s="538">
        <v>-87.9</v>
      </c>
      <c r="BR10" s="863">
        <f>-175.4-BQ10</f>
        <v>-87.5</v>
      </c>
      <c r="BS10" s="538">
        <v>-165.20000000000002</v>
      </c>
      <c r="BT10" s="538">
        <v>-169.09999999999997</v>
      </c>
      <c r="BU10" s="569">
        <f t="shared" si="9"/>
        <v>-509.7</v>
      </c>
      <c r="BV10" s="528"/>
      <c r="BW10" s="536"/>
      <c r="BY10" s="536"/>
      <c r="BZ10" s="536"/>
      <c r="CA10" s="536"/>
      <c r="CB10" s="536"/>
      <c r="CC10" s="536"/>
      <c r="CD10" s="536"/>
      <c r="CE10" s="536"/>
      <c r="CF10" s="536"/>
      <c r="CG10" s="536"/>
      <c r="CH10" s="536"/>
      <c r="CI10" s="536"/>
      <c r="CJ10" s="536"/>
      <c r="CK10" s="536"/>
      <c r="CL10" s="536"/>
      <c r="CM10" s="536"/>
      <c r="CN10" s="536"/>
      <c r="CO10" s="536"/>
      <c r="CP10" s="536"/>
      <c r="CQ10" s="536"/>
      <c r="CR10" s="536"/>
      <c r="CS10" s="536"/>
      <c r="CT10" s="536"/>
      <c r="CU10" s="536"/>
      <c r="CV10" s="536"/>
      <c r="CW10" s="536"/>
      <c r="CX10" s="536"/>
      <c r="CY10" s="536"/>
      <c r="CZ10" s="536"/>
      <c r="DA10" s="536"/>
      <c r="DB10" s="536"/>
      <c r="DC10" s="536"/>
      <c r="DD10" s="536"/>
      <c r="DE10" s="536"/>
      <c r="DF10" s="536"/>
      <c r="DG10" s="536"/>
      <c r="DH10" s="536"/>
      <c r="DI10" s="536"/>
      <c r="DJ10" s="536"/>
      <c r="DK10" s="536"/>
      <c r="DL10" s="536"/>
      <c r="DM10" s="536"/>
      <c r="DN10" s="536"/>
      <c r="DO10" s="536"/>
      <c r="DP10" s="536"/>
      <c r="DQ10" s="536"/>
      <c r="DR10" s="536"/>
      <c r="DS10" s="536"/>
      <c r="DT10" s="536"/>
      <c r="DU10" s="536"/>
      <c r="DV10" s="536"/>
      <c r="DW10" s="536"/>
      <c r="DX10" s="536"/>
      <c r="DY10" s="536"/>
      <c r="DZ10" s="536"/>
      <c r="EA10" s="536"/>
      <c r="EB10" s="536"/>
      <c r="EC10" s="536"/>
      <c r="ED10" s="536"/>
      <c r="EE10" s="536"/>
      <c r="EF10" s="536"/>
      <c r="EG10" s="536"/>
      <c r="EH10" s="536"/>
      <c r="EI10" s="536"/>
      <c r="EJ10" s="536"/>
      <c r="EK10" s="536"/>
      <c r="EL10" s="536"/>
      <c r="EM10" s="536"/>
      <c r="EN10" s="536"/>
      <c r="EO10" s="536"/>
      <c r="EP10" s="536"/>
      <c r="EQ10" s="536"/>
      <c r="ER10" s="536"/>
      <c r="ES10" s="536"/>
      <c r="ET10" s="536"/>
      <c r="EU10" s="536"/>
      <c r="EV10" s="536"/>
      <c r="EW10" s="536"/>
      <c r="EX10" s="536"/>
      <c r="EY10" s="536"/>
      <c r="EZ10" s="536"/>
      <c r="FA10" s="536"/>
      <c r="FB10" s="536"/>
      <c r="FC10" s="536"/>
      <c r="FD10" s="536"/>
      <c r="FE10" s="536"/>
      <c r="FF10" s="536"/>
      <c r="FG10" s="536"/>
      <c r="FH10" s="536"/>
      <c r="FI10" s="536"/>
      <c r="FJ10" s="536"/>
      <c r="FK10" s="536"/>
      <c r="FL10" s="536"/>
      <c r="FM10" s="536"/>
      <c r="FN10" s="536"/>
      <c r="FO10" s="536"/>
      <c r="FP10" s="536"/>
      <c r="FQ10" s="536"/>
      <c r="FR10" s="536"/>
      <c r="FS10" s="536"/>
      <c r="FT10" s="536"/>
      <c r="FU10" s="536"/>
      <c r="FV10" s="536"/>
      <c r="FW10" s="536"/>
      <c r="FX10" s="536"/>
      <c r="FY10" s="536"/>
      <c r="FZ10" s="536"/>
      <c r="GA10" s="536"/>
      <c r="GB10" s="536"/>
      <c r="GC10" s="536"/>
      <c r="GD10" s="536"/>
      <c r="GE10" s="536"/>
      <c r="GF10" s="536"/>
      <c r="GG10" s="536"/>
      <c r="GH10" s="536"/>
      <c r="GI10" s="536"/>
      <c r="GJ10" s="536"/>
      <c r="GK10" s="536"/>
      <c r="GL10" s="536"/>
      <c r="GM10" s="536"/>
      <c r="GN10" s="536"/>
      <c r="GO10" s="536"/>
      <c r="GP10" s="536"/>
      <c r="GQ10" s="536"/>
      <c r="GR10" s="536"/>
      <c r="GS10" s="536"/>
      <c r="GT10" s="536"/>
      <c r="GU10" s="536"/>
      <c r="GV10" s="536"/>
      <c r="GW10" s="536"/>
      <c r="GX10" s="536"/>
      <c r="GY10" s="536"/>
      <c r="GZ10" s="536"/>
      <c r="HA10" s="536"/>
      <c r="HB10" s="536"/>
      <c r="HC10" s="536"/>
      <c r="HD10" s="536"/>
      <c r="HE10" s="536"/>
      <c r="HF10" s="536"/>
      <c r="HG10" s="536"/>
      <c r="HH10" s="536"/>
      <c r="HI10" s="536"/>
      <c r="HJ10" s="536"/>
      <c r="HK10" s="536"/>
      <c r="HL10" s="536"/>
      <c r="HM10" s="536"/>
      <c r="HN10" s="536"/>
      <c r="HO10" s="536"/>
      <c r="HP10" s="536"/>
      <c r="HQ10" s="536"/>
      <c r="HR10" s="536"/>
      <c r="HS10" s="536"/>
      <c r="HT10" s="536"/>
      <c r="HU10" s="536"/>
      <c r="HV10" s="536"/>
      <c r="HW10" s="536"/>
      <c r="HX10" s="536"/>
      <c r="HY10" s="536"/>
      <c r="HZ10" s="536"/>
      <c r="IA10" s="536"/>
      <c r="IB10" s="536"/>
      <c r="IC10" s="536"/>
      <c r="ID10" s="536"/>
      <c r="IE10" s="536"/>
      <c r="IF10" s="536"/>
      <c r="IG10" s="536"/>
      <c r="IH10" s="536"/>
      <c r="II10" s="536"/>
      <c r="IJ10" s="536"/>
      <c r="IK10" s="536"/>
      <c r="IL10" s="536"/>
      <c r="IM10" s="536"/>
      <c r="IN10" s="536"/>
      <c r="IO10" s="536"/>
      <c r="IP10" s="536"/>
      <c r="IQ10" s="536"/>
      <c r="IR10" s="536"/>
      <c r="IS10" s="536"/>
      <c r="IT10" s="536"/>
      <c r="IU10" s="536"/>
      <c r="IV10" s="536"/>
      <c r="IW10" s="536"/>
      <c r="IX10" s="536"/>
      <c r="IY10" s="536"/>
      <c r="IZ10" s="536"/>
      <c r="JA10" s="536"/>
      <c r="JB10" s="536"/>
      <c r="JC10" s="536"/>
      <c r="JD10" s="536"/>
      <c r="JE10" s="536"/>
      <c r="JF10" s="536"/>
      <c r="JG10" s="536"/>
      <c r="JH10" s="536"/>
      <c r="JI10" s="536"/>
      <c r="JJ10" s="536"/>
      <c r="JK10" s="536"/>
      <c r="JL10" s="536"/>
      <c r="JM10" s="536"/>
      <c r="JN10" s="536"/>
      <c r="JO10" s="536"/>
      <c r="JP10" s="536"/>
      <c r="JQ10" s="536"/>
      <c r="JR10" s="536"/>
      <c r="JS10" s="536"/>
      <c r="JT10" s="536"/>
      <c r="JU10" s="536"/>
      <c r="JV10" s="536"/>
      <c r="JW10" s="536"/>
      <c r="JX10" s="536"/>
      <c r="JY10" s="536"/>
      <c r="JZ10" s="536"/>
      <c r="KA10" s="536"/>
      <c r="KB10" s="536"/>
      <c r="KC10" s="536"/>
      <c r="KD10" s="536"/>
      <c r="KE10" s="536"/>
      <c r="KF10" s="536"/>
      <c r="KG10" s="536"/>
      <c r="KH10" s="536"/>
      <c r="KI10" s="536"/>
      <c r="KJ10" s="536"/>
      <c r="KK10" s="536"/>
      <c r="KL10" s="536"/>
      <c r="KM10" s="536"/>
      <c r="KN10" s="536"/>
      <c r="KO10" s="536"/>
      <c r="KP10" s="536"/>
      <c r="KQ10" s="536"/>
      <c r="KR10" s="536"/>
      <c r="KS10" s="536"/>
      <c r="KT10" s="536"/>
      <c r="KU10" s="536"/>
      <c r="KV10" s="536"/>
      <c r="KW10" s="536"/>
      <c r="KX10" s="536"/>
      <c r="KY10" s="536"/>
      <c r="KZ10" s="536"/>
      <c r="LA10" s="536"/>
      <c r="LB10" s="536"/>
      <c r="LC10" s="536"/>
      <c r="LD10" s="536"/>
      <c r="LE10" s="536"/>
      <c r="LF10" s="536"/>
      <c r="LG10" s="536"/>
      <c r="LH10" s="536"/>
      <c r="LI10" s="536"/>
      <c r="LJ10" s="536"/>
      <c r="LK10" s="536"/>
      <c r="LL10" s="536"/>
      <c r="LM10" s="536"/>
      <c r="LN10" s="536"/>
      <c r="LO10" s="536"/>
      <c r="LP10" s="536"/>
      <c r="LQ10" s="536"/>
      <c r="LR10" s="536"/>
      <c r="LS10" s="536"/>
      <c r="LT10" s="536"/>
      <c r="LU10" s="536"/>
      <c r="LV10" s="536"/>
      <c r="LW10" s="536"/>
      <c r="LX10" s="536"/>
      <c r="LY10" s="536"/>
      <c r="LZ10" s="536"/>
      <c r="MA10" s="536"/>
      <c r="MB10" s="536"/>
      <c r="MC10" s="536"/>
      <c r="MD10" s="536"/>
      <c r="ME10" s="536"/>
      <c r="MF10" s="536"/>
      <c r="MG10" s="536"/>
      <c r="MH10" s="536"/>
      <c r="MI10" s="536"/>
      <c r="MJ10" s="536"/>
      <c r="MK10" s="536"/>
      <c r="ML10" s="536"/>
      <c r="MM10" s="536"/>
      <c r="MN10" s="536"/>
      <c r="MO10" s="536"/>
      <c r="MP10" s="536"/>
      <c r="MQ10" s="536"/>
      <c r="MR10" s="536"/>
      <c r="MS10" s="536"/>
      <c r="MT10" s="536"/>
      <c r="MU10" s="536"/>
      <c r="MV10" s="536"/>
      <c r="MW10" s="536"/>
      <c r="MX10" s="536"/>
      <c r="MY10" s="536"/>
      <c r="MZ10" s="536"/>
      <c r="NA10" s="536"/>
      <c r="NB10" s="536"/>
      <c r="NC10" s="536"/>
      <c r="ND10" s="536"/>
      <c r="NE10" s="536"/>
      <c r="NF10" s="536"/>
      <c r="NG10" s="536"/>
      <c r="NH10" s="536"/>
      <c r="NI10" s="536"/>
      <c r="NJ10" s="536"/>
      <c r="NK10" s="536"/>
      <c r="NL10" s="536"/>
      <c r="NM10" s="536"/>
      <c r="NN10" s="536"/>
      <c r="NO10" s="536"/>
      <c r="NP10" s="536"/>
      <c r="NQ10" s="536"/>
      <c r="NR10" s="536"/>
      <c r="NS10" s="536"/>
      <c r="NT10" s="536"/>
      <c r="NU10" s="536"/>
      <c r="NV10" s="536"/>
      <c r="NW10" s="536"/>
      <c r="NX10" s="536"/>
      <c r="NY10" s="536"/>
      <c r="NZ10" s="536"/>
      <c r="OA10" s="536"/>
      <c r="OB10" s="536"/>
      <c r="OC10" s="536"/>
      <c r="OD10" s="536"/>
      <c r="OE10" s="536"/>
      <c r="OF10" s="536"/>
      <c r="OG10" s="536"/>
      <c r="OH10" s="536"/>
      <c r="OI10" s="536"/>
      <c r="OJ10" s="536"/>
      <c r="OK10" s="536"/>
      <c r="OL10" s="536"/>
      <c r="OM10" s="536"/>
      <c r="ON10" s="536"/>
      <c r="OO10" s="536"/>
      <c r="OP10" s="536"/>
      <c r="OQ10" s="536"/>
      <c r="OR10" s="536"/>
      <c r="OS10" s="536"/>
      <c r="OT10" s="536"/>
      <c r="OU10" s="536"/>
      <c r="OV10" s="536"/>
      <c r="OW10" s="536"/>
      <c r="OX10" s="536"/>
      <c r="OY10" s="536"/>
      <c r="OZ10" s="536"/>
      <c r="PA10" s="536"/>
      <c r="PB10" s="536"/>
      <c r="PC10" s="536"/>
      <c r="PD10" s="536"/>
      <c r="PE10" s="536"/>
      <c r="PF10" s="536"/>
      <c r="PG10" s="536"/>
      <c r="PH10" s="536"/>
      <c r="PI10" s="536"/>
      <c r="PJ10" s="536"/>
      <c r="PK10" s="536"/>
      <c r="PL10" s="536"/>
      <c r="PM10" s="536"/>
      <c r="PN10" s="536"/>
      <c r="PO10" s="536"/>
      <c r="PP10" s="536"/>
      <c r="PQ10" s="536"/>
      <c r="PR10" s="536"/>
      <c r="PS10" s="536"/>
      <c r="PT10" s="536"/>
      <c r="PU10" s="536"/>
      <c r="PV10" s="536"/>
      <c r="PW10" s="536"/>
      <c r="PX10" s="536"/>
      <c r="PY10" s="536"/>
      <c r="PZ10" s="536"/>
      <c r="QA10" s="536"/>
      <c r="QB10" s="536"/>
      <c r="QC10" s="536"/>
      <c r="QD10" s="536"/>
      <c r="QE10" s="536"/>
      <c r="QF10" s="536"/>
      <c r="QG10" s="536"/>
      <c r="QH10" s="536"/>
      <c r="QI10" s="536"/>
      <c r="QJ10" s="536"/>
      <c r="QK10" s="536"/>
      <c r="QL10" s="536"/>
      <c r="QM10" s="536"/>
      <c r="QN10" s="536"/>
      <c r="QO10" s="536"/>
      <c r="QP10" s="536"/>
      <c r="QQ10" s="536"/>
      <c r="QR10" s="536"/>
      <c r="QS10" s="536"/>
      <c r="QT10" s="536"/>
      <c r="QU10" s="536"/>
      <c r="QV10" s="536"/>
      <c r="QW10" s="536"/>
      <c r="QX10" s="536"/>
      <c r="QY10" s="536"/>
      <c r="QZ10" s="536"/>
      <c r="RA10" s="536"/>
      <c r="RB10" s="536"/>
      <c r="RC10" s="536"/>
      <c r="RD10" s="536"/>
      <c r="RE10" s="536"/>
      <c r="RF10" s="536"/>
      <c r="RG10" s="536"/>
      <c r="RH10" s="536"/>
      <c r="RI10" s="536"/>
      <c r="RJ10" s="536"/>
      <c r="RK10" s="536"/>
      <c r="RL10" s="536"/>
      <c r="RM10" s="536"/>
      <c r="RN10" s="536"/>
      <c r="RO10" s="536"/>
      <c r="RP10" s="536"/>
      <c r="RQ10" s="536"/>
      <c r="RR10" s="536"/>
      <c r="RS10" s="536"/>
      <c r="RT10" s="536"/>
      <c r="RU10" s="536"/>
      <c r="RV10" s="536"/>
      <c r="RW10" s="536"/>
      <c r="RX10" s="536"/>
    </row>
    <row r="11" spans="1:492" s="65" customFormat="1" ht="20.25" customHeight="1" thickBot="1">
      <c r="A11" s="548" t="s">
        <v>121</v>
      </c>
      <c r="B11" s="573" t="s">
        <v>122</v>
      </c>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561"/>
      <c r="AN11" s="427"/>
      <c r="AO11" s="427"/>
      <c r="AP11" s="427"/>
      <c r="AQ11" s="562"/>
      <c r="AR11" s="427"/>
      <c r="AS11" s="427"/>
      <c r="AT11" s="427"/>
      <c r="AU11" s="427"/>
      <c r="AV11" s="428"/>
      <c r="AW11" s="427"/>
      <c r="AX11" s="427"/>
      <c r="AY11" s="427"/>
      <c r="AZ11" s="427"/>
      <c r="BA11" s="553"/>
      <c r="BB11" s="561">
        <f>BB20</f>
        <v>1026.7</v>
      </c>
      <c r="BC11" s="427">
        <f>SUM(BC12:BC13)</f>
        <v>1001.4999999999999</v>
      </c>
      <c r="BD11" s="427">
        <f t="shared" ref="BD11:BF11" si="10">SUM(BD12:BD13)</f>
        <v>1082.0999999999999</v>
      </c>
      <c r="BE11" s="427">
        <f t="shared" si="10"/>
        <v>1127.5</v>
      </c>
      <c r="BF11" s="562">
        <f t="shared" si="10"/>
        <v>4237.8</v>
      </c>
      <c r="BG11" s="427">
        <f t="shared" ref="BG11:BH11" si="11">SUM(BG12:BG13)</f>
        <v>1082.7</v>
      </c>
      <c r="BH11" s="427">
        <f t="shared" si="11"/>
        <v>1140.9000000000001</v>
      </c>
      <c r="BI11" s="427">
        <f>SUM(BI12:BI13)</f>
        <v>904.19999999999993</v>
      </c>
      <c r="BJ11" s="427">
        <f>SUM(BJ12:BJ13)</f>
        <v>891.19999999999993</v>
      </c>
      <c r="BK11" s="562">
        <f>SUM(BK12:BK13)</f>
        <v>4019</v>
      </c>
      <c r="BL11" s="427">
        <f>SUM(BL12:BL16)</f>
        <v>800.7</v>
      </c>
      <c r="BM11" s="760">
        <f>SUM(BM12:BM16)</f>
        <v>893.3</v>
      </c>
      <c r="BN11" s="427">
        <f t="shared" ref="BN11" si="12">SUM(BN12:BN16)</f>
        <v>839.59999999999968</v>
      </c>
      <c r="BO11" s="427">
        <f>SUM(BO12:BO16)</f>
        <v>818.5</v>
      </c>
      <c r="BP11" s="562">
        <f>SUM(BP12:BP16)</f>
        <v>3352.1</v>
      </c>
      <c r="BQ11" s="427">
        <f>SUM(BQ12:BQ16)</f>
        <v>761.2</v>
      </c>
      <c r="BR11" s="760">
        <f>SUM(BR12:BR16)</f>
        <v>798.5</v>
      </c>
      <c r="BS11" s="427">
        <f t="shared" ref="BS11:BT11" si="13">SUM(BS12:BS16)</f>
        <v>774.7</v>
      </c>
      <c r="BT11" s="427">
        <f t="shared" si="13"/>
        <v>677.09999999999991</v>
      </c>
      <c r="BU11" s="562">
        <f>SUM(BU12:BU16)</f>
        <v>3011.5</v>
      </c>
      <c r="BV11" s="1018"/>
      <c r="BW11" s="1019"/>
      <c r="BX11" s="1020"/>
      <c r="BY11" s="1020"/>
      <c r="BZ11" s="1020"/>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11"/>
      <c r="ND11" s="11"/>
      <c r="NE11" s="11"/>
      <c r="NF11" s="11"/>
      <c r="NG11" s="11"/>
      <c r="NH11" s="11"/>
      <c r="NI11" s="11"/>
      <c r="NJ11" s="11"/>
      <c r="NK11" s="11"/>
      <c r="NL11" s="11"/>
      <c r="NM11" s="11"/>
      <c r="NN11" s="11"/>
      <c r="NO11" s="11"/>
      <c r="NP11" s="11"/>
      <c r="NQ11" s="11"/>
      <c r="NR11" s="11"/>
      <c r="NS11" s="11"/>
      <c r="NT11" s="11"/>
      <c r="NU11" s="11"/>
      <c r="NV11" s="11"/>
      <c r="NW11" s="11"/>
      <c r="NX11" s="11"/>
      <c r="NY11" s="11"/>
      <c r="NZ11" s="11"/>
      <c r="OA11" s="11"/>
      <c r="OB11" s="11"/>
      <c r="OC11" s="11"/>
      <c r="OD11" s="11"/>
      <c r="OE11" s="11"/>
      <c r="OF11" s="11"/>
      <c r="OG11" s="11"/>
      <c r="OH11" s="11"/>
      <c r="OI11" s="11"/>
      <c r="OJ11" s="11"/>
      <c r="OK11" s="11"/>
      <c r="OL11" s="11"/>
      <c r="OM11" s="11"/>
      <c r="ON11" s="11"/>
      <c r="OO11" s="11"/>
      <c r="OP11" s="11"/>
      <c r="OQ11" s="11"/>
      <c r="OR11" s="11"/>
      <c r="OS11" s="11"/>
      <c r="OT11" s="11"/>
      <c r="OU11" s="11"/>
      <c r="OV11" s="11"/>
      <c r="OW11" s="11"/>
      <c r="OX11" s="11"/>
      <c r="OY11" s="11"/>
      <c r="OZ11" s="11"/>
      <c r="PA11" s="11"/>
      <c r="PB11" s="11"/>
      <c r="PC11" s="11"/>
      <c r="PD11" s="11"/>
      <c r="PE11" s="11"/>
      <c r="PF11" s="11"/>
      <c r="PG11" s="11"/>
      <c r="PH11" s="11"/>
      <c r="PI11" s="11"/>
      <c r="PJ11" s="11"/>
      <c r="PK11" s="11"/>
      <c r="PL11" s="11"/>
      <c r="PM11" s="11"/>
      <c r="PN11" s="11"/>
      <c r="PO11" s="11"/>
      <c r="PP11" s="11"/>
      <c r="PQ11" s="11"/>
      <c r="PR11" s="11"/>
      <c r="PS11" s="11"/>
      <c r="PT11" s="11"/>
      <c r="PU11" s="11"/>
      <c r="PV11" s="11"/>
      <c r="PW11" s="11"/>
      <c r="PX11" s="11"/>
      <c r="PY11" s="11"/>
      <c r="PZ11" s="11"/>
      <c r="QA11" s="11"/>
      <c r="QB11" s="11"/>
      <c r="QC11" s="11"/>
      <c r="QD11" s="11"/>
      <c r="QE11" s="11"/>
      <c r="QF11" s="11"/>
      <c r="QG11" s="11"/>
      <c r="QH11" s="11"/>
      <c r="QI11" s="11"/>
      <c r="QJ11" s="11"/>
      <c r="QK11" s="11"/>
      <c r="QL11" s="11"/>
      <c r="QM11" s="11"/>
      <c r="QN11" s="11"/>
      <c r="QO11" s="11"/>
      <c r="QP11" s="11"/>
      <c r="QQ11" s="11"/>
      <c r="QR11" s="11"/>
      <c r="QS11" s="11"/>
      <c r="QT11" s="11"/>
      <c r="QU11" s="11"/>
      <c r="QV11" s="11"/>
      <c r="QW11" s="11"/>
      <c r="QX11" s="11"/>
      <c r="QY11" s="11"/>
      <c r="QZ11" s="11"/>
      <c r="RA11" s="11"/>
      <c r="RB11" s="11"/>
      <c r="RC11" s="11"/>
      <c r="RD11" s="11"/>
      <c r="RE11" s="11"/>
      <c r="RF11" s="11"/>
      <c r="RG11" s="11"/>
      <c r="RH11" s="11"/>
      <c r="RI11" s="11"/>
      <c r="RJ11" s="11"/>
      <c r="RK11" s="11"/>
      <c r="RL11" s="11"/>
      <c r="RM11" s="11"/>
      <c r="RN11" s="11"/>
      <c r="RO11" s="11"/>
      <c r="RP11" s="11"/>
      <c r="RQ11" s="11"/>
      <c r="RR11" s="11"/>
      <c r="RS11" s="11"/>
      <c r="RT11" s="11"/>
      <c r="RU11" s="11"/>
      <c r="RV11" s="11"/>
      <c r="RW11" s="11"/>
      <c r="RX11" s="11"/>
    </row>
    <row r="12" spans="1:492" s="530" customFormat="1" ht="20.149999999999999" customHeight="1">
      <c r="A12" s="549" t="s">
        <v>113</v>
      </c>
      <c r="B12" s="574" t="s">
        <v>114</v>
      </c>
      <c r="C12" s="531"/>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63"/>
      <c r="AN12" s="532"/>
      <c r="AO12" s="532"/>
      <c r="AP12" s="532"/>
      <c r="AQ12" s="564"/>
      <c r="AR12" s="533"/>
      <c r="AS12" s="533"/>
      <c r="AT12" s="533"/>
      <c r="AU12" s="533"/>
      <c r="AV12" s="533"/>
      <c r="AW12" s="532"/>
      <c r="AX12" s="532"/>
      <c r="AY12" s="532"/>
      <c r="AZ12" s="532"/>
      <c r="BA12" s="532"/>
      <c r="BB12" s="570">
        <v>879.6</v>
      </c>
      <c r="BC12" s="534">
        <v>879.19999999999993</v>
      </c>
      <c r="BD12" s="534">
        <v>946.89999999999986</v>
      </c>
      <c r="BE12" s="534">
        <v>925.9</v>
      </c>
      <c r="BF12" s="559">
        <f>SUM(BB12:BE12)</f>
        <v>3631.6</v>
      </c>
      <c r="BG12" s="534">
        <v>936.6</v>
      </c>
      <c r="BH12" s="534">
        <v>951.80000000000007</v>
      </c>
      <c r="BI12" s="534">
        <v>786.3</v>
      </c>
      <c r="BJ12" s="534">
        <f>3389.7-SUM(BG12:BI12)</f>
        <v>715</v>
      </c>
      <c r="BK12" s="578">
        <f>SUM(BG12:BJ12)</f>
        <v>3389.7</v>
      </c>
      <c r="BL12" s="534">
        <v>704.1</v>
      </c>
      <c r="BM12" s="761">
        <f>1453.5-BL12</f>
        <v>749.4</v>
      </c>
      <c r="BN12" s="534">
        <f>2211.7-BM12-BL12</f>
        <v>758.1999999999997</v>
      </c>
      <c r="BO12" s="534">
        <f>2834-BN12-BM12-BL12</f>
        <v>622.30000000000007</v>
      </c>
      <c r="BP12" s="578">
        <f>SUM(BL12:BO12)</f>
        <v>2834</v>
      </c>
      <c r="BQ12" s="534">
        <f>BQ21</f>
        <v>663.2</v>
      </c>
      <c r="BR12" s="534">
        <f>BR21</f>
        <v>635</v>
      </c>
      <c r="BS12" s="534">
        <v>658.3</v>
      </c>
      <c r="BT12" s="534">
        <v>536.6</v>
      </c>
      <c r="BU12" s="578">
        <f>SUM(BQ12:BT12)</f>
        <v>2493.1</v>
      </c>
      <c r="BW12" s="529"/>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29"/>
      <c r="CV12" s="529"/>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29"/>
      <c r="DU12" s="529"/>
      <c r="DV12" s="529"/>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29"/>
      <c r="FW12" s="529"/>
      <c r="FX12" s="529"/>
      <c r="FY12" s="529"/>
      <c r="FZ12" s="529"/>
      <c r="GA12" s="529"/>
      <c r="GB12" s="529"/>
      <c r="GC12" s="529"/>
      <c r="GD12" s="529"/>
      <c r="GE12" s="529"/>
      <c r="GF12" s="529"/>
      <c r="GG12" s="529"/>
      <c r="GH12" s="529"/>
      <c r="GI12" s="529"/>
      <c r="GJ12" s="529"/>
      <c r="GK12" s="529"/>
      <c r="GL12" s="529"/>
      <c r="GM12" s="529"/>
      <c r="GN12" s="529"/>
      <c r="GO12" s="529"/>
      <c r="GP12" s="529"/>
      <c r="GQ12" s="529"/>
      <c r="GR12" s="529"/>
      <c r="GS12" s="529"/>
      <c r="GT12" s="529"/>
      <c r="GU12" s="529"/>
      <c r="GV12" s="529"/>
      <c r="GW12" s="529"/>
      <c r="GX12" s="529"/>
      <c r="GY12" s="529"/>
      <c r="GZ12" s="529"/>
      <c r="HA12" s="529"/>
      <c r="HB12" s="529"/>
      <c r="HC12" s="529"/>
      <c r="HD12" s="529"/>
      <c r="HE12" s="529"/>
      <c r="HF12" s="529"/>
      <c r="HG12" s="529"/>
      <c r="HH12" s="529"/>
      <c r="HI12" s="529"/>
      <c r="HJ12" s="529"/>
      <c r="HK12" s="529"/>
      <c r="HL12" s="529"/>
      <c r="HM12" s="529"/>
      <c r="HN12" s="529"/>
      <c r="HO12" s="529"/>
      <c r="HP12" s="529"/>
      <c r="HQ12" s="529"/>
      <c r="HR12" s="529"/>
      <c r="HS12" s="529"/>
      <c r="HT12" s="529"/>
      <c r="HU12" s="529"/>
      <c r="HV12" s="529"/>
      <c r="HW12" s="529"/>
      <c r="HX12" s="529"/>
      <c r="HY12" s="529"/>
      <c r="HZ12" s="529"/>
      <c r="IA12" s="529"/>
      <c r="IB12" s="529"/>
      <c r="IC12" s="529"/>
      <c r="ID12" s="529"/>
      <c r="IE12" s="529"/>
      <c r="IF12" s="529"/>
      <c r="IG12" s="529"/>
      <c r="IH12" s="529"/>
      <c r="II12" s="529"/>
      <c r="IJ12" s="529"/>
      <c r="IK12" s="529"/>
      <c r="IL12" s="529"/>
      <c r="IM12" s="529"/>
      <c r="IN12" s="529"/>
      <c r="IO12" s="529"/>
      <c r="IP12" s="529"/>
      <c r="IQ12" s="529"/>
      <c r="IR12" s="529"/>
      <c r="IS12" s="529"/>
      <c r="IT12" s="529"/>
      <c r="IU12" s="529"/>
      <c r="IV12" s="529"/>
      <c r="IW12" s="529"/>
      <c r="IX12" s="529"/>
      <c r="IY12" s="529"/>
      <c r="IZ12" s="529"/>
      <c r="JA12" s="529"/>
      <c r="JB12" s="529"/>
      <c r="JC12" s="529"/>
      <c r="JD12" s="529"/>
      <c r="JE12" s="529"/>
      <c r="JF12" s="529"/>
      <c r="JG12" s="529"/>
      <c r="JH12" s="529"/>
      <c r="JI12" s="529"/>
      <c r="JJ12" s="529"/>
      <c r="JK12" s="529"/>
      <c r="JL12" s="529"/>
      <c r="JM12" s="529"/>
      <c r="JN12" s="529"/>
      <c r="JO12" s="529"/>
      <c r="JP12" s="529"/>
      <c r="JQ12" s="529"/>
      <c r="JR12" s="529"/>
      <c r="JS12" s="529"/>
      <c r="JT12" s="529"/>
      <c r="JU12" s="529"/>
      <c r="JV12" s="529"/>
      <c r="JW12" s="529"/>
      <c r="JX12" s="529"/>
      <c r="JY12" s="529"/>
      <c r="JZ12" s="529"/>
      <c r="KA12" s="529"/>
      <c r="KB12" s="529"/>
      <c r="KC12" s="529"/>
      <c r="KD12" s="529"/>
      <c r="KE12" s="529"/>
      <c r="KF12" s="529"/>
      <c r="KG12" s="529"/>
      <c r="KH12" s="529"/>
      <c r="KI12" s="529"/>
      <c r="KJ12" s="529"/>
      <c r="KK12" s="529"/>
      <c r="KL12" s="529"/>
      <c r="KM12" s="529"/>
      <c r="KN12" s="529"/>
      <c r="KO12" s="529"/>
      <c r="KP12" s="529"/>
      <c r="KQ12" s="529"/>
      <c r="KR12" s="529"/>
      <c r="KS12" s="529"/>
      <c r="KT12" s="529"/>
      <c r="KU12" s="529"/>
      <c r="KV12" s="529"/>
      <c r="KW12" s="529"/>
      <c r="KX12" s="529"/>
      <c r="KY12" s="529"/>
      <c r="KZ12" s="529"/>
      <c r="LA12" s="529"/>
      <c r="LB12" s="529"/>
      <c r="LC12" s="529"/>
      <c r="LD12" s="529"/>
      <c r="LE12" s="529"/>
      <c r="LF12" s="529"/>
      <c r="LG12" s="529"/>
      <c r="LH12" s="529"/>
      <c r="LI12" s="529"/>
      <c r="LJ12" s="529"/>
      <c r="LK12" s="529"/>
      <c r="LL12" s="529"/>
      <c r="LM12" s="529"/>
      <c r="LN12" s="529"/>
      <c r="LO12" s="529"/>
      <c r="LP12" s="529"/>
      <c r="LQ12" s="529"/>
      <c r="LR12" s="529"/>
      <c r="LS12" s="529"/>
      <c r="LT12" s="529"/>
      <c r="LU12" s="529"/>
      <c r="LV12" s="529"/>
      <c r="LW12" s="529"/>
      <c r="LX12" s="529"/>
      <c r="LY12" s="529"/>
      <c r="LZ12" s="529"/>
      <c r="MA12" s="529"/>
      <c r="MB12" s="529"/>
      <c r="MC12" s="529"/>
      <c r="MD12" s="529"/>
      <c r="ME12" s="529"/>
      <c r="MF12" s="529"/>
      <c r="MG12" s="529"/>
      <c r="MH12" s="529"/>
      <c r="MI12" s="529"/>
      <c r="MJ12" s="529"/>
      <c r="MK12" s="529"/>
      <c r="ML12" s="529"/>
      <c r="MM12" s="529"/>
      <c r="MN12" s="529"/>
      <c r="MO12" s="529"/>
      <c r="MP12" s="529"/>
      <c r="MQ12" s="529"/>
      <c r="MR12" s="529"/>
      <c r="MS12" s="529"/>
      <c r="MT12" s="529"/>
      <c r="MU12" s="529"/>
      <c r="MV12" s="529"/>
      <c r="MW12" s="529"/>
      <c r="MX12" s="529"/>
      <c r="MY12" s="529"/>
      <c r="MZ12" s="529"/>
      <c r="NA12" s="529"/>
      <c r="NB12" s="529"/>
      <c r="NC12" s="529"/>
      <c r="ND12" s="529"/>
      <c r="NE12" s="529"/>
      <c r="NF12" s="529"/>
      <c r="NG12" s="529"/>
      <c r="NH12" s="529"/>
      <c r="NI12" s="529"/>
      <c r="NJ12" s="529"/>
      <c r="NK12" s="529"/>
      <c r="NL12" s="529"/>
      <c r="NM12" s="529"/>
      <c r="NN12" s="529"/>
      <c r="NO12" s="529"/>
      <c r="NP12" s="529"/>
      <c r="NQ12" s="529"/>
      <c r="NR12" s="529"/>
      <c r="NS12" s="529"/>
      <c r="NT12" s="529"/>
      <c r="NU12" s="529"/>
      <c r="NV12" s="529"/>
      <c r="NW12" s="529"/>
      <c r="NX12" s="529"/>
      <c r="NY12" s="529"/>
      <c r="NZ12" s="529"/>
      <c r="OA12" s="529"/>
      <c r="OB12" s="529"/>
      <c r="OC12" s="529"/>
      <c r="OD12" s="529"/>
      <c r="OE12" s="529"/>
      <c r="OF12" s="529"/>
      <c r="OG12" s="529"/>
      <c r="OH12" s="529"/>
      <c r="OI12" s="529"/>
      <c r="OJ12" s="529"/>
      <c r="OK12" s="529"/>
      <c r="OL12" s="529"/>
      <c r="OM12" s="529"/>
      <c r="ON12" s="529"/>
      <c r="OO12" s="529"/>
      <c r="OP12" s="529"/>
      <c r="OQ12" s="529"/>
      <c r="OR12" s="529"/>
      <c r="OS12" s="529"/>
      <c r="OT12" s="529"/>
      <c r="OU12" s="529"/>
      <c r="OV12" s="529"/>
      <c r="OW12" s="529"/>
      <c r="OX12" s="529"/>
      <c r="OY12" s="529"/>
      <c r="OZ12" s="529"/>
      <c r="PA12" s="529"/>
      <c r="PB12" s="529"/>
      <c r="PC12" s="529"/>
      <c r="PD12" s="529"/>
      <c r="PE12" s="529"/>
      <c r="PF12" s="529"/>
      <c r="PG12" s="529"/>
      <c r="PH12" s="529"/>
      <c r="PI12" s="529"/>
      <c r="PJ12" s="529"/>
      <c r="PK12" s="529"/>
      <c r="PL12" s="529"/>
      <c r="PM12" s="529"/>
      <c r="PN12" s="529"/>
      <c r="PO12" s="529"/>
      <c r="PP12" s="529"/>
      <c r="PQ12" s="529"/>
      <c r="PR12" s="529"/>
      <c r="PS12" s="529"/>
      <c r="PT12" s="529"/>
      <c r="PU12" s="529"/>
      <c r="PV12" s="529"/>
      <c r="PW12" s="529"/>
      <c r="PX12" s="529"/>
      <c r="PY12" s="529"/>
      <c r="PZ12" s="529"/>
      <c r="QA12" s="529"/>
      <c r="QB12" s="529"/>
      <c r="QC12" s="529"/>
      <c r="QD12" s="529"/>
      <c r="QE12" s="529"/>
      <c r="QF12" s="529"/>
      <c r="QG12" s="529"/>
      <c r="QH12" s="529"/>
      <c r="QI12" s="529"/>
      <c r="QJ12" s="529"/>
      <c r="QK12" s="529"/>
      <c r="QL12" s="529"/>
      <c r="QM12" s="529"/>
      <c r="QN12" s="529"/>
      <c r="QO12" s="529"/>
      <c r="QP12" s="529"/>
      <c r="QQ12" s="529"/>
      <c r="QR12" s="529"/>
      <c r="QS12" s="529"/>
      <c r="QT12" s="529"/>
      <c r="QU12" s="529"/>
      <c r="QV12" s="529"/>
      <c r="QW12" s="529"/>
      <c r="QX12" s="529"/>
      <c r="QY12" s="529"/>
      <c r="QZ12" s="529"/>
      <c r="RA12" s="529"/>
      <c r="RB12" s="529"/>
      <c r="RC12" s="529"/>
      <c r="RD12" s="529"/>
      <c r="RE12" s="529"/>
      <c r="RF12" s="529"/>
      <c r="RG12" s="529"/>
      <c r="RH12" s="529"/>
      <c r="RI12" s="529"/>
      <c r="RJ12" s="529"/>
      <c r="RK12" s="529"/>
      <c r="RL12" s="529"/>
      <c r="RM12" s="529"/>
      <c r="RN12" s="529"/>
      <c r="RO12" s="529"/>
      <c r="RP12" s="529"/>
      <c r="RQ12" s="529"/>
      <c r="RR12" s="529"/>
      <c r="RS12" s="529"/>
      <c r="RT12" s="529"/>
      <c r="RU12" s="529"/>
      <c r="RV12" s="529"/>
      <c r="RW12" s="529"/>
      <c r="RX12" s="529"/>
    </row>
    <row r="13" spans="1:492" s="530" customFormat="1" ht="20.149999999999999" customHeight="1">
      <c r="A13" s="549" t="s">
        <v>115</v>
      </c>
      <c r="B13" s="574" t="s">
        <v>116</v>
      </c>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63"/>
      <c r="AN13" s="532"/>
      <c r="AO13" s="532"/>
      <c r="AP13" s="532"/>
      <c r="AQ13" s="564"/>
      <c r="AR13" s="533"/>
      <c r="AS13" s="533"/>
      <c r="AT13" s="533"/>
      <c r="AU13" s="533"/>
      <c r="AV13" s="533"/>
      <c r="AW13" s="532"/>
      <c r="AX13" s="532"/>
      <c r="AY13" s="532"/>
      <c r="AZ13" s="532"/>
      <c r="BA13" s="532"/>
      <c r="BB13" s="570">
        <v>147.1</v>
      </c>
      <c r="BC13" s="534">
        <v>122.29999999999998</v>
      </c>
      <c r="BD13" s="534">
        <v>135.20000000000005</v>
      </c>
      <c r="BE13" s="534">
        <v>201.6</v>
      </c>
      <c r="BF13" s="559">
        <f t="shared" ref="BF13" si="14">SUM(BB13:BE13)</f>
        <v>606.20000000000005</v>
      </c>
      <c r="BG13" s="534">
        <v>146.1</v>
      </c>
      <c r="BH13" s="534">
        <v>189.1</v>
      </c>
      <c r="BI13" s="534">
        <v>117.9</v>
      </c>
      <c r="BJ13" s="534">
        <f>629.3-SUM(BG13:BI13)</f>
        <v>176.19999999999993</v>
      </c>
      <c r="BK13" s="578">
        <f t="shared" ref="BK13:BK18" si="15">SUM(BG13:BJ13)</f>
        <v>629.29999999999995</v>
      </c>
      <c r="BL13" s="534">
        <v>96.6</v>
      </c>
      <c r="BM13" s="761">
        <f>239-BL13</f>
        <v>142.4</v>
      </c>
      <c r="BN13" s="534">
        <f>315.8-BM13-BL13</f>
        <v>76.800000000000011</v>
      </c>
      <c r="BO13" s="534">
        <f>506-BN13-BM13-BL13</f>
        <v>190.19999999999996</v>
      </c>
      <c r="BP13" s="578">
        <f t="shared" ref="BP13:BP19" si="16">SUM(BL13:BO13)</f>
        <v>506</v>
      </c>
      <c r="BQ13" s="534">
        <f t="shared" ref="BQ13:BR13" si="17">BQ22</f>
        <v>92.5</v>
      </c>
      <c r="BR13" s="534">
        <f t="shared" si="17"/>
        <v>156.69999999999999</v>
      </c>
      <c r="BS13" s="534">
        <v>83.100000000000023</v>
      </c>
      <c r="BT13" s="534">
        <v>139.69999999999999</v>
      </c>
      <c r="BU13" s="578">
        <f t="shared" ref="BU13:BU19" si="18">SUM(BQ13:BT13)</f>
        <v>472</v>
      </c>
      <c r="BW13" s="529"/>
      <c r="BX13" s="529"/>
      <c r="BY13" s="529"/>
      <c r="BZ13" s="529"/>
      <c r="CA13" s="529"/>
      <c r="CB13" s="529"/>
      <c r="CC13" s="529"/>
      <c r="CD13" s="529"/>
      <c r="CE13" s="529"/>
      <c r="CF13" s="529"/>
      <c r="CG13" s="529"/>
      <c r="CH13" s="529"/>
      <c r="CI13" s="529"/>
      <c r="CJ13" s="529"/>
      <c r="CK13" s="529"/>
      <c r="CL13" s="529"/>
      <c r="CM13" s="529"/>
      <c r="CN13" s="529"/>
      <c r="CO13" s="529"/>
      <c r="CP13" s="529"/>
      <c r="CQ13" s="529"/>
      <c r="CR13" s="529"/>
      <c r="CS13" s="529"/>
      <c r="CT13" s="529"/>
      <c r="CU13" s="529"/>
      <c r="CV13" s="529"/>
      <c r="CW13" s="529"/>
      <c r="CX13" s="529"/>
      <c r="CY13" s="529"/>
      <c r="CZ13" s="529"/>
      <c r="DA13" s="529"/>
      <c r="DB13" s="529"/>
      <c r="DC13" s="529"/>
      <c r="DD13" s="529"/>
      <c r="DE13" s="529"/>
      <c r="DF13" s="529"/>
      <c r="DG13" s="529"/>
      <c r="DH13" s="529"/>
      <c r="DI13" s="529"/>
      <c r="DJ13" s="529"/>
      <c r="DK13" s="529"/>
      <c r="DL13" s="529"/>
      <c r="DM13" s="529"/>
      <c r="DN13" s="529"/>
      <c r="DO13" s="529"/>
      <c r="DP13" s="529"/>
      <c r="DQ13" s="529"/>
      <c r="DR13" s="529"/>
      <c r="DS13" s="529"/>
      <c r="DT13" s="529"/>
      <c r="DU13" s="529"/>
      <c r="DV13" s="529"/>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c r="FN13" s="529"/>
      <c r="FO13" s="529"/>
      <c r="FP13" s="529"/>
      <c r="FQ13" s="529"/>
      <c r="FR13" s="529"/>
      <c r="FS13" s="529"/>
      <c r="FT13" s="529"/>
      <c r="FU13" s="529"/>
      <c r="FV13" s="529"/>
      <c r="FW13" s="529"/>
      <c r="FX13" s="529"/>
      <c r="FY13" s="529"/>
      <c r="FZ13" s="529"/>
      <c r="GA13" s="529"/>
      <c r="GB13" s="529"/>
      <c r="GC13" s="529"/>
      <c r="GD13" s="529"/>
      <c r="GE13" s="529"/>
      <c r="GF13" s="529"/>
      <c r="GG13" s="529"/>
      <c r="GH13" s="529"/>
      <c r="GI13" s="529"/>
      <c r="GJ13" s="529"/>
      <c r="GK13" s="529"/>
      <c r="GL13" s="529"/>
      <c r="GM13" s="529"/>
      <c r="GN13" s="529"/>
      <c r="GO13" s="529"/>
      <c r="GP13" s="529"/>
      <c r="GQ13" s="529"/>
      <c r="GR13" s="529"/>
      <c r="GS13" s="529"/>
      <c r="GT13" s="529"/>
      <c r="GU13" s="529"/>
      <c r="GV13" s="529"/>
      <c r="GW13" s="529"/>
      <c r="GX13" s="529"/>
      <c r="GY13" s="529"/>
      <c r="GZ13" s="529"/>
      <c r="HA13" s="529"/>
      <c r="HB13" s="529"/>
      <c r="HC13" s="529"/>
      <c r="HD13" s="529"/>
      <c r="HE13" s="529"/>
      <c r="HF13" s="529"/>
      <c r="HG13" s="529"/>
      <c r="HH13" s="529"/>
      <c r="HI13" s="529"/>
      <c r="HJ13" s="529"/>
      <c r="HK13" s="529"/>
      <c r="HL13" s="529"/>
      <c r="HM13" s="529"/>
      <c r="HN13" s="529"/>
      <c r="HO13" s="529"/>
      <c r="HP13" s="529"/>
      <c r="HQ13" s="529"/>
      <c r="HR13" s="529"/>
      <c r="HS13" s="529"/>
      <c r="HT13" s="529"/>
      <c r="HU13" s="529"/>
      <c r="HV13" s="529"/>
      <c r="HW13" s="529"/>
      <c r="HX13" s="529"/>
      <c r="HY13" s="529"/>
      <c r="HZ13" s="529"/>
      <c r="IA13" s="529"/>
      <c r="IB13" s="529"/>
      <c r="IC13" s="529"/>
      <c r="ID13" s="529"/>
      <c r="IE13" s="529"/>
      <c r="IF13" s="529"/>
      <c r="IG13" s="529"/>
      <c r="IH13" s="529"/>
      <c r="II13" s="529"/>
      <c r="IJ13" s="529"/>
      <c r="IK13" s="529"/>
      <c r="IL13" s="529"/>
      <c r="IM13" s="529"/>
      <c r="IN13" s="529"/>
      <c r="IO13" s="529"/>
      <c r="IP13" s="529"/>
      <c r="IQ13" s="529"/>
      <c r="IR13" s="529"/>
      <c r="IS13" s="529"/>
      <c r="IT13" s="529"/>
      <c r="IU13" s="529"/>
      <c r="IV13" s="529"/>
      <c r="IW13" s="529"/>
      <c r="IX13" s="529"/>
      <c r="IY13" s="529"/>
      <c r="IZ13" s="529"/>
      <c r="JA13" s="529"/>
      <c r="JB13" s="529"/>
      <c r="JC13" s="529"/>
      <c r="JD13" s="529"/>
      <c r="JE13" s="529"/>
      <c r="JF13" s="529"/>
      <c r="JG13" s="529"/>
      <c r="JH13" s="529"/>
      <c r="JI13" s="529"/>
      <c r="JJ13" s="529"/>
      <c r="JK13" s="529"/>
      <c r="JL13" s="529"/>
      <c r="JM13" s="529"/>
      <c r="JN13" s="529"/>
      <c r="JO13" s="529"/>
      <c r="JP13" s="529"/>
      <c r="JQ13" s="529"/>
      <c r="JR13" s="529"/>
      <c r="JS13" s="529"/>
      <c r="JT13" s="529"/>
      <c r="JU13" s="529"/>
      <c r="JV13" s="529"/>
      <c r="JW13" s="529"/>
      <c r="JX13" s="529"/>
      <c r="JY13" s="529"/>
      <c r="JZ13" s="529"/>
      <c r="KA13" s="529"/>
      <c r="KB13" s="529"/>
      <c r="KC13" s="529"/>
      <c r="KD13" s="529"/>
      <c r="KE13" s="529"/>
      <c r="KF13" s="529"/>
      <c r="KG13" s="529"/>
      <c r="KH13" s="529"/>
      <c r="KI13" s="529"/>
      <c r="KJ13" s="529"/>
      <c r="KK13" s="529"/>
      <c r="KL13" s="529"/>
      <c r="KM13" s="529"/>
      <c r="KN13" s="529"/>
      <c r="KO13" s="529"/>
      <c r="KP13" s="529"/>
      <c r="KQ13" s="529"/>
      <c r="KR13" s="529"/>
      <c r="KS13" s="529"/>
      <c r="KT13" s="529"/>
      <c r="KU13" s="529"/>
      <c r="KV13" s="529"/>
      <c r="KW13" s="529"/>
      <c r="KX13" s="529"/>
      <c r="KY13" s="529"/>
      <c r="KZ13" s="529"/>
      <c r="LA13" s="529"/>
      <c r="LB13" s="529"/>
      <c r="LC13" s="529"/>
      <c r="LD13" s="529"/>
      <c r="LE13" s="529"/>
      <c r="LF13" s="529"/>
      <c r="LG13" s="529"/>
      <c r="LH13" s="529"/>
      <c r="LI13" s="529"/>
      <c r="LJ13" s="529"/>
      <c r="LK13" s="529"/>
      <c r="LL13" s="529"/>
      <c r="LM13" s="529"/>
      <c r="LN13" s="529"/>
      <c r="LO13" s="529"/>
      <c r="LP13" s="529"/>
      <c r="LQ13" s="529"/>
      <c r="LR13" s="529"/>
      <c r="LS13" s="529"/>
      <c r="LT13" s="529"/>
      <c r="LU13" s="529"/>
      <c r="LV13" s="529"/>
      <c r="LW13" s="529"/>
      <c r="LX13" s="529"/>
      <c r="LY13" s="529"/>
      <c r="LZ13" s="529"/>
      <c r="MA13" s="529"/>
      <c r="MB13" s="529"/>
      <c r="MC13" s="529"/>
      <c r="MD13" s="529"/>
      <c r="ME13" s="529"/>
      <c r="MF13" s="529"/>
      <c r="MG13" s="529"/>
      <c r="MH13" s="529"/>
      <c r="MI13" s="529"/>
      <c r="MJ13" s="529"/>
      <c r="MK13" s="529"/>
      <c r="ML13" s="529"/>
      <c r="MM13" s="529"/>
      <c r="MN13" s="529"/>
      <c r="MO13" s="529"/>
      <c r="MP13" s="529"/>
      <c r="MQ13" s="529"/>
      <c r="MR13" s="529"/>
      <c r="MS13" s="529"/>
      <c r="MT13" s="529"/>
      <c r="MU13" s="529"/>
      <c r="MV13" s="529"/>
      <c r="MW13" s="529"/>
      <c r="MX13" s="529"/>
      <c r="MY13" s="529"/>
      <c r="MZ13" s="529"/>
      <c r="NA13" s="529"/>
      <c r="NB13" s="529"/>
      <c r="NC13" s="529"/>
      <c r="ND13" s="529"/>
      <c r="NE13" s="529"/>
      <c r="NF13" s="529"/>
      <c r="NG13" s="529"/>
      <c r="NH13" s="529"/>
      <c r="NI13" s="529"/>
      <c r="NJ13" s="529"/>
      <c r="NK13" s="529"/>
      <c r="NL13" s="529"/>
      <c r="NM13" s="529"/>
      <c r="NN13" s="529"/>
      <c r="NO13" s="529"/>
      <c r="NP13" s="529"/>
      <c r="NQ13" s="529"/>
      <c r="NR13" s="529"/>
      <c r="NS13" s="529"/>
      <c r="NT13" s="529"/>
      <c r="NU13" s="529"/>
      <c r="NV13" s="529"/>
      <c r="NW13" s="529"/>
      <c r="NX13" s="529"/>
      <c r="NY13" s="529"/>
      <c r="NZ13" s="529"/>
      <c r="OA13" s="529"/>
      <c r="OB13" s="529"/>
      <c r="OC13" s="529"/>
      <c r="OD13" s="529"/>
      <c r="OE13" s="529"/>
      <c r="OF13" s="529"/>
      <c r="OG13" s="529"/>
      <c r="OH13" s="529"/>
      <c r="OI13" s="529"/>
      <c r="OJ13" s="529"/>
      <c r="OK13" s="529"/>
      <c r="OL13" s="529"/>
      <c r="OM13" s="529"/>
      <c r="ON13" s="529"/>
      <c r="OO13" s="529"/>
      <c r="OP13" s="529"/>
      <c r="OQ13" s="529"/>
      <c r="OR13" s="529"/>
      <c r="OS13" s="529"/>
      <c r="OT13" s="529"/>
      <c r="OU13" s="529"/>
      <c r="OV13" s="529"/>
      <c r="OW13" s="529"/>
      <c r="OX13" s="529"/>
      <c r="OY13" s="529"/>
      <c r="OZ13" s="529"/>
      <c r="PA13" s="529"/>
      <c r="PB13" s="529"/>
      <c r="PC13" s="529"/>
      <c r="PD13" s="529"/>
      <c r="PE13" s="529"/>
      <c r="PF13" s="529"/>
      <c r="PG13" s="529"/>
      <c r="PH13" s="529"/>
      <c r="PI13" s="529"/>
      <c r="PJ13" s="529"/>
      <c r="PK13" s="529"/>
      <c r="PL13" s="529"/>
      <c r="PM13" s="529"/>
      <c r="PN13" s="529"/>
      <c r="PO13" s="529"/>
      <c r="PP13" s="529"/>
      <c r="PQ13" s="529"/>
      <c r="PR13" s="529"/>
      <c r="PS13" s="529"/>
      <c r="PT13" s="529"/>
      <c r="PU13" s="529"/>
      <c r="PV13" s="529"/>
      <c r="PW13" s="529"/>
      <c r="PX13" s="529"/>
      <c r="PY13" s="529"/>
      <c r="PZ13" s="529"/>
      <c r="QA13" s="529"/>
      <c r="QB13" s="529"/>
      <c r="QC13" s="529"/>
      <c r="QD13" s="529"/>
      <c r="QE13" s="529"/>
      <c r="QF13" s="529"/>
      <c r="QG13" s="529"/>
      <c r="QH13" s="529"/>
      <c r="QI13" s="529"/>
      <c r="QJ13" s="529"/>
      <c r="QK13" s="529"/>
      <c r="QL13" s="529"/>
      <c r="QM13" s="529"/>
      <c r="QN13" s="529"/>
      <c r="QO13" s="529"/>
      <c r="QP13" s="529"/>
      <c r="QQ13" s="529"/>
      <c r="QR13" s="529"/>
      <c r="QS13" s="529"/>
      <c r="QT13" s="529"/>
      <c r="QU13" s="529"/>
      <c r="QV13" s="529"/>
      <c r="QW13" s="529"/>
      <c r="QX13" s="529"/>
      <c r="QY13" s="529"/>
      <c r="QZ13" s="529"/>
      <c r="RA13" s="529"/>
      <c r="RB13" s="529"/>
      <c r="RC13" s="529"/>
      <c r="RD13" s="529"/>
      <c r="RE13" s="529"/>
      <c r="RF13" s="529"/>
      <c r="RG13" s="529"/>
      <c r="RH13" s="529"/>
      <c r="RI13" s="529"/>
      <c r="RJ13" s="529"/>
      <c r="RK13" s="529"/>
      <c r="RL13" s="529"/>
      <c r="RM13" s="529"/>
      <c r="RN13" s="529"/>
      <c r="RO13" s="529"/>
      <c r="RP13" s="529"/>
      <c r="RQ13" s="529"/>
      <c r="RR13" s="529"/>
      <c r="RS13" s="529"/>
      <c r="RT13" s="529"/>
      <c r="RU13" s="529"/>
      <c r="RV13" s="529"/>
      <c r="RW13" s="529"/>
      <c r="RX13" s="529"/>
    </row>
    <row r="14" spans="1:492" s="530" customFormat="1" ht="20.149999999999999" customHeight="1">
      <c r="A14" s="549" t="s">
        <v>123</v>
      </c>
      <c r="B14" s="574" t="s">
        <v>118</v>
      </c>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63"/>
      <c r="AN14" s="532"/>
      <c r="AO14" s="532"/>
      <c r="AP14" s="532"/>
      <c r="AQ14" s="564"/>
      <c r="AR14" s="533"/>
      <c r="AS14" s="533"/>
      <c r="AT14" s="533"/>
      <c r="AU14" s="533"/>
      <c r="AV14" s="533"/>
      <c r="AW14" s="532"/>
      <c r="AX14" s="532"/>
      <c r="AY14" s="532"/>
      <c r="AZ14" s="532"/>
      <c r="BA14" s="532"/>
      <c r="BB14" s="570"/>
      <c r="BC14" s="534"/>
      <c r="BD14" s="534"/>
      <c r="BE14" s="534"/>
      <c r="BF14" s="559"/>
      <c r="BG14" s="534"/>
      <c r="BH14" s="534"/>
      <c r="BI14" s="534"/>
      <c r="BJ14" s="534"/>
      <c r="BK14" s="578"/>
      <c r="BL14" s="748">
        <v>0</v>
      </c>
      <c r="BM14" s="761">
        <v>3.7</v>
      </c>
      <c r="BN14" s="534">
        <f>14-BM14-BL14</f>
        <v>10.3</v>
      </c>
      <c r="BO14" s="534">
        <f>17.2-BN14-BM14</f>
        <v>3.1999999999999984</v>
      </c>
      <c r="BP14" s="578">
        <f t="shared" si="16"/>
        <v>17.2</v>
      </c>
      <c r="BQ14" s="534">
        <f t="shared" ref="BQ14:BR14" si="19">BQ23</f>
        <v>7</v>
      </c>
      <c r="BR14" s="534">
        <f t="shared" si="19"/>
        <v>6</v>
      </c>
      <c r="BS14" s="534">
        <v>8.6999999999999993</v>
      </c>
      <c r="BT14" s="534">
        <v>5.3</v>
      </c>
      <c r="BU14" s="578">
        <f t="shared" si="18"/>
        <v>27</v>
      </c>
      <c r="BW14" s="529"/>
      <c r="BX14" s="994"/>
      <c r="BY14" s="529"/>
      <c r="BZ14" s="529"/>
      <c r="CA14" s="529"/>
      <c r="CB14" s="529"/>
      <c r="CC14" s="529"/>
      <c r="CD14" s="529"/>
      <c r="CE14" s="529"/>
      <c r="CF14" s="529"/>
      <c r="CG14" s="529"/>
      <c r="CH14" s="529"/>
      <c r="CI14" s="529"/>
      <c r="CJ14" s="529"/>
      <c r="CK14" s="529"/>
      <c r="CL14" s="529"/>
      <c r="CM14" s="529"/>
      <c r="CN14" s="529"/>
      <c r="CO14" s="529"/>
      <c r="CP14" s="529"/>
      <c r="CQ14" s="529"/>
      <c r="CR14" s="529"/>
      <c r="CS14" s="529"/>
      <c r="CT14" s="529"/>
      <c r="CU14" s="529"/>
      <c r="CV14" s="529"/>
      <c r="CW14" s="529"/>
      <c r="CX14" s="529"/>
      <c r="CY14" s="529"/>
      <c r="CZ14" s="529"/>
      <c r="DA14" s="529"/>
      <c r="DB14" s="529"/>
      <c r="DC14" s="529"/>
      <c r="DD14" s="529"/>
      <c r="DE14" s="529"/>
      <c r="DF14" s="529"/>
      <c r="DG14" s="529"/>
      <c r="DH14" s="529"/>
      <c r="DI14" s="529"/>
      <c r="DJ14" s="529"/>
      <c r="DK14" s="529"/>
      <c r="DL14" s="529"/>
      <c r="DM14" s="529"/>
      <c r="DN14" s="529"/>
      <c r="DO14" s="529"/>
      <c r="DP14" s="529"/>
      <c r="DQ14" s="529"/>
      <c r="DR14" s="529"/>
      <c r="DS14" s="529"/>
      <c r="DT14" s="529"/>
      <c r="DU14" s="529"/>
      <c r="DV14" s="529"/>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c r="FN14" s="529"/>
      <c r="FO14" s="529"/>
      <c r="FP14" s="529"/>
      <c r="FQ14" s="529"/>
      <c r="FR14" s="529"/>
      <c r="FS14" s="529"/>
      <c r="FT14" s="529"/>
      <c r="FU14" s="529"/>
      <c r="FV14" s="529"/>
      <c r="FW14" s="529"/>
      <c r="FX14" s="529"/>
      <c r="FY14" s="529"/>
      <c r="FZ14" s="529"/>
      <c r="GA14" s="529"/>
      <c r="GB14" s="529"/>
      <c r="GC14" s="529"/>
      <c r="GD14" s="529"/>
      <c r="GE14" s="529"/>
      <c r="GF14" s="529"/>
      <c r="GG14" s="529"/>
      <c r="GH14" s="529"/>
      <c r="GI14" s="529"/>
      <c r="GJ14" s="529"/>
      <c r="GK14" s="529"/>
      <c r="GL14" s="529"/>
      <c r="GM14" s="529"/>
      <c r="GN14" s="529"/>
      <c r="GO14" s="529"/>
      <c r="GP14" s="529"/>
      <c r="GQ14" s="529"/>
      <c r="GR14" s="529"/>
      <c r="GS14" s="529"/>
      <c r="GT14" s="529"/>
      <c r="GU14" s="529"/>
      <c r="GV14" s="529"/>
      <c r="GW14" s="529"/>
      <c r="GX14" s="529"/>
      <c r="GY14" s="529"/>
      <c r="GZ14" s="529"/>
      <c r="HA14" s="529"/>
      <c r="HB14" s="529"/>
      <c r="HC14" s="529"/>
      <c r="HD14" s="529"/>
      <c r="HE14" s="529"/>
      <c r="HF14" s="529"/>
      <c r="HG14" s="529"/>
      <c r="HH14" s="529"/>
      <c r="HI14" s="529"/>
      <c r="HJ14" s="529"/>
      <c r="HK14" s="529"/>
      <c r="HL14" s="529"/>
      <c r="HM14" s="529"/>
      <c r="HN14" s="529"/>
      <c r="HO14" s="529"/>
      <c r="HP14" s="529"/>
      <c r="HQ14" s="529"/>
      <c r="HR14" s="529"/>
      <c r="HS14" s="529"/>
      <c r="HT14" s="529"/>
      <c r="HU14" s="529"/>
      <c r="HV14" s="529"/>
      <c r="HW14" s="529"/>
      <c r="HX14" s="529"/>
      <c r="HY14" s="529"/>
      <c r="HZ14" s="529"/>
      <c r="IA14" s="529"/>
      <c r="IB14" s="529"/>
      <c r="IC14" s="529"/>
      <c r="ID14" s="529"/>
      <c r="IE14" s="529"/>
      <c r="IF14" s="529"/>
      <c r="IG14" s="529"/>
      <c r="IH14" s="529"/>
      <c r="II14" s="529"/>
      <c r="IJ14" s="529"/>
      <c r="IK14" s="529"/>
      <c r="IL14" s="529"/>
      <c r="IM14" s="529"/>
      <c r="IN14" s="529"/>
      <c r="IO14" s="529"/>
      <c r="IP14" s="529"/>
      <c r="IQ14" s="529"/>
      <c r="IR14" s="529"/>
      <c r="IS14" s="529"/>
      <c r="IT14" s="529"/>
      <c r="IU14" s="529"/>
      <c r="IV14" s="529"/>
      <c r="IW14" s="529"/>
      <c r="IX14" s="529"/>
      <c r="IY14" s="529"/>
      <c r="IZ14" s="529"/>
      <c r="JA14" s="529"/>
      <c r="JB14" s="529"/>
      <c r="JC14" s="529"/>
      <c r="JD14" s="529"/>
      <c r="JE14" s="529"/>
      <c r="JF14" s="529"/>
      <c r="JG14" s="529"/>
      <c r="JH14" s="529"/>
      <c r="JI14" s="529"/>
      <c r="JJ14" s="529"/>
      <c r="JK14" s="529"/>
      <c r="JL14" s="529"/>
      <c r="JM14" s="529"/>
      <c r="JN14" s="529"/>
      <c r="JO14" s="529"/>
      <c r="JP14" s="529"/>
      <c r="JQ14" s="529"/>
      <c r="JR14" s="529"/>
      <c r="JS14" s="529"/>
      <c r="JT14" s="529"/>
      <c r="JU14" s="529"/>
      <c r="JV14" s="529"/>
      <c r="JW14" s="529"/>
      <c r="JX14" s="529"/>
      <c r="JY14" s="529"/>
      <c r="JZ14" s="529"/>
      <c r="KA14" s="529"/>
      <c r="KB14" s="529"/>
      <c r="KC14" s="529"/>
      <c r="KD14" s="529"/>
      <c r="KE14" s="529"/>
      <c r="KF14" s="529"/>
      <c r="KG14" s="529"/>
      <c r="KH14" s="529"/>
      <c r="KI14" s="529"/>
      <c r="KJ14" s="529"/>
      <c r="KK14" s="529"/>
      <c r="KL14" s="529"/>
      <c r="KM14" s="529"/>
      <c r="KN14" s="529"/>
      <c r="KO14" s="529"/>
      <c r="KP14" s="529"/>
      <c r="KQ14" s="529"/>
      <c r="KR14" s="529"/>
      <c r="KS14" s="529"/>
      <c r="KT14" s="529"/>
      <c r="KU14" s="529"/>
      <c r="KV14" s="529"/>
      <c r="KW14" s="529"/>
      <c r="KX14" s="529"/>
      <c r="KY14" s="529"/>
      <c r="KZ14" s="529"/>
      <c r="LA14" s="529"/>
      <c r="LB14" s="529"/>
      <c r="LC14" s="529"/>
      <c r="LD14" s="529"/>
      <c r="LE14" s="529"/>
      <c r="LF14" s="529"/>
      <c r="LG14" s="529"/>
      <c r="LH14" s="529"/>
      <c r="LI14" s="529"/>
      <c r="LJ14" s="529"/>
      <c r="LK14" s="529"/>
      <c r="LL14" s="529"/>
      <c r="LM14" s="529"/>
      <c r="LN14" s="529"/>
      <c r="LO14" s="529"/>
      <c r="LP14" s="529"/>
      <c r="LQ14" s="529"/>
      <c r="LR14" s="529"/>
      <c r="LS14" s="529"/>
      <c r="LT14" s="529"/>
      <c r="LU14" s="529"/>
      <c r="LV14" s="529"/>
      <c r="LW14" s="529"/>
      <c r="LX14" s="529"/>
      <c r="LY14" s="529"/>
      <c r="LZ14" s="529"/>
      <c r="MA14" s="529"/>
      <c r="MB14" s="529"/>
      <c r="MC14" s="529"/>
      <c r="MD14" s="529"/>
      <c r="ME14" s="529"/>
      <c r="MF14" s="529"/>
      <c r="MG14" s="529"/>
      <c r="MH14" s="529"/>
      <c r="MI14" s="529"/>
      <c r="MJ14" s="529"/>
      <c r="MK14" s="529"/>
      <c r="ML14" s="529"/>
      <c r="MM14" s="529"/>
      <c r="MN14" s="529"/>
      <c r="MO14" s="529"/>
      <c r="MP14" s="529"/>
      <c r="MQ14" s="529"/>
      <c r="MR14" s="529"/>
      <c r="MS14" s="529"/>
      <c r="MT14" s="529"/>
      <c r="MU14" s="529"/>
      <c r="MV14" s="529"/>
      <c r="MW14" s="529"/>
      <c r="MX14" s="529"/>
      <c r="MY14" s="529"/>
      <c r="MZ14" s="529"/>
      <c r="NA14" s="529"/>
      <c r="NB14" s="529"/>
      <c r="NC14" s="529"/>
      <c r="ND14" s="529"/>
      <c r="NE14" s="529"/>
      <c r="NF14" s="529"/>
      <c r="NG14" s="529"/>
      <c r="NH14" s="529"/>
      <c r="NI14" s="529"/>
      <c r="NJ14" s="529"/>
      <c r="NK14" s="529"/>
      <c r="NL14" s="529"/>
      <c r="NM14" s="529"/>
      <c r="NN14" s="529"/>
      <c r="NO14" s="529"/>
      <c r="NP14" s="529"/>
      <c r="NQ14" s="529"/>
      <c r="NR14" s="529"/>
      <c r="NS14" s="529"/>
      <c r="NT14" s="529"/>
      <c r="NU14" s="529"/>
      <c r="NV14" s="529"/>
      <c r="NW14" s="529"/>
      <c r="NX14" s="529"/>
      <c r="NY14" s="529"/>
      <c r="NZ14" s="529"/>
      <c r="OA14" s="529"/>
      <c r="OB14" s="529"/>
      <c r="OC14" s="529"/>
      <c r="OD14" s="529"/>
      <c r="OE14" s="529"/>
      <c r="OF14" s="529"/>
      <c r="OG14" s="529"/>
      <c r="OH14" s="529"/>
      <c r="OI14" s="529"/>
      <c r="OJ14" s="529"/>
      <c r="OK14" s="529"/>
      <c r="OL14" s="529"/>
      <c r="OM14" s="529"/>
      <c r="ON14" s="529"/>
      <c r="OO14" s="529"/>
      <c r="OP14" s="529"/>
      <c r="OQ14" s="529"/>
      <c r="OR14" s="529"/>
      <c r="OS14" s="529"/>
      <c r="OT14" s="529"/>
      <c r="OU14" s="529"/>
      <c r="OV14" s="529"/>
      <c r="OW14" s="529"/>
      <c r="OX14" s="529"/>
      <c r="OY14" s="529"/>
      <c r="OZ14" s="529"/>
      <c r="PA14" s="529"/>
      <c r="PB14" s="529"/>
      <c r="PC14" s="529"/>
      <c r="PD14" s="529"/>
      <c r="PE14" s="529"/>
      <c r="PF14" s="529"/>
      <c r="PG14" s="529"/>
      <c r="PH14" s="529"/>
      <c r="PI14" s="529"/>
      <c r="PJ14" s="529"/>
      <c r="PK14" s="529"/>
      <c r="PL14" s="529"/>
      <c r="PM14" s="529"/>
      <c r="PN14" s="529"/>
      <c r="PO14" s="529"/>
      <c r="PP14" s="529"/>
      <c r="PQ14" s="529"/>
      <c r="PR14" s="529"/>
      <c r="PS14" s="529"/>
      <c r="PT14" s="529"/>
      <c r="PU14" s="529"/>
      <c r="PV14" s="529"/>
      <c r="PW14" s="529"/>
      <c r="PX14" s="529"/>
      <c r="PY14" s="529"/>
      <c r="PZ14" s="529"/>
      <c r="QA14" s="529"/>
      <c r="QB14" s="529"/>
      <c r="QC14" s="529"/>
      <c r="QD14" s="529"/>
      <c r="QE14" s="529"/>
      <c r="QF14" s="529"/>
      <c r="QG14" s="529"/>
      <c r="QH14" s="529"/>
      <c r="QI14" s="529"/>
      <c r="QJ14" s="529"/>
      <c r="QK14" s="529"/>
      <c r="QL14" s="529"/>
      <c r="QM14" s="529"/>
      <c r="QN14" s="529"/>
      <c r="QO14" s="529"/>
      <c r="QP14" s="529"/>
      <c r="QQ14" s="529"/>
      <c r="QR14" s="529"/>
      <c r="QS14" s="529"/>
      <c r="QT14" s="529"/>
      <c r="QU14" s="529"/>
      <c r="QV14" s="529"/>
      <c r="QW14" s="529"/>
      <c r="QX14" s="529"/>
      <c r="QY14" s="529"/>
      <c r="QZ14" s="529"/>
      <c r="RA14" s="529"/>
      <c r="RB14" s="529"/>
      <c r="RC14" s="529"/>
      <c r="RD14" s="529"/>
      <c r="RE14" s="529"/>
      <c r="RF14" s="529"/>
      <c r="RG14" s="529"/>
      <c r="RH14" s="529"/>
      <c r="RI14" s="529"/>
      <c r="RJ14" s="529"/>
      <c r="RK14" s="529"/>
      <c r="RL14" s="529"/>
      <c r="RM14" s="529"/>
      <c r="RN14" s="529"/>
      <c r="RO14" s="529"/>
      <c r="RP14" s="529"/>
      <c r="RQ14" s="529"/>
      <c r="RR14" s="529"/>
      <c r="RS14" s="529"/>
      <c r="RT14" s="529"/>
      <c r="RU14" s="529"/>
      <c r="RV14" s="529"/>
      <c r="RW14" s="529"/>
      <c r="RX14" s="529"/>
    </row>
    <row r="15" spans="1:492" s="530" customFormat="1" ht="20.149999999999999" customHeight="1">
      <c r="A15" s="549" t="s">
        <v>734</v>
      </c>
      <c r="B15" s="574" t="s">
        <v>735</v>
      </c>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63"/>
      <c r="AN15" s="532"/>
      <c r="AO15" s="532"/>
      <c r="AP15" s="532"/>
      <c r="AQ15" s="564"/>
      <c r="AR15" s="533"/>
      <c r="AS15" s="533"/>
      <c r="AT15" s="533"/>
      <c r="AU15" s="533"/>
      <c r="AV15" s="533"/>
      <c r="AW15" s="532"/>
      <c r="AX15" s="532"/>
      <c r="AY15" s="532"/>
      <c r="AZ15" s="532"/>
      <c r="BA15" s="532"/>
      <c r="BB15" s="570"/>
      <c r="BC15" s="534"/>
      <c r="BD15" s="534"/>
      <c r="BE15" s="534"/>
      <c r="BF15" s="559"/>
      <c r="BG15" s="534"/>
      <c r="BH15" s="534"/>
      <c r="BI15" s="534"/>
      <c r="BJ15" s="534"/>
      <c r="BK15" s="578"/>
      <c r="BL15" s="748"/>
      <c r="BM15" s="761"/>
      <c r="BN15" s="534"/>
      <c r="BO15" s="534"/>
      <c r="BP15" s="578"/>
      <c r="BQ15" s="534">
        <f t="shared" ref="BQ15:BR15" si="20">BQ24</f>
        <v>0</v>
      </c>
      <c r="BR15" s="534">
        <f t="shared" si="20"/>
        <v>0</v>
      </c>
      <c r="BS15" s="534">
        <v>25.9</v>
      </c>
      <c r="BT15" s="762">
        <v>-1.4</v>
      </c>
      <c r="BU15" s="578">
        <f t="shared" si="18"/>
        <v>24.5</v>
      </c>
      <c r="BW15" s="529"/>
      <c r="BX15" s="529"/>
      <c r="BY15" s="529"/>
      <c r="BZ15" s="529"/>
      <c r="CA15" s="529"/>
      <c r="CB15" s="529"/>
      <c r="CC15" s="529"/>
      <c r="CD15" s="529"/>
      <c r="CE15" s="529"/>
      <c r="CF15" s="529"/>
      <c r="CG15" s="529"/>
      <c r="CH15" s="529"/>
      <c r="CI15" s="529"/>
      <c r="CJ15" s="529"/>
      <c r="CK15" s="529"/>
      <c r="CL15" s="529"/>
      <c r="CM15" s="529"/>
      <c r="CN15" s="529"/>
      <c r="CO15" s="529"/>
      <c r="CP15" s="529"/>
      <c r="CQ15" s="529"/>
      <c r="CR15" s="529"/>
      <c r="CS15" s="529"/>
      <c r="CT15" s="529"/>
      <c r="CU15" s="529"/>
      <c r="CV15" s="529"/>
      <c r="CW15" s="529"/>
      <c r="CX15" s="529"/>
      <c r="CY15" s="529"/>
      <c r="CZ15" s="529"/>
      <c r="DA15" s="529"/>
      <c r="DB15" s="529"/>
      <c r="DC15" s="529"/>
      <c r="DD15" s="529"/>
      <c r="DE15" s="529"/>
      <c r="DF15" s="529"/>
      <c r="DG15" s="529"/>
      <c r="DH15" s="529"/>
      <c r="DI15" s="529"/>
      <c r="DJ15" s="529"/>
      <c r="DK15" s="529"/>
      <c r="DL15" s="529"/>
      <c r="DM15" s="529"/>
      <c r="DN15" s="529"/>
      <c r="DO15" s="529"/>
      <c r="DP15" s="529"/>
      <c r="DQ15" s="529"/>
      <c r="DR15" s="529"/>
      <c r="DS15" s="529"/>
      <c r="DT15" s="529"/>
      <c r="DU15" s="529"/>
      <c r="DV15" s="529"/>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29"/>
      <c r="GD15" s="529"/>
      <c r="GE15" s="529"/>
      <c r="GF15" s="529"/>
      <c r="GG15" s="529"/>
      <c r="GH15" s="529"/>
      <c r="GI15" s="529"/>
      <c r="GJ15" s="529"/>
      <c r="GK15" s="529"/>
      <c r="GL15" s="529"/>
      <c r="GM15" s="529"/>
      <c r="GN15" s="529"/>
      <c r="GO15" s="529"/>
      <c r="GP15" s="529"/>
      <c r="GQ15" s="529"/>
      <c r="GR15" s="529"/>
      <c r="GS15" s="529"/>
      <c r="GT15" s="529"/>
      <c r="GU15" s="529"/>
      <c r="GV15" s="529"/>
      <c r="GW15" s="529"/>
      <c r="GX15" s="529"/>
      <c r="GY15" s="529"/>
      <c r="GZ15" s="529"/>
      <c r="HA15" s="529"/>
      <c r="HB15" s="529"/>
      <c r="HC15" s="529"/>
      <c r="HD15" s="529"/>
      <c r="HE15" s="529"/>
      <c r="HF15" s="529"/>
      <c r="HG15" s="529"/>
      <c r="HH15" s="529"/>
      <c r="HI15" s="529"/>
      <c r="HJ15" s="529"/>
      <c r="HK15" s="529"/>
      <c r="HL15" s="529"/>
      <c r="HM15" s="529"/>
      <c r="HN15" s="529"/>
      <c r="HO15" s="529"/>
      <c r="HP15" s="529"/>
      <c r="HQ15" s="529"/>
      <c r="HR15" s="529"/>
      <c r="HS15" s="529"/>
      <c r="HT15" s="529"/>
      <c r="HU15" s="529"/>
      <c r="HV15" s="529"/>
      <c r="HW15" s="529"/>
      <c r="HX15" s="529"/>
      <c r="HY15" s="529"/>
      <c r="HZ15" s="529"/>
      <c r="IA15" s="529"/>
      <c r="IB15" s="529"/>
      <c r="IC15" s="529"/>
      <c r="ID15" s="529"/>
      <c r="IE15" s="529"/>
      <c r="IF15" s="529"/>
      <c r="IG15" s="529"/>
      <c r="IH15" s="529"/>
      <c r="II15" s="529"/>
      <c r="IJ15" s="529"/>
      <c r="IK15" s="529"/>
      <c r="IL15" s="529"/>
      <c r="IM15" s="529"/>
      <c r="IN15" s="529"/>
      <c r="IO15" s="529"/>
      <c r="IP15" s="529"/>
      <c r="IQ15" s="529"/>
      <c r="IR15" s="529"/>
      <c r="IS15" s="529"/>
      <c r="IT15" s="529"/>
      <c r="IU15" s="529"/>
      <c r="IV15" s="529"/>
      <c r="IW15" s="529"/>
      <c r="IX15" s="529"/>
      <c r="IY15" s="529"/>
      <c r="IZ15" s="529"/>
      <c r="JA15" s="529"/>
      <c r="JB15" s="529"/>
      <c r="JC15" s="529"/>
      <c r="JD15" s="529"/>
      <c r="JE15" s="529"/>
      <c r="JF15" s="529"/>
      <c r="JG15" s="529"/>
      <c r="JH15" s="529"/>
      <c r="JI15" s="529"/>
      <c r="JJ15" s="529"/>
      <c r="JK15" s="529"/>
      <c r="JL15" s="529"/>
      <c r="JM15" s="529"/>
      <c r="JN15" s="529"/>
      <c r="JO15" s="529"/>
      <c r="JP15" s="529"/>
      <c r="JQ15" s="529"/>
      <c r="JR15" s="529"/>
      <c r="JS15" s="529"/>
      <c r="JT15" s="529"/>
      <c r="JU15" s="529"/>
      <c r="JV15" s="529"/>
      <c r="JW15" s="529"/>
      <c r="JX15" s="529"/>
      <c r="JY15" s="529"/>
      <c r="JZ15" s="529"/>
      <c r="KA15" s="529"/>
      <c r="KB15" s="529"/>
      <c r="KC15" s="529"/>
      <c r="KD15" s="529"/>
      <c r="KE15" s="529"/>
      <c r="KF15" s="529"/>
      <c r="KG15" s="529"/>
      <c r="KH15" s="529"/>
      <c r="KI15" s="529"/>
      <c r="KJ15" s="529"/>
      <c r="KK15" s="529"/>
      <c r="KL15" s="529"/>
      <c r="KM15" s="529"/>
      <c r="KN15" s="529"/>
      <c r="KO15" s="529"/>
      <c r="KP15" s="529"/>
      <c r="KQ15" s="529"/>
      <c r="KR15" s="529"/>
      <c r="KS15" s="529"/>
      <c r="KT15" s="529"/>
      <c r="KU15" s="529"/>
      <c r="KV15" s="529"/>
      <c r="KW15" s="529"/>
      <c r="KX15" s="529"/>
      <c r="KY15" s="529"/>
      <c r="KZ15" s="529"/>
      <c r="LA15" s="529"/>
      <c r="LB15" s="529"/>
      <c r="LC15" s="529"/>
      <c r="LD15" s="529"/>
      <c r="LE15" s="529"/>
      <c r="LF15" s="529"/>
      <c r="LG15" s="529"/>
      <c r="LH15" s="529"/>
      <c r="LI15" s="529"/>
      <c r="LJ15" s="529"/>
      <c r="LK15" s="529"/>
      <c r="LL15" s="529"/>
      <c r="LM15" s="529"/>
      <c r="LN15" s="529"/>
      <c r="LO15" s="529"/>
      <c r="LP15" s="529"/>
      <c r="LQ15" s="529"/>
      <c r="LR15" s="529"/>
      <c r="LS15" s="529"/>
      <c r="LT15" s="529"/>
      <c r="LU15" s="529"/>
      <c r="LV15" s="529"/>
      <c r="LW15" s="529"/>
      <c r="LX15" s="529"/>
      <c r="LY15" s="529"/>
      <c r="LZ15" s="529"/>
      <c r="MA15" s="529"/>
      <c r="MB15" s="529"/>
      <c r="MC15" s="529"/>
      <c r="MD15" s="529"/>
      <c r="ME15" s="529"/>
      <c r="MF15" s="529"/>
      <c r="MG15" s="529"/>
      <c r="MH15" s="529"/>
      <c r="MI15" s="529"/>
      <c r="MJ15" s="529"/>
      <c r="MK15" s="529"/>
      <c r="ML15" s="529"/>
      <c r="MM15" s="529"/>
      <c r="MN15" s="529"/>
      <c r="MO15" s="529"/>
      <c r="MP15" s="529"/>
      <c r="MQ15" s="529"/>
      <c r="MR15" s="529"/>
      <c r="MS15" s="529"/>
      <c r="MT15" s="529"/>
      <c r="MU15" s="529"/>
      <c r="MV15" s="529"/>
      <c r="MW15" s="529"/>
      <c r="MX15" s="529"/>
      <c r="MY15" s="529"/>
      <c r="MZ15" s="529"/>
      <c r="NA15" s="529"/>
      <c r="NB15" s="529"/>
      <c r="NC15" s="529"/>
      <c r="ND15" s="529"/>
      <c r="NE15" s="529"/>
      <c r="NF15" s="529"/>
      <c r="NG15" s="529"/>
      <c r="NH15" s="529"/>
      <c r="NI15" s="529"/>
      <c r="NJ15" s="529"/>
      <c r="NK15" s="529"/>
      <c r="NL15" s="529"/>
      <c r="NM15" s="529"/>
      <c r="NN15" s="529"/>
      <c r="NO15" s="529"/>
      <c r="NP15" s="529"/>
      <c r="NQ15" s="529"/>
      <c r="NR15" s="529"/>
      <c r="NS15" s="529"/>
      <c r="NT15" s="529"/>
      <c r="NU15" s="529"/>
      <c r="NV15" s="529"/>
      <c r="NW15" s="529"/>
      <c r="NX15" s="529"/>
      <c r="NY15" s="529"/>
      <c r="NZ15" s="529"/>
      <c r="OA15" s="529"/>
      <c r="OB15" s="529"/>
      <c r="OC15" s="529"/>
      <c r="OD15" s="529"/>
      <c r="OE15" s="529"/>
      <c r="OF15" s="529"/>
      <c r="OG15" s="529"/>
      <c r="OH15" s="529"/>
      <c r="OI15" s="529"/>
      <c r="OJ15" s="529"/>
      <c r="OK15" s="529"/>
      <c r="OL15" s="529"/>
      <c r="OM15" s="529"/>
      <c r="ON15" s="529"/>
      <c r="OO15" s="529"/>
      <c r="OP15" s="529"/>
      <c r="OQ15" s="529"/>
      <c r="OR15" s="529"/>
      <c r="OS15" s="529"/>
      <c r="OT15" s="529"/>
      <c r="OU15" s="529"/>
      <c r="OV15" s="529"/>
      <c r="OW15" s="529"/>
      <c r="OX15" s="529"/>
      <c r="OY15" s="529"/>
      <c r="OZ15" s="529"/>
      <c r="PA15" s="529"/>
      <c r="PB15" s="529"/>
      <c r="PC15" s="529"/>
      <c r="PD15" s="529"/>
      <c r="PE15" s="529"/>
      <c r="PF15" s="529"/>
      <c r="PG15" s="529"/>
      <c r="PH15" s="529"/>
      <c r="PI15" s="529"/>
      <c r="PJ15" s="529"/>
      <c r="PK15" s="529"/>
      <c r="PL15" s="529"/>
      <c r="PM15" s="529"/>
      <c r="PN15" s="529"/>
      <c r="PO15" s="529"/>
      <c r="PP15" s="529"/>
      <c r="PQ15" s="529"/>
      <c r="PR15" s="529"/>
      <c r="PS15" s="529"/>
      <c r="PT15" s="529"/>
      <c r="PU15" s="529"/>
      <c r="PV15" s="529"/>
      <c r="PW15" s="529"/>
      <c r="PX15" s="529"/>
      <c r="PY15" s="529"/>
      <c r="PZ15" s="529"/>
      <c r="QA15" s="529"/>
      <c r="QB15" s="529"/>
      <c r="QC15" s="529"/>
      <c r="QD15" s="529"/>
      <c r="QE15" s="529"/>
      <c r="QF15" s="529"/>
      <c r="QG15" s="529"/>
      <c r="QH15" s="529"/>
      <c r="QI15" s="529"/>
      <c r="QJ15" s="529"/>
      <c r="QK15" s="529"/>
      <c r="QL15" s="529"/>
      <c r="QM15" s="529"/>
      <c r="QN15" s="529"/>
      <c r="QO15" s="529"/>
      <c r="QP15" s="529"/>
      <c r="QQ15" s="529"/>
      <c r="QR15" s="529"/>
      <c r="QS15" s="529"/>
      <c r="QT15" s="529"/>
      <c r="QU15" s="529"/>
      <c r="QV15" s="529"/>
      <c r="QW15" s="529"/>
      <c r="QX15" s="529"/>
      <c r="QY15" s="529"/>
      <c r="QZ15" s="529"/>
      <c r="RA15" s="529"/>
      <c r="RB15" s="529"/>
      <c r="RC15" s="529"/>
      <c r="RD15" s="529"/>
      <c r="RE15" s="529"/>
      <c r="RF15" s="529"/>
      <c r="RG15" s="529"/>
      <c r="RH15" s="529"/>
      <c r="RI15" s="529"/>
      <c r="RJ15" s="529"/>
      <c r="RK15" s="529"/>
      <c r="RL15" s="529"/>
      <c r="RM15" s="529"/>
      <c r="RN15" s="529"/>
      <c r="RO15" s="529"/>
      <c r="RP15" s="529"/>
      <c r="RQ15" s="529"/>
      <c r="RR15" s="529"/>
      <c r="RS15" s="529"/>
      <c r="RT15" s="529"/>
      <c r="RU15" s="529"/>
      <c r="RV15" s="529"/>
      <c r="RW15" s="529"/>
      <c r="RX15" s="529"/>
    </row>
    <row r="16" spans="1:492" s="530" customFormat="1" ht="20.149999999999999" customHeight="1">
      <c r="A16" s="549" t="s">
        <v>119</v>
      </c>
      <c r="B16" s="574" t="s">
        <v>120</v>
      </c>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63"/>
      <c r="AN16" s="532"/>
      <c r="AO16" s="532"/>
      <c r="AP16" s="532"/>
      <c r="AQ16" s="564"/>
      <c r="AR16" s="533"/>
      <c r="AS16" s="533"/>
      <c r="AT16" s="533"/>
      <c r="AU16" s="533"/>
      <c r="AV16" s="533"/>
      <c r="AW16" s="532"/>
      <c r="AX16" s="532"/>
      <c r="AY16" s="532"/>
      <c r="AZ16" s="532"/>
      <c r="BA16" s="532"/>
      <c r="BB16" s="570"/>
      <c r="BC16" s="534"/>
      <c r="BD16" s="534"/>
      <c r="BE16" s="534"/>
      <c r="BF16" s="559"/>
      <c r="BG16" s="534"/>
      <c r="BH16" s="534"/>
      <c r="BI16" s="534"/>
      <c r="BJ16" s="534"/>
      <c r="BK16" s="578"/>
      <c r="BL16" s="748"/>
      <c r="BM16" s="762">
        <v>-2.2000000000000002</v>
      </c>
      <c r="BN16" s="762">
        <f>-7.9-BM16-BL16</f>
        <v>-5.7</v>
      </c>
      <c r="BO16" s="534">
        <f>-5.1-BN16-BM16</f>
        <v>2.8000000000000007</v>
      </c>
      <c r="BP16" s="578">
        <f t="shared" si="16"/>
        <v>-5.0999999999999996</v>
      </c>
      <c r="BQ16" s="762">
        <f t="shared" ref="BQ16:BR16" si="21">BQ25</f>
        <v>-1.5</v>
      </c>
      <c r="BR16" s="762">
        <f t="shared" si="21"/>
        <v>0.8</v>
      </c>
      <c r="BS16" s="762">
        <v>-1.2999999999999998</v>
      </c>
      <c r="BT16" s="762">
        <v>-3.1</v>
      </c>
      <c r="BU16" s="578">
        <f t="shared" si="18"/>
        <v>-5.0999999999999996</v>
      </c>
      <c r="BW16" s="529"/>
      <c r="BX16" s="529"/>
      <c r="BY16" s="529"/>
      <c r="BZ16" s="529"/>
      <c r="CA16" s="529"/>
      <c r="CB16" s="529"/>
      <c r="CC16" s="529"/>
      <c r="CD16" s="529"/>
      <c r="CE16" s="529"/>
      <c r="CF16" s="529"/>
      <c r="CG16" s="529"/>
      <c r="CH16" s="529"/>
      <c r="CI16" s="529"/>
      <c r="CJ16" s="529"/>
      <c r="CK16" s="529"/>
      <c r="CL16" s="529"/>
      <c r="CM16" s="529"/>
      <c r="CN16" s="529"/>
      <c r="CO16" s="529"/>
      <c r="CP16" s="529"/>
      <c r="CQ16" s="529"/>
      <c r="CR16" s="529"/>
      <c r="CS16" s="529"/>
      <c r="CT16" s="529"/>
      <c r="CU16" s="529"/>
      <c r="CV16" s="529"/>
      <c r="CW16" s="529"/>
      <c r="CX16" s="529"/>
      <c r="CY16" s="529"/>
      <c r="CZ16" s="529"/>
      <c r="DA16" s="529"/>
      <c r="DB16" s="529"/>
      <c r="DC16" s="529"/>
      <c r="DD16" s="529"/>
      <c r="DE16" s="529"/>
      <c r="DF16" s="529"/>
      <c r="DG16" s="529"/>
      <c r="DH16" s="529"/>
      <c r="DI16" s="529"/>
      <c r="DJ16" s="529"/>
      <c r="DK16" s="529"/>
      <c r="DL16" s="529"/>
      <c r="DM16" s="529"/>
      <c r="DN16" s="529"/>
      <c r="DO16" s="529"/>
      <c r="DP16" s="529"/>
      <c r="DQ16" s="529"/>
      <c r="DR16" s="529"/>
      <c r="DS16" s="529"/>
      <c r="DT16" s="529"/>
      <c r="DU16" s="529"/>
      <c r="DV16" s="529"/>
      <c r="DW16" s="529"/>
      <c r="DX16" s="529"/>
      <c r="DY16" s="529"/>
      <c r="DZ16" s="529"/>
      <c r="EA16" s="529"/>
      <c r="EB16" s="529"/>
      <c r="EC16" s="529"/>
      <c r="ED16" s="529"/>
      <c r="EE16" s="529"/>
      <c r="EF16" s="529"/>
      <c r="EG16" s="529"/>
      <c r="EH16" s="529"/>
      <c r="EI16" s="529"/>
      <c r="EJ16" s="529"/>
      <c r="EK16" s="529"/>
      <c r="EL16" s="529"/>
      <c r="EM16" s="529"/>
      <c r="EN16" s="529"/>
      <c r="EO16" s="529"/>
      <c r="EP16" s="529"/>
      <c r="EQ16" s="529"/>
      <c r="ER16" s="529"/>
      <c r="ES16" s="529"/>
      <c r="ET16" s="529"/>
      <c r="EU16" s="529"/>
      <c r="EV16" s="529"/>
      <c r="EW16" s="529"/>
      <c r="EX16" s="529"/>
      <c r="EY16" s="529"/>
      <c r="EZ16" s="529"/>
      <c r="FA16" s="529"/>
      <c r="FB16" s="529"/>
      <c r="FC16" s="529"/>
      <c r="FD16" s="529"/>
      <c r="FE16" s="529"/>
      <c r="FF16" s="529"/>
      <c r="FG16" s="529"/>
      <c r="FH16" s="529"/>
      <c r="FI16" s="529"/>
      <c r="FJ16" s="529"/>
      <c r="FK16" s="529"/>
      <c r="FL16" s="529"/>
      <c r="FM16" s="529"/>
      <c r="FN16" s="529"/>
      <c r="FO16" s="529"/>
      <c r="FP16" s="529"/>
      <c r="FQ16" s="529"/>
      <c r="FR16" s="529"/>
      <c r="FS16" s="529"/>
      <c r="FT16" s="529"/>
      <c r="FU16" s="529"/>
      <c r="FV16" s="529"/>
      <c r="FW16" s="529"/>
      <c r="FX16" s="529"/>
      <c r="FY16" s="529"/>
      <c r="FZ16" s="529"/>
      <c r="GA16" s="529"/>
      <c r="GB16" s="529"/>
      <c r="GC16" s="529"/>
      <c r="GD16" s="529"/>
      <c r="GE16" s="529"/>
      <c r="GF16" s="529"/>
      <c r="GG16" s="529"/>
      <c r="GH16" s="529"/>
      <c r="GI16" s="529"/>
      <c r="GJ16" s="529"/>
      <c r="GK16" s="529"/>
      <c r="GL16" s="529"/>
      <c r="GM16" s="529"/>
      <c r="GN16" s="529"/>
      <c r="GO16" s="529"/>
      <c r="GP16" s="529"/>
      <c r="GQ16" s="529"/>
      <c r="GR16" s="529"/>
      <c r="GS16" s="529"/>
      <c r="GT16" s="529"/>
      <c r="GU16" s="529"/>
      <c r="GV16" s="529"/>
      <c r="GW16" s="529"/>
      <c r="GX16" s="529"/>
      <c r="GY16" s="529"/>
      <c r="GZ16" s="529"/>
      <c r="HA16" s="529"/>
      <c r="HB16" s="529"/>
      <c r="HC16" s="529"/>
      <c r="HD16" s="529"/>
      <c r="HE16" s="529"/>
      <c r="HF16" s="529"/>
      <c r="HG16" s="529"/>
      <c r="HH16" s="529"/>
      <c r="HI16" s="529"/>
      <c r="HJ16" s="529"/>
      <c r="HK16" s="529"/>
      <c r="HL16" s="529"/>
      <c r="HM16" s="529"/>
      <c r="HN16" s="529"/>
      <c r="HO16" s="529"/>
      <c r="HP16" s="529"/>
      <c r="HQ16" s="529"/>
      <c r="HR16" s="529"/>
      <c r="HS16" s="529"/>
      <c r="HT16" s="529"/>
      <c r="HU16" s="529"/>
      <c r="HV16" s="529"/>
      <c r="HW16" s="529"/>
      <c r="HX16" s="529"/>
      <c r="HY16" s="529"/>
      <c r="HZ16" s="529"/>
      <c r="IA16" s="529"/>
      <c r="IB16" s="529"/>
      <c r="IC16" s="529"/>
      <c r="ID16" s="529"/>
      <c r="IE16" s="529"/>
      <c r="IF16" s="529"/>
      <c r="IG16" s="529"/>
      <c r="IH16" s="529"/>
      <c r="II16" s="529"/>
      <c r="IJ16" s="529"/>
      <c r="IK16" s="529"/>
      <c r="IL16" s="529"/>
      <c r="IM16" s="529"/>
      <c r="IN16" s="529"/>
      <c r="IO16" s="529"/>
      <c r="IP16" s="529"/>
      <c r="IQ16" s="529"/>
      <c r="IR16" s="529"/>
      <c r="IS16" s="529"/>
      <c r="IT16" s="529"/>
      <c r="IU16" s="529"/>
      <c r="IV16" s="529"/>
      <c r="IW16" s="529"/>
      <c r="IX16" s="529"/>
      <c r="IY16" s="529"/>
      <c r="IZ16" s="529"/>
      <c r="JA16" s="529"/>
      <c r="JB16" s="529"/>
      <c r="JC16" s="529"/>
      <c r="JD16" s="529"/>
      <c r="JE16" s="529"/>
      <c r="JF16" s="529"/>
      <c r="JG16" s="529"/>
      <c r="JH16" s="529"/>
      <c r="JI16" s="529"/>
      <c r="JJ16" s="529"/>
      <c r="JK16" s="529"/>
      <c r="JL16" s="529"/>
      <c r="JM16" s="529"/>
      <c r="JN16" s="529"/>
      <c r="JO16" s="529"/>
      <c r="JP16" s="529"/>
      <c r="JQ16" s="529"/>
      <c r="JR16" s="529"/>
      <c r="JS16" s="529"/>
      <c r="JT16" s="529"/>
      <c r="JU16" s="529"/>
      <c r="JV16" s="529"/>
      <c r="JW16" s="529"/>
      <c r="JX16" s="529"/>
      <c r="JY16" s="529"/>
      <c r="JZ16" s="529"/>
      <c r="KA16" s="529"/>
      <c r="KB16" s="529"/>
      <c r="KC16" s="529"/>
      <c r="KD16" s="529"/>
      <c r="KE16" s="529"/>
      <c r="KF16" s="529"/>
      <c r="KG16" s="529"/>
      <c r="KH16" s="529"/>
      <c r="KI16" s="529"/>
      <c r="KJ16" s="529"/>
      <c r="KK16" s="529"/>
      <c r="KL16" s="529"/>
      <c r="KM16" s="529"/>
      <c r="KN16" s="529"/>
      <c r="KO16" s="529"/>
      <c r="KP16" s="529"/>
      <c r="KQ16" s="529"/>
      <c r="KR16" s="529"/>
      <c r="KS16" s="529"/>
      <c r="KT16" s="529"/>
      <c r="KU16" s="529"/>
      <c r="KV16" s="529"/>
      <c r="KW16" s="529"/>
      <c r="KX16" s="529"/>
      <c r="KY16" s="529"/>
      <c r="KZ16" s="529"/>
      <c r="LA16" s="529"/>
      <c r="LB16" s="529"/>
      <c r="LC16" s="529"/>
      <c r="LD16" s="529"/>
      <c r="LE16" s="529"/>
      <c r="LF16" s="529"/>
      <c r="LG16" s="529"/>
      <c r="LH16" s="529"/>
      <c r="LI16" s="529"/>
      <c r="LJ16" s="529"/>
      <c r="LK16" s="529"/>
      <c r="LL16" s="529"/>
      <c r="LM16" s="529"/>
      <c r="LN16" s="529"/>
      <c r="LO16" s="529"/>
      <c r="LP16" s="529"/>
      <c r="LQ16" s="529"/>
      <c r="LR16" s="529"/>
      <c r="LS16" s="529"/>
      <c r="LT16" s="529"/>
      <c r="LU16" s="529"/>
      <c r="LV16" s="529"/>
      <c r="LW16" s="529"/>
      <c r="LX16" s="529"/>
      <c r="LY16" s="529"/>
      <c r="LZ16" s="529"/>
      <c r="MA16" s="529"/>
      <c r="MB16" s="529"/>
      <c r="MC16" s="529"/>
      <c r="MD16" s="529"/>
      <c r="ME16" s="529"/>
      <c r="MF16" s="529"/>
      <c r="MG16" s="529"/>
      <c r="MH16" s="529"/>
      <c r="MI16" s="529"/>
      <c r="MJ16" s="529"/>
      <c r="MK16" s="529"/>
      <c r="ML16" s="529"/>
      <c r="MM16" s="529"/>
      <c r="MN16" s="529"/>
      <c r="MO16" s="529"/>
      <c r="MP16" s="529"/>
      <c r="MQ16" s="529"/>
      <c r="MR16" s="529"/>
      <c r="MS16" s="529"/>
      <c r="MT16" s="529"/>
      <c r="MU16" s="529"/>
      <c r="MV16" s="529"/>
      <c r="MW16" s="529"/>
      <c r="MX16" s="529"/>
      <c r="MY16" s="529"/>
      <c r="MZ16" s="529"/>
      <c r="NA16" s="529"/>
      <c r="NB16" s="529"/>
      <c r="NC16" s="529"/>
      <c r="ND16" s="529"/>
      <c r="NE16" s="529"/>
      <c r="NF16" s="529"/>
      <c r="NG16" s="529"/>
      <c r="NH16" s="529"/>
      <c r="NI16" s="529"/>
      <c r="NJ16" s="529"/>
      <c r="NK16" s="529"/>
      <c r="NL16" s="529"/>
      <c r="NM16" s="529"/>
      <c r="NN16" s="529"/>
      <c r="NO16" s="529"/>
      <c r="NP16" s="529"/>
      <c r="NQ16" s="529"/>
      <c r="NR16" s="529"/>
      <c r="NS16" s="529"/>
      <c r="NT16" s="529"/>
      <c r="NU16" s="529"/>
      <c r="NV16" s="529"/>
      <c r="NW16" s="529"/>
      <c r="NX16" s="529"/>
      <c r="NY16" s="529"/>
      <c r="NZ16" s="529"/>
      <c r="OA16" s="529"/>
      <c r="OB16" s="529"/>
      <c r="OC16" s="529"/>
      <c r="OD16" s="529"/>
      <c r="OE16" s="529"/>
      <c r="OF16" s="529"/>
      <c r="OG16" s="529"/>
      <c r="OH16" s="529"/>
      <c r="OI16" s="529"/>
      <c r="OJ16" s="529"/>
      <c r="OK16" s="529"/>
      <c r="OL16" s="529"/>
      <c r="OM16" s="529"/>
      <c r="ON16" s="529"/>
      <c r="OO16" s="529"/>
      <c r="OP16" s="529"/>
      <c r="OQ16" s="529"/>
      <c r="OR16" s="529"/>
      <c r="OS16" s="529"/>
      <c r="OT16" s="529"/>
      <c r="OU16" s="529"/>
      <c r="OV16" s="529"/>
      <c r="OW16" s="529"/>
      <c r="OX16" s="529"/>
      <c r="OY16" s="529"/>
      <c r="OZ16" s="529"/>
      <c r="PA16" s="529"/>
      <c r="PB16" s="529"/>
      <c r="PC16" s="529"/>
      <c r="PD16" s="529"/>
      <c r="PE16" s="529"/>
      <c r="PF16" s="529"/>
      <c r="PG16" s="529"/>
      <c r="PH16" s="529"/>
      <c r="PI16" s="529"/>
      <c r="PJ16" s="529"/>
      <c r="PK16" s="529"/>
      <c r="PL16" s="529"/>
      <c r="PM16" s="529"/>
      <c r="PN16" s="529"/>
      <c r="PO16" s="529"/>
      <c r="PP16" s="529"/>
      <c r="PQ16" s="529"/>
      <c r="PR16" s="529"/>
      <c r="PS16" s="529"/>
      <c r="PT16" s="529"/>
      <c r="PU16" s="529"/>
      <c r="PV16" s="529"/>
      <c r="PW16" s="529"/>
      <c r="PX16" s="529"/>
      <c r="PY16" s="529"/>
      <c r="PZ16" s="529"/>
      <c r="QA16" s="529"/>
      <c r="QB16" s="529"/>
      <c r="QC16" s="529"/>
      <c r="QD16" s="529"/>
      <c r="QE16" s="529"/>
      <c r="QF16" s="529"/>
      <c r="QG16" s="529"/>
      <c r="QH16" s="529"/>
      <c r="QI16" s="529"/>
      <c r="QJ16" s="529"/>
      <c r="QK16" s="529"/>
      <c r="QL16" s="529"/>
      <c r="QM16" s="529"/>
      <c r="QN16" s="529"/>
      <c r="QO16" s="529"/>
      <c r="QP16" s="529"/>
      <c r="QQ16" s="529"/>
      <c r="QR16" s="529"/>
      <c r="QS16" s="529"/>
      <c r="QT16" s="529"/>
      <c r="QU16" s="529"/>
      <c r="QV16" s="529"/>
      <c r="QW16" s="529"/>
      <c r="QX16" s="529"/>
      <c r="QY16" s="529"/>
      <c r="QZ16" s="529"/>
      <c r="RA16" s="529"/>
      <c r="RB16" s="529"/>
      <c r="RC16" s="529"/>
      <c r="RD16" s="529"/>
      <c r="RE16" s="529"/>
      <c r="RF16" s="529"/>
      <c r="RG16" s="529"/>
      <c r="RH16" s="529"/>
      <c r="RI16" s="529"/>
      <c r="RJ16" s="529"/>
      <c r="RK16" s="529"/>
      <c r="RL16" s="529"/>
      <c r="RM16" s="529"/>
      <c r="RN16" s="529"/>
      <c r="RO16" s="529"/>
      <c r="RP16" s="529"/>
      <c r="RQ16" s="529"/>
      <c r="RR16" s="529"/>
      <c r="RS16" s="529"/>
      <c r="RT16" s="529"/>
      <c r="RU16" s="529"/>
      <c r="RV16" s="529"/>
      <c r="RW16" s="529"/>
      <c r="RX16" s="529"/>
    </row>
    <row r="17" spans="1:492" s="530" customFormat="1" ht="20.25" customHeight="1">
      <c r="A17" s="549" t="s">
        <v>124</v>
      </c>
      <c r="B17" s="574" t="s">
        <v>125</v>
      </c>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63"/>
      <c r="AN17" s="532"/>
      <c r="AO17" s="532"/>
      <c r="AP17" s="532"/>
      <c r="AQ17" s="564"/>
      <c r="AR17" s="533"/>
      <c r="AS17" s="533"/>
      <c r="AT17" s="533"/>
      <c r="AU17" s="533"/>
      <c r="AV17" s="533"/>
      <c r="AW17" s="532"/>
      <c r="AX17" s="532"/>
      <c r="AY17" s="532"/>
      <c r="AZ17" s="532"/>
      <c r="BA17" s="532"/>
      <c r="BB17" s="570">
        <v>0</v>
      </c>
      <c r="BC17" s="534">
        <v>-41.5</v>
      </c>
      <c r="BD17" s="534">
        <v>-3.3</v>
      </c>
      <c r="BE17" s="534">
        <v>-1.1000000000000001</v>
      </c>
      <c r="BF17" s="569">
        <f t="shared" ref="BF17" si="22">SUM(BB17:BE17)</f>
        <v>-45.9</v>
      </c>
      <c r="BG17" s="532"/>
      <c r="BH17" s="532"/>
      <c r="BI17" s="540">
        <v>0</v>
      </c>
      <c r="BJ17" s="540">
        <v>0</v>
      </c>
      <c r="BK17" s="578">
        <f t="shared" ref="BK17" si="23">SUM(BG17:BJ17)</f>
        <v>0</v>
      </c>
      <c r="BL17" s="748">
        <v>0</v>
      </c>
      <c r="BM17" s="763">
        <v>0</v>
      </c>
      <c r="BN17" s="540">
        <v>0</v>
      </c>
      <c r="BO17" s="540"/>
      <c r="BP17" s="578">
        <f t="shared" si="16"/>
        <v>0</v>
      </c>
      <c r="BQ17" s="748">
        <v>0</v>
      </c>
      <c r="BR17" s="763">
        <v>0</v>
      </c>
      <c r="BS17" s="540">
        <v>0</v>
      </c>
      <c r="BT17" s="540"/>
      <c r="BU17" s="1007">
        <f t="shared" si="18"/>
        <v>0</v>
      </c>
      <c r="BW17" s="529"/>
      <c r="BX17" s="529"/>
      <c r="BY17" s="529"/>
      <c r="BZ17" s="529"/>
      <c r="CA17" s="529"/>
      <c r="CB17" s="529"/>
      <c r="CC17" s="529"/>
      <c r="CD17" s="529"/>
      <c r="CE17" s="529"/>
      <c r="CF17" s="529"/>
      <c r="CG17" s="529"/>
      <c r="CH17" s="529"/>
      <c r="CI17" s="529"/>
      <c r="CJ17" s="529"/>
      <c r="CK17" s="529"/>
      <c r="CL17" s="529"/>
      <c r="CM17" s="529"/>
      <c r="CN17" s="529"/>
      <c r="CO17" s="529"/>
      <c r="CP17" s="529"/>
      <c r="CQ17" s="529"/>
      <c r="CR17" s="529"/>
      <c r="CS17" s="529"/>
      <c r="CT17" s="529"/>
      <c r="CU17" s="529"/>
      <c r="CV17" s="529"/>
      <c r="CW17" s="529"/>
      <c r="CX17" s="529"/>
      <c r="CY17" s="529"/>
      <c r="CZ17" s="529"/>
      <c r="DA17" s="529"/>
      <c r="DB17" s="529"/>
      <c r="DC17" s="529"/>
      <c r="DD17" s="529"/>
      <c r="DE17" s="529"/>
      <c r="DF17" s="529"/>
      <c r="DG17" s="529"/>
      <c r="DH17" s="529"/>
      <c r="DI17" s="529"/>
      <c r="DJ17" s="529"/>
      <c r="DK17" s="529"/>
      <c r="DL17" s="529"/>
      <c r="DM17" s="529"/>
      <c r="DN17" s="529"/>
      <c r="DO17" s="529"/>
      <c r="DP17" s="529"/>
      <c r="DQ17" s="529"/>
      <c r="DR17" s="529"/>
      <c r="DS17" s="529"/>
      <c r="DT17" s="529"/>
      <c r="DU17" s="529"/>
      <c r="DV17" s="529"/>
      <c r="DW17" s="529"/>
      <c r="DX17" s="529"/>
      <c r="DY17" s="529"/>
      <c r="DZ17" s="529"/>
      <c r="EA17" s="529"/>
      <c r="EB17" s="529"/>
      <c r="EC17" s="529"/>
      <c r="ED17" s="529"/>
      <c r="EE17" s="529"/>
      <c r="EF17" s="529"/>
      <c r="EG17" s="529"/>
      <c r="EH17" s="529"/>
      <c r="EI17" s="529"/>
      <c r="EJ17" s="529"/>
      <c r="EK17" s="529"/>
      <c r="EL17" s="529"/>
      <c r="EM17" s="529"/>
      <c r="EN17" s="529"/>
      <c r="EO17" s="529"/>
      <c r="EP17" s="529"/>
      <c r="EQ17" s="529"/>
      <c r="ER17" s="529"/>
      <c r="ES17" s="529"/>
      <c r="ET17" s="529"/>
      <c r="EU17" s="529"/>
      <c r="EV17" s="529"/>
      <c r="EW17" s="529"/>
      <c r="EX17" s="529"/>
      <c r="EY17" s="529"/>
      <c r="EZ17" s="529"/>
      <c r="FA17" s="529"/>
      <c r="FB17" s="529"/>
      <c r="FC17" s="529"/>
      <c r="FD17" s="529"/>
      <c r="FE17" s="529"/>
      <c r="FF17" s="529"/>
      <c r="FG17" s="529"/>
      <c r="FH17" s="529"/>
      <c r="FI17" s="529"/>
      <c r="FJ17" s="529"/>
      <c r="FK17" s="529"/>
      <c r="FL17" s="529"/>
      <c r="FM17" s="529"/>
      <c r="FN17" s="529"/>
      <c r="FO17" s="529"/>
      <c r="FP17" s="529"/>
      <c r="FQ17" s="529"/>
      <c r="FR17" s="529"/>
      <c r="FS17" s="529"/>
      <c r="FT17" s="529"/>
      <c r="FU17" s="529"/>
      <c r="FV17" s="529"/>
      <c r="FW17" s="529"/>
      <c r="FX17" s="529"/>
      <c r="FY17" s="529"/>
      <c r="FZ17" s="529"/>
      <c r="GA17" s="529"/>
      <c r="GB17" s="529"/>
      <c r="GC17" s="529"/>
      <c r="GD17" s="529"/>
      <c r="GE17" s="529"/>
      <c r="GF17" s="529"/>
      <c r="GG17" s="529"/>
      <c r="GH17" s="529"/>
      <c r="GI17" s="529"/>
      <c r="GJ17" s="529"/>
      <c r="GK17" s="529"/>
      <c r="GL17" s="529"/>
      <c r="GM17" s="529"/>
      <c r="GN17" s="529"/>
      <c r="GO17" s="529"/>
      <c r="GP17" s="529"/>
      <c r="GQ17" s="529"/>
      <c r="GR17" s="529"/>
      <c r="GS17" s="529"/>
      <c r="GT17" s="529"/>
      <c r="GU17" s="529"/>
      <c r="GV17" s="529"/>
      <c r="GW17" s="529"/>
      <c r="GX17" s="529"/>
      <c r="GY17" s="529"/>
      <c r="GZ17" s="529"/>
      <c r="HA17" s="529"/>
      <c r="HB17" s="529"/>
      <c r="HC17" s="529"/>
      <c r="HD17" s="529"/>
      <c r="HE17" s="529"/>
      <c r="HF17" s="529"/>
      <c r="HG17" s="529"/>
      <c r="HH17" s="529"/>
      <c r="HI17" s="529"/>
      <c r="HJ17" s="529"/>
      <c r="HK17" s="529"/>
      <c r="HL17" s="529"/>
      <c r="HM17" s="529"/>
      <c r="HN17" s="529"/>
      <c r="HO17" s="529"/>
      <c r="HP17" s="529"/>
      <c r="HQ17" s="529"/>
      <c r="HR17" s="529"/>
      <c r="HS17" s="529"/>
      <c r="HT17" s="529"/>
      <c r="HU17" s="529"/>
      <c r="HV17" s="529"/>
      <c r="HW17" s="529"/>
      <c r="HX17" s="529"/>
      <c r="HY17" s="529"/>
      <c r="HZ17" s="529"/>
      <c r="IA17" s="529"/>
      <c r="IB17" s="529"/>
      <c r="IC17" s="529"/>
      <c r="ID17" s="529"/>
      <c r="IE17" s="529"/>
      <c r="IF17" s="529"/>
      <c r="IG17" s="529"/>
      <c r="IH17" s="529"/>
      <c r="II17" s="529"/>
      <c r="IJ17" s="529"/>
      <c r="IK17" s="529"/>
      <c r="IL17" s="529"/>
      <c r="IM17" s="529"/>
      <c r="IN17" s="529"/>
      <c r="IO17" s="529"/>
      <c r="IP17" s="529"/>
      <c r="IQ17" s="529"/>
      <c r="IR17" s="529"/>
      <c r="IS17" s="529"/>
      <c r="IT17" s="529"/>
      <c r="IU17" s="529"/>
      <c r="IV17" s="529"/>
      <c r="IW17" s="529"/>
      <c r="IX17" s="529"/>
      <c r="IY17" s="529"/>
      <c r="IZ17" s="529"/>
      <c r="JA17" s="529"/>
      <c r="JB17" s="529"/>
      <c r="JC17" s="529"/>
      <c r="JD17" s="529"/>
      <c r="JE17" s="529"/>
      <c r="JF17" s="529"/>
      <c r="JG17" s="529"/>
      <c r="JH17" s="529"/>
      <c r="JI17" s="529"/>
      <c r="JJ17" s="529"/>
      <c r="JK17" s="529"/>
      <c r="JL17" s="529"/>
      <c r="JM17" s="529"/>
      <c r="JN17" s="529"/>
      <c r="JO17" s="529"/>
      <c r="JP17" s="529"/>
      <c r="JQ17" s="529"/>
      <c r="JR17" s="529"/>
      <c r="JS17" s="529"/>
      <c r="JT17" s="529"/>
      <c r="JU17" s="529"/>
      <c r="JV17" s="529"/>
      <c r="JW17" s="529"/>
      <c r="JX17" s="529"/>
      <c r="JY17" s="529"/>
      <c r="JZ17" s="529"/>
      <c r="KA17" s="529"/>
      <c r="KB17" s="529"/>
      <c r="KC17" s="529"/>
      <c r="KD17" s="529"/>
      <c r="KE17" s="529"/>
      <c r="KF17" s="529"/>
      <c r="KG17" s="529"/>
      <c r="KH17" s="529"/>
      <c r="KI17" s="529"/>
      <c r="KJ17" s="529"/>
      <c r="KK17" s="529"/>
      <c r="KL17" s="529"/>
      <c r="KM17" s="529"/>
      <c r="KN17" s="529"/>
      <c r="KO17" s="529"/>
      <c r="KP17" s="529"/>
      <c r="KQ17" s="529"/>
      <c r="KR17" s="529"/>
      <c r="KS17" s="529"/>
      <c r="KT17" s="529"/>
      <c r="KU17" s="529"/>
      <c r="KV17" s="529"/>
      <c r="KW17" s="529"/>
      <c r="KX17" s="529"/>
      <c r="KY17" s="529"/>
      <c r="KZ17" s="529"/>
      <c r="LA17" s="529"/>
      <c r="LB17" s="529"/>
      <c r="LC17" s="529"/>
      <c r="LD17" s="529"/>
      <c r="LE17" s="529"/>
      <c r="LF17" s="529"/>
      <c r="LG17" s="529"/>
      <c r="LH17" s="529"/>
      <c r="LI17" s="529"/>
      <c r="LJ17" s="529"/>
      <c r="LK17" s="529"/>
      <c r="LL17" s="529"/>
      <c r="LM17" s="529"/>
      <c r="LN17" s="529"/>
      <c r="LO17" s="529"/>
      <c r="LP17" s="529"/>
      <c r="LQ17" s="529"/>
      <c r="LR17" s="529"/>
      <c r="LS17" s="529"/>
      <c r="LT17" s="529"/>
      <c r="LU17" s="529"/>
      <c r="LV17" s="529"/>
      <c r="LW17" s="529"/>
      <c r="LX17" s="529"/>
      <c r="LY17" s="529"/>
      <c r="LZ17" s="529"/>
      <c r="MA17" s="529"/>
      <c r="MB17" s="529"/>
      <c r="MC17" s="529"/>
      <c r="MD17" s="529"/>
      <c r="ME17" s="529"/>
      <c r="MF17" s="529"/>
      <c r="MG17" s="529"/>
      <c r="MH17" s="529"/>
      <c r="MI17" s="529"/>
      <c r="MJ17" s="529"/>
      <c r="MK17" s="529"/>
      <c r="ML17" s="529"/>
      <c r="MM17" s="529"/>
      <c r="MN17" s="529"/>
      <c r="MO17" s="529"/>
      <c r="MP17" s="529"/>
      <c r="MQ17" s="529"/>
      <c r="MR17" s="529"/>
      <c r="MS17" s="529"/>
      <c r="MT17" s="529"/>
      <c r="MU17" s="529"/>
      <c r="MV17" s="529"/>
      <c r="MW17" s="529"/>
      <c r="MX17" s="529"/>
      <c r="MY17" s="529"/>
      <c r="MZ17" s="529"/>
      <c r="NA17" s="529"/>
      <c r="NB17" s="529"/>
      <c r="NC17" s="529"/>
      <c r="ND17" s="529"/>
      <c r="NE17" s="529"/>
      <c r="NF17" s="529"/>
      <c r="NG17" s="529"/>
      <c r="NH17" s="529"/>
      <c r="NI17" s="529"/>
      <c r="NJ17" s="529"/>
      <c r="NK17" s="529"/>
      <c r="NL17" s="529"/>
      <c r="NM17" s="529"/>
      <c r="NN17" s="529"/>
      <c r="NO17" s="529"/>
      <c r="NP17" s="529"/>
      <c r="NQ17" s="529"/>
      <c r="NR17" s="529"/>
      <c r="NS17" s="529"/>
      <c r="NT17" s="529"/>
      <c r="NU17" s="529"/>
      <c r="NV17" s="529"/>
      <c r="NW17" s="529"/>
      <c r="NX17" s="529"/>
      <c r="NY17" s="529"/>
      <c r="NZ17" s="529"/>
      <c r="OA17" s="529"/>
      <c r="OB17" s="529"/>
      <c r="OC17" s="529"/>
      <c r="OD17" s="529"/>
      <c r="OE17" s="529"/>
      <c r="OF17" s="529"/>
      <c r="OG17" s="529"/>
      <c r="OH17" s="529"/>
      <c r="OI17" s="529"/>
      <c r="OJ17" s="529"/>
      <c r="OK17" s="529"/>
      <c r="OL17" s="529"/>
      <c r="OM17" s="529"/>
      <c r="ON17" s="529"/>
      <c r="OO17" s="529"/>
      <c r="OP17" s="529"/>
      <c r="OQ17" s="529"/>
      <c r="OR17" s="529"/>
      <c r="OS17" s="529"/>
      <c r="OT17" s="529"/>
      <c r="OU17" s="529"/>
      <c r="OV17" s="529"/>
      <c r="OW17" s="529"/>
      <c r="OX17" s="529"/>
      <c r="OY17" s="529"/>
      <c r="OZ17" s="529"/>
      <c r="PA17" s="529"/>
      <c r="PB17" s="529"/>
      <c r="PC17" s="529"/>
      <c r="PD17" s="529"/>
      <c r="PE17" s="529"/>
      <c r="PF17" s="529"/>
      <c r="PG17" s="529"/>
      <c r="PH17" s="529"/>
      <c r="PI17" s="529"/>
      <c r="PJ17" s="529"/>
      <c r="PK17" s="529"/>
      <c r="PL17" s="529"/>
      <c r="PM17" s="529"/>
      <c r="PN17" s="529"/>
      <c r="PO17" s="529"/>
      <c r="PP17" s="529"/>
      <c r="PQ17" s="529"/>
      <c r="PR17" s="529"/>
      <c r="PS17" s="529"/>
      <c r="PT17" s="529"/>
      <c r="PU17" s="529"/>
      <c r="PV17" s="529"/>
      <c r="PW17" s="529"/>
      <c r="PX17" s="529"/>
      <c r="PY17" s="529"/>
      <c r="PZ17" s="529"/>
      <c r="QA17" s="529"/>
      <c r="QB17" s="529"/>
      <c r="QC17" s="529"/>
      <c r="QD17" s="529"/>
      <c r="QE17" s="529"/>
      <c r="QF17" s="529"/>
      <c r="QG17" s="529"/>
      <c r="QH17" s="529"/>
      <c r="QI17" s="529"/>
      <c r="QJ17" s="529"/>
      <c r="QK17" s="529"/>
      <c r="QL17" s="529"/>
      <c r="QM17" s="529"/>
      <c r="QN17" s="529"/>
      <c r="QO17" s="529"/>
      <c r="QP17" s="529"/>
      <c r="QQ17" s="529"/>
      <c r="QR17" s="529"/>
      <c r="QS17" s="529"/>
      <c r="QT17" s="529"/>
      <c r="QU17" s="529"/>
      <c r="QV17" s="529"/>
      <c r="QW17" s="529"/>
      <c r="QX17" s="529"/>
      <c r="QY17" s="529"/>
      <c r="QZ17" s="529"/>
      <c r="RA17" s="529"/>
      <c r="RB17" s="529"/>
      <c r="RC17" s="529"/>
      <c r="RD17" s="529"/>
      <c r="RE17" s="529"/>
      <c r="RF17" s="529"/>
      <c r="RG17" s="529"/>
      <c r="RH17" s="529"/>
      <c r="RI17" s="529"/>
      <c r="RJ17" s="529"/>
      <c r="RK17" s="529"/>
      <c r="RL17" s="529"/>
      <c r="RM17" s="529"/>
      <c r="RN17" s="529"/>
      <c r="RO17" s="529"/>
      <c r="RP17" s="529"/>
      <c r="RQ17" s="529"/>
      <c r="RR17" s="529"/>
      <c r="RS17" s="529"/>
      <c r="RT17" s="529"/>
      <c r="RU17" s="529"/>
      <c r="RV17" s="529"/>
      <c r="RW17" s="529"/>
      <c r="RX17" s="529"/>
    </row>
    <row r="18" spans="1:492" s="530" customFormat="1" ht="27.5">
      <c r="A18" s="549" t="s">
        <v>126</v>
      </c>
      <c r="B18" s="574" t="s">
        <v>127</v>
      </c>
      <c r="C18" s="535"/>
      <c r="D18" s="535"/>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63"/>
      <c r="AN18" s="532"/>
      <c r="AO18" s="532"/>
      <c r="AP18" s="532"/>
      <c r="AQ18" s="564"/>
      <c r="AR18" s="533"/>
      <c r="AS18" s="533"/>
      <c r="AT18" s="533"/>
      <c r="AU18" s="533"/>
      <c r="AV18" s="533"/>
      <c r="AW18" s="532"/>
      <c r="AX18" s="532"/>
      <c r="AY18" s="532"/>
      <c r="AZ18" s="532"/>
      <c r="BA18" s="532"/>
      <c r="BB18" s="570"/>
      <c r="BC18" s="534"/>
      <c r="BD18" s="534"/>
      <c r="BE18" s="534"/>
      <c r="BF18" s="569"/>
      <c r="BG18" s="532"/>
      <c r="BH18" s="532"/>
      <c r="BI18" s="540">
        <v>3690.8</v>
      </c>
      <c r="BJ18" s="540">
        <f>3680.6-SUM(BG18:BI18)</f>
        <v>-10.200000000000273</v>
      </c>
      <c r="BK18" s="578">
        <f t="shared" si="15"/>
        <v>3680.6</v>
      </c>
      <c r="BL18" s="748">
        <v>0</v>
      </c>
      <c r="BM18" s="763">
        <v>0</v>
      </c>
      <c r="BN18" s="540">
        <v>113.4</v>
      </c>
      <c r="BO18" s="540">
        <v>39.799999999999997</v>
      </c>
      <c r="BP18" s="578">
        <f t="shared" si="16"/>
        <v>153.19999999999999</v>
      </c>
      <c r="BQ18" s="748">
        <v>0</v>
      </c>
      <c r="BR18" s="763">
        <v>0</v>
      </c>
      <c r="BS18" s="540">
        <v>220.1</v>
      </c>
      <c r="BT18" s="762">
        <v>-0.4</v>
      </c>
      <c r="BU18" s="578">
        <f t="shared" si="18"/>
        <v>219.7</v>
      </c>
    </row>
    <row r="19" spans="1:492" s="530" customFormat="1" ht="20.149999999999999" customHeight="1" thickBot="1">
      <c r="A19" s="549" t="s">
        <v>89</v>
      </c>
      <c r="B19" s="574" t="s">
        <v>128</v>
      </c>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63"/>
      <c r="AN19" s="532"/>
      <c r="AO19" s="532"/>
      <c r="AP19" s="532"/>
      <c r="AQ19" s="564"/>
      <c r="AR19" s="532"/>
      <c r="AS19" s="532"/>
      <c r="AT19" s="532"/>
      <c r="AU19" s="532"/>
      <c r="AV19" s="533"/>
      <c r="AW19" s="532"/>
      <c r="AX19" s="532"/>
      <c r="AY19" s="532"/>
      <c r="AZ19" s="532"/>
      <c r="BA19" s="532"/>
      <c r="BB19" s="570"/>
      <c r="BC19" s="534"/>
      <c r="BD19" s="534"/>
      <c r="BE19" s="534"/>
      <c r="BF19" s="569"/>
      <c r="BG19" s="532"/>
      <c r="BH19" s="532"/>
      <c r="BI19" s="540"/>
      <c r="BJ19" s="540"/>
      <c r="BK19" s="578"/>
      <c r="BL19" s="540">
        <v>-34.1</v>
      </c>
      <c r="BM19" s="762">
        <v>0</v>
      </c>
      <c r="BN19" s="540">
        <v>0</v>
      </c>
      <c r="BO19" s="540"/>
      <c r="BP19" s="578">
        <f t="shared" si="16"/>
        <v>-34.1</v>
      </c>
      <c r="BQ19" s="748">
        <v>0</v>
      </c>
      <c r="BR19" s="763">
        <v>0</v>
      </c>
      <c r="BS19" s="763">
        <v>0</v>
      </c>
      <c r="BT19" s="762"/>
      <c r="BU19" s="578">
        <f t="shared" si="18"/>
        <v>0</v>
      </c>
      <c r="BW19" s="962"/>
    </row>
    <row r="20" spans="1:492" s="65" customFormat="1" ht="20.25" customHeight="1" thickBot="1">
      <c r="A20" s="548" t="s">
        <v>129</v>
      </c>
      <c r="B20" s="573" t="s">
        <v>130</v>
      </c>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561">
        <f>SUM(AM21:AM22)</f>
        <v>890</v>
      </c>
      <c r="AN20" s="427">
        <f t="shared" ref="AN20:AQ20" si="24">SUM(AN21:AN22)</f>
        <v>946.40000000000009</v>
      </c>
      <c r="AO20" s="427">
        <f t="shared" si="24"/>
        <v>920</v>
      </c>
      <c r="AP20" s="427">
        <f t="shared" si="24"/>
        <v>941.3</v>
      </c>
      <c r="AQ20" s="562">
        <f t="shared" si="24"/>
        <v>3697.7</v>
      </c>
      <c r="AR20" s="427"/>
      <c r="AS20" s="427"/>
      <c r="AT20" s="427"/>
      <c r="AU20" s="427"/>
      <c r="AV20" s="428"/>
      <c r="AW20" s="427">
        <f t="shared" ref="AW20:BE20" si="25">SUM(AW21:AW22)</f>
        <v>1038.3</v>
      </c>
      <c r="AX20" s="427">
        <f t="shared" si="25"/>
        <v>1076.0999999999999</v>
      </c>
      <c r="AY20" s="427">
        <f t="shared" si="25"/>
        <v>1020.4999999999999</v>
      </c>
      <c r="AZ20" s="427">
        <f t="shared" si="25"/>
        <v>1061.8000000000004</v>
      </c>
      <c r="BA20" s="553">
        <f t="shared" si="25"/>
        <v>4196.7</v>
      </c>
      <c r="BB20" s="561">
        <f t="shared" si="25"/>
        <v>1026.7</v>
      </c>
      <c r="BC20" s="427">
        <f t="shared" si="25"/>
        <v>960</v>
      </c>
      <c r="BD20" s="427">
        <f t="shared" si="25"/>
        <v>1078.9000000000001</v>
      </c>
      <c r="BE20" s="427">
        <f t="shared" si="25"/>
        <v>1126.3</v>
      </c>
      <c r="BF20" s="562">
        <f>SUM(BF21:BF22)</f>
        <v>4191.9000000000005</v>
      </c>
      <c r="BG20" s="427">
        <f>SUM(BG21:BG22)</f>
        <v>1082.7</v>
      </c>
      <c r="BH20" s="427">
        <f t="shared" ref="BH20:BJ20" si="26">SUM(BH21:BH22)</f>
        <v>1140.9000000000001</v>
      </c>
      <c r="BI20" s="427">
        <f t="shared" si="26"/>
        <v>4594.9999999999991</v>
      </c>
      <c r="BJ20" s="427">
        <f t="shared" si="26"/>
        <v>881.00000000000011</v>
      </c>
      <c r="BK20" s="562">
        <f>SUM(BK21:BK22)</f>
        <v>7699.6</v>
      </c>
      <c r="BL20" s="427">
        <f>SUM(BL21:BL23)</f>
        <v>766.6</v>
      </c>
      <c r="BM20" s="760">
        <f>SUM(BM21:BM25)</f>
        <v>893.3</v>
      </c>
      <c r="BN20" s="427">
        <f>SUM(BN21:BN25)</f>
        <v>952.99999999999966</v>
      </c>
      <c r="BO20" s="427">
        <f>SUM(BO21:BO25)</f>
        <v>858.30000000000007</v>
      </c>
      <c r="BP20" s="562">
        <f>SUM(BP21:BP25)</f>
        <v>3471.2000000000003</v>
      </c>
      <c r="BQ20" s="427">
        <f>SUM(BQ21:BQ25)</f>
        <v>761.2</v>
      </c>
      <c r="BR20" s="427">
        <f t="shared" ref="BR20:BT20" si="27">SUM(BR21:BR25)</f>
        <v>798.5</v>
      </c>
      <c r="BS20" s="427">
        <f t="shared" si="27"/>
        <v>994.8</v>
      </c>
      <c r="BT20" s="427">
        <f t="shared" si="27"/>
        <v>676.7</v>
      </c>
      <c r="BU20" s="562">
        <f>SUM(BU21:BU25)</f>
        <v>3231.2000000000003</v>
      </c>
      <c r="BV20" s="961"/>
      <c r="BW20" s="962"/>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11"/>
      <c r="NC20" s="11"/>
      <c r="ND20" s="11"/>
      <c r="NE20" s="11"/>
      <c r="NF20" s="11"/>
      <c r="NG20" s="11"/>
      <c r="NH20" s="11"/>
      <c r="NI20" s="11"/>
      <c r="NJ20" s="11"/>
      <c r="NK20" s="11"/>
      <c r="NL20" s="11"/>
      <c r="NM20" s="11"/>
      <c r="NN20" s="11"/>
      <c r="NO20" s="11"/>
      <c r="NP20" s="11"/>
      <c r="NQ20" s="11"/>
      <c r="NR20" s="11"/>
      <c r="NS20" s="11"/>
      <c r="NT20" s="11"/>
      <c r="NU20" s="11"/>
      <c r="NV20" s="11"/>
      <c r="NW20" s="11"/>
      <c r="NX20" s="11"/>
      <c r="NY20" s="11"/>
      <c r="NZ20" s="11"/>
      <c r="OA20" s="11"/>
      <c r="OB20" s="11"/>
      <c r="OC20" s="11"/>
      <c r="OD20" s="11"/>
      <c r="OE20" s="11"/>
      <c r="OF20" s="11"/>
      <c r="OG20" s="11"/>
      <c r="OH20" s="11"/>
      <c r="OI20" s="11"/>
      <c r="OJ20" s="11"/>
      <c r="OK20" s="11"/>
      <c r="OL20" s="11"/>
      <c r="OM20" s="11"/>
      <c r="ON20" s="11"/>
      <c r="OO20" s="11"/>
      <c r="OP20" s="11"/>
      <c r="OQ20" s="11"/>
      <c r="OR20" s="11"/>
      <c r="OS20" s="11"/>
      <c r="OT20" s="11"/>
      <c r="OU20" s="11"/>
      <c r="OV20" s="11"/>
      <c r="OW20" s="11"/>
      <c r="OX20" s="11"/>
      <c r="OY20" s="11"/>
      <c r="OZ20" s="11"/>
      <c r="PA20" s="11"/>
      <c r="PB20" s="11"/>
      <c r="PC20" s="11"/>
      <c r="PD20" s="11"/>
      <c r="PE20" s="11"/>
      <c r="PF20" s="11"/>
      <c r="PG20" s="11"/>
      <c r="PH20" s="11"/>
      <c r="PI20" s="11"/>
      <c r="PJ20" s="11"/>
      <c r="PK20" s="11"/>
      <c r="PL20" s="11"/>
      <c r="PM20" s="11"/>
      <c r="PN20" s="11"/>
      <c r="PO20" s="11"/>
      <c r="PP20" s="11"/>
      <c r="PQ20" s="11"/>
      <c r="PR20" s="11"/>
      <c r="PS20" s="11"/>
      <c r="PT20" s="11"/>
      <c r="PU20" s="11"/>
      <c r="PV20" s="11"/>
      <c r="PW20" s="11"/>
      <c r="PX20" s="11"/>
      <c r="PY20" s="11"/>
      <c r="PZ20" s="11"/>
      <c r="QA20" s="11"/>
      <c r="QB20" s="11"/>
      <c r="QC20" s="11"/>
      <c r="QD20" s="11"/>
      <c r="QE20" s="11"/>
      <c r="QF20" s="11"/>
      <c r="QG20" s="11"/>
      <c r="QH20" s="11"/>
      <c r="QI20" s="11"/>
      <c r="QJ20" s="11"/>
      <c r="QK20" s="11"/>
      <c r="QL20" s="11"/>
      <c r="QM20" s="11"/>
      <c r="QN20" s="11"/>
      <c r="QO20" s="11"/>
      <c r="QP20" s="11"/>
      <c r="QQ20" s="11"/>
      <c r="QR20" s="11"/>
      <c r="QS20" s="11"/>
      <c r="QT20" s="11"/>
      <c r="QU20" s="11"/>
      <c r="QV20" s="11"/>
      <c r="QW20" s="11"/>
      <c r="QX20" s="11"/>
      <c r="QY20" s="11"/>
      <c r="QZ20" s="11"/>
      <c r="RA20" s="11"/>
      <c r="RB20" s="11"/>
      <c r="RC20" s="11"/>
      <c r="RD20" s="11"/>
      <c r="RE20" s="11"/>
      <c r="RF20" s="11"/>
      <c r="RG20" s="11"/>
      <c r="RH20" s="11"/>
      <c r="RI20" s="11"/>
      <c r="RJ20" s="11"/>
      <c r="RK20" s="11"/>
      <c r="RL20" s="11"/>
      <c r="RM20" s="11"/>
      <c r="RN20" s="11"/>
      <c r="RO20" s="11"/>
      <c r="RP20" s="11"/>
      <c r="RQ20" s="11"/>
      <c r="RR20" s="11"/>
      <c r="RS20" s="11"/>
      <c r="RT20" s="11"/>
      <c r="RU20" s="11"/>
      <c r="RV20" s="11"/>
      <c r="RW20" s="11"/>
      <c r="RX20" s="11"/>
    </row>
    <row r="21" spans="1:492" s="530" customFormat="1" ht="20.149999999999999" customHeight="1">
      <c r="A21" s="547" t="s">
        <v>113</v>
      </c>
      <c r="B21" s="572" t="s">
        <v>114</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58">
        <v>755</v>
      </c>
      <c r="AN21" s="528">
        <v>795.2</v>
      </c>
      <c r="AO21" s="528">
        <v>825.7</v>
      </c>
      <c r="AP21" s="528">
        <v>769</v>
      </c>
      <c r="AQ21" s="559">
        <f>SUM(AM21:AP21)</f>
        <v>3144.9</v>
      </c>
      <c r="AR21" s="528"/>
      <c r="AS21" s="528"/>
      <c r="AT21" s="528"/>
      <c r="AU21" s="528"/>
      <c r="AV21" s="523"/>
      <c r="AW21" s="528">
        <v>892.6</v>
      </c>
      <c r="AX21" s="528">
        <v>914.49999999999989</v>
      </c>
      <c r="AY21" s="528">
        <v>925.59999999999991</v>
      </c>
      <c r="AZ21" s="528">
        <v>867.10000000000036</v>
      </c>
      <c r="BA21" s="534">
        <f>SUM(AW21:AZ21)</f>
        <v>3599.8</v>
      </c>
      <c r="BB21" s="558">
        <v>879.6</v>
      </c>
      <c r="BC21" s="528">
        <v>841.4</v>
      </c>
      <c r="BD21" s="528">
        <v>943.80000000000018</v>
      </c>
      <c r="BE21" s="528">
        <v>925</v>
      </c>
      <c r="BF21" s="559">
        <f>SUM(BB21:BE21)</f>
        <v>3589.8</v>
      </c>
      <c r="BG21" s="528">
        <v>936.6</v>
      </c>
      <c r="BH21" s="528">
        <v>951.80000000000007</v>
      </c>
      <c r="BI21" s="528">
        <v>4477.0999999999995</v>
      </c>
      <c r="BJ21" s="528">
        <f>7070.3-SUM(BG21:BI21)</f>
        <v>704.80000000000018</v>
      </c>
      <c r="BK21" s="559">
        <f>SUM(BG21:BJ21)</f>
        <v>7070.3</v>
      </c>
      <c r="BL21" s="528">
        <v>671.1</v>
      </c>
      <c r="BM21" s="522">
        <f>1420.5-BL21</f>
        <v>749.4</v>
      </c>
      <c r="BN21" s="528">
        <f>2292.1-BM21-BL21</f>
        <v>871.5999999999998</v>
      </c>
      <c r="BO21" s="528">
        <f>2914.4-BN21-BM21-BL21</f>
        <v>622.30000000000007</v>
      </c>
      <c r="BP21" s="559">
        <f>SUM(BL21:BO21)</f>
        <v>2914.4</v>
      </c>
      <c r="BQ21" s="528">
        <v>663.2</v>
      </c>
      <c r="BR21" s="522">
        <v>635</v>
      </c>
      <c r="BS21" s="528">
        <v>878.39999999999986</v>
      </c>
      <c r="BT21" s="528">
        <v>536.20000000000005</v>
      </c>
      <c r="BU21" s="559">
        <f>SUM(BQ21:BT21)</f>
        <v>2712.8</v>
      </c>
      <c r="BV21" s="528"/>
      <c r="BW21" s="981"/>
      <c r="BX21" s="529"/>
      <c r="BY21" s="529"/>
      <c r="BZ21" s="529"/>
      <c r="CA21" s="529"/>
      <c r="CB21" s="529"/>
      <c r="CC21" s="529"/>
      <c r="CD21" s="529"/>
      <c r="CE21" s="529"/>
      <c r="CF21" s="529"/>
      <c r="CG21" s="529"/>
      <c r="CH21" s="529"/>
      <c r="CI21" s="529"/>
      <c r="CJ21" s="529"/>
      <c r="CK21" s="529"/>
      <c r="CL21" s="529"/>
      <c r="CM21" s="529"/>
      <c r="CN21" s="529"/>
      <c r="CO21" s="529"/>
      <c r="CP21" s="529"/>
      <c r="CQ21" s="529"/>
      <c r="CR21" s="529"/>
      <c r="CS21" s="529"/>
      <c r="CT21" s="529"/>
      <c r="CU21" s="529"/>
      <c r="CV21" s="529"/>
      <c r="CW21" s="529"/>
      <c r="CX21" s="529"/>
      <c r="CY21" s="529"/>
      <c r="CZ21" s="529"/>
      <c r="DA21" s="529"/>
      <c r="DB21" s="529"/>
      <c r="DC21" s="529"/>
      <c r="DD21" s="529"/>
      <c r="DE21" s="529"/>
      <c r="DF21" s="529"/>
      <c r="DG21" s="529"/>
      <c r="DH21" s="529"/>
      <c r="DI21" s="529"/>
      <c r="DJ21" s="529"/>
      <c r="DK21" s="529"/>
      <c r="DL21" s="529"/>
      <c r="DM21" s="529"/>
      <c r="DN21" s="529"/>
      <c r="DO21" s="529"/>
      <c r="DP21" s="529"/>
      <c r="DQ21" s="529"/>
      <c r="DR21" s="529"/>
      <c r="DS21" s="529"/>
      <c r="DT21" s="529"/>
      <c r="DU21" s="529"/>
      <c r="DV21" s="529"/>
      <c r="DW21" s="529"/>
      <c r="DX21" s="529"/>
      <c r="DY21" s="529"/>
      <c r="DZ21" s="529"/>
      <c r="EA21" s="529"/>
      <c r="EB21" s="529"/>
      <c r="EC21" s="529"/>
      <c r="ED21" s="529"/>
      <c r="EE21" s="529"/>
      <c r="EF21" s="529"/>
      <c r="EG21" s="529"/>
      <c r="EH21" s="529"/>
      <c r="EI21" s="529"/>
      <c r="EJ21" s="529"/>
      <c r="EK21" s="529"/>
      <c r="EL21" s="529"/>
      <c r="EM21" s="529"/>
      <c r="EN21" s="529"/>
      <c r="EO21" s="529"/>
      <c r="EP21" s="529"/>
      <c r="EQ21" s="529"/>
      <c r="ER21" s="529"/>
      <c r="ES21" s="529"/>
      <c r="ET21" s="529"/>
      <c r="EU21" s="529"/>
      <c r="EV21" s="529"/>
      <c r="EW21" s="529"/>
      <c r="EX21" s="529"/>
      <c r="EY21" s="529"/>
      <c r="EZ21" s="529"/>
      <c r="FA21" s="529"/>
      <c r="FB21" s="529"/>
      <c r="FC21" s="529"/>
      <c r="FD21" s="529"/>
      <c r="FE21" s="529"/>
      <c r="FF21" s="529"/>
      <c r="FG21" s="529"/>
      <c r="FH21" s="529"/>
      <c r="FI21" s="529"/>
      <c r="FJ21" s="529"/>
      <c r="FK21" s="529"/>
      <c r="FL21" s="529"/>
      <c r="FM21" s="529"/>
      <c r="FN21" s="529"/>
      <c r="FO21" s="529"/>
      <c r="FP21" s="529"/>
      <c r="FQ21" s="529"/>
      <c r="FR21" s="529"/>
      <c r="FS21" s="529"/>
      <c r="FT21" s="529"/>
      <c r="FU21" s="529"/>
      <c r="FV21" s="529"/>
      <c r="FW21" s="529"/>
      <c r="FX21" s="529"/>
      <c r="FY21" s="529"/>
      <c r="FZ21" s="529"/>
      <c r="GA21" s="529"/>
      <c r="GB21" s="529"/>
      <c r="GC21" s="529"/>
      <c r="GD21" s="529"/>
      <c r="GE21" s="529"/>
      <c r="GF21" s="529"/>
      <c r="GG21" s="529"/>
      <c r="GH21" s="529"/>
      <c r="GI21" s="529"/>
      <c r="GJ21" s="529"/>
      <c r="GK21" s="529"/>
      <c r="GL21" s="529"/>
      <c r="GM21" s="529"/>
      <c r="GN21" s="529"/>
      <c r="GO21" s="529"/>
      <c r="GP21" s="529"/>
      <c r="GQ21" s="529"/>
      <c r="GR21" s="529"/>
      <c r="GS21" s="529"/>
      <c r="GT21" s="529"/>
      <c r="GU21" s="529"/>
      <c r="GV21" s="529"/>
      <c r="GW21" s="529"/>
      <c r="GX21" s="529"/>
      <c r="GY21" s="529"/>
      <c r="GZ21" s="529"/>
      <c r="HA21" s="529"/>
      <c r="HB21" s="529"/>
      <c r="HC21" s="529"/>
      <c r="HD21" s="529"/>
      <c r="HE21" s="529"/>
      <c r="HF21" s="529"/>
      <c r="HG21" s="529"/>
      <c r="HH21" s="529"/>
      <c r="HI21" s="529"/>
      <c r="HJ21" s="529"/>
      <c r="HK21" s="529"/>
      <c r="HL21" s="529"/>
      <c r="HM21" s="529"/>
      <c r="HN21" s="529"/>
      <c r="HO21" s="529"/>
      <c r="HP21" s="529"/>
      <c r="HQ21" s="529"/>
      <c r="HR21" s="529"/>
      <c r="HS21" s="529"/>
      <c r="HT21" s="529"/>
      <c r="HU21" s="529"/>
      <c r="HV21" s="529"/>
      <c r="HW21" s="529"/>
      <c r="HX21" s="529"/>
      <c r="HY21" s="529"/>
      <c r="HZ21" s="529"/>
      <c r="IA21" s="529"/>
      <c r="IB21" s="529"/>
      <c r="IC21" s="529"/>
      <c r="ID21" s="529"/>
      <c r="IE21" s="529"/>
      <c r="IF21" s="529"/>
      <c r="IG21" s="529"/>
      <c r="IH21" s="529"/>
      <c r="II21" s="529"/>
      <c r="IJ21" s="529"/>
      <c r="IK21" s="529"/>
      <c r="IL21" s="529"/>
      <c r="IM21" s="529"/>
      <c r="IN21" s="529"/>
      <c r="IO21" s="529"/>
      <c r="IP21" s="529"/>
      <c r="IQ21" s="529"/>
      <c r="IR21" s="529"/>
      <c r="IS21" s="529"/>
      <c r="IT21" s="529"/>
      <c r="IU21" s="529"/>
      <c r="IV21" s="529"/>
      <c r="IW21" s="529"/>
      <c r="IX21" s="529"/>
      <c r="IY21" s="529"/>
      <c r="IZ21" s="529"/>
      <c r="JA21" s="529"/>
      <c r="JB21" s="529"/>
      <c r="JC21" s="529"/>
      <c r="JD21" s="529"/>
      <c r="JE21" s="529"/>
      <c r="JF21" s="529"/>
      <c r="JG21" s="529"/>
      <c r="JH21" s="529"/>
      <c r="JI21" s="529"/>
      <c r="JJ21" s="529"/>
      <c r="JK21" s="529"/>
      <c r="JL21" s="529"/>
      <c r="JM21" s="529"/>
      <c r="JN21" s="529"/>
      <c r="JO21" s="529"/>
      <c r="JP21" s="529"/>
      <c r="JQ21" s="529"/>
      <c r="JR21" s="529"/>
      <c r="JS21" s="529"/>
      <c r="JT21" s="529"/>
      <c r="JU21" s="529"/>
      <c r="JV21" s="529"/>
      <c r="JW21" s="529"/>
      <c r="JX21" s="529"/>
      <c r="JY21" s="529"/>
      <c r="JZ21" s="529"/>
      <c r="KA21" s="529"/>
      <c r="KB21" s="529"/>
      <c r="KC21" s="529"/>
      <c r="KD21" s="529"/>
      <c r="KE21" s="529"/>
      <c r="KF21" s="529"/>
      <c r="KG21" s="529"/>
      <c r="KH21" s="529"/>
      <c r="KI21" s="529"/>
      <c r="KJ21" s="529"/>
      <c r="KK21" s="529"/>
      <c r="KL21" s="529"/>
      <c r="KM21" s="529"/>
      <c r="KN21" s="529"/>
      <c r="KO21" s="529"/>
      <c r="KP21" s="529"/>
      <c r="KQ21" s="529"/>
      <c r="KR21" s="529"/>
      <c r="KS21" s="529"/>
      <c r="KT21" s="529"/>
      <c r="KU21" s="529"/>
      <c r="KV21" s="529"/>
      <c r="KW21" s="529"/>
      <c r="KX21" s="529"/>
      <c r="KY21" s="529"/>
      <c r="KZ21" s="529"/>
      <c r="LA21" s="529"/>
      <c r="LB21" s="529"/>
      <c r="LC21" s="529"/>
      <c r="LD21" s="529"/>
      <c r="LE21" s="529"/>
      <c r="LF21" s="529"/>
      <c r="LG21" s="529"/>
      <c r="LH21" s="529"/>
      <c r="LI21" s="529"/>
      <c r="LJ21" s="529"/>
      <c r="LK21" s="529"/>
      <c r="LL21" s="529"/>
      <c r="LM21" s="529"/>
      <c r="LN21" s="529"/>
      <c r="LO21" s="529"/>
      <c r="LP21" s="529"/>
      <c r="LQ21" s="529"/>
      <c r="LR21" s="529"/>
      <c r="LS21" s="529"/>
      <c r="LT21" s="529"/>
      <c r="LU21" s="529"/>
      <c r="LV21" s="529"/>
      <c r="LW21" s="529"/>
      <c r="LX21" s="529"/>
      <c r="LY21" s="529"/>
      <c r="LZ21" s="529"/>
      <c r="MA21" s="529"/>
      <c r="MB21" s="529"/>
      <c r="MC21" s="529"/>
      <c r="MD21" s="529"/>
      <c r="ME21" s="529"/>
      <c r="MF21" s="529"/>
      <c r="MG21" s="529"/>
      <c r="MH21" s="529"/>
      <c r="MI21" s="529"/>
      <c r="MJ21" s="529"/>
      <c r="MK21" s="529"/>
      <c r="ML21" s="529"/>
      <c r="MM21" s="529"/>
      <c r="MN21" s="529"/>
      <c r="MO21" s="529"/>
      <c r="MP21" s="529"/>
      <c r="MQ21" s="529"/>
      <c r="MR21" s="529"/>
      <c r="MS21" s="529"/>
      <c r="MT21" s="529"/>
      <c r="MU21" s="529"/>
      <c r="MV21" s="529"/>
      <c r="MW21" s="529"/>
      <c r="MX21" s="529"/>
      <c r="MY21" s="529"/>
      <c r="MZ21" s="529"/>
      <c r="NA21" s="529"/>
      <c r="NB21" s="529"/>
      <c r="NC21" s="529"/>
      <c r="ND21" s="529"/>
      <c r="NE21" s="529"/>
      <c r="NF21" s="529"/>
      <c r="NG21" s="529"/>
      <c r="NH21" s="529"/>
      <c r="NI21" s="529"/>
      <c r="NJ21" s="529"/>
      <c r="NK21" s="529"/>
      <c r="NL21" s="529"/>
      <c r="NM21" s="529"/>
      <c r="NN21" s="529"/>
      <c r="NO21" s="529"/>
      <c r="NP21" s="529"/>
      <c r="NQ21" s="529"/>
      <c r="NR21" s="529"/>
      <c r="NS21" s="529"/>
      <c r="NT21" s="529"/>
      <c r="NU21" s="529"/>
      <c r="NV21" s="529"/>
      <c r="NW21" s="529"/>
      <c r="NX21" s="529"/>
      <c r="NY21" s="529"/>
      <c r="NZ21" s="529"/>
      <c r="OA21" s="529"/>
      <c r="OB21" s="529"/>
      <c r="OC21" s="529"/>
      <c r="OD21" s="529"/>
      <c r="OE21" s="529"/>
      <c r="OF21" s="529"/>
      <c r="OG21" s="529"/>
      <c r="OH21" s="529"/>
      <c r="OI21" s="529"/>
      <c r="OJ21" s="529"/>
      <c r="OK21" s="529"/>
      <c r="OL21" s="529"/>
      <c r="OM21" s="529"/>
      <c r="ON21" s="529"/>
      <c r="OO21" s="529"/>
      <c r="OP21" s="529"/>
      <c r="OQ21" s="529"/>
      <c r="OR21" s="529"/>
      <c r="OS21" s="529"/>
      <c r="OT21" s="529"/>
      <c r="OU21" s="529"/>
      <c r="OV21" s="529"/>
      <c r="OW21" s="529"/>
      <c r="OX21" s="529"/>
      <c r="OY21" s="529"/>
      <c r="OZ21" s="529"/>
      <c r="PA21" s="529"/>
      <c r="PB21" s="529"/>
      <c r="PC21" s="529"/>
      <c r="PD21" s="529"/>
      <c r="PE21" s="529"/>
      <c r="PF21" s="529"/>
      <c r="PG21" s="529"/>
      <c r="PH21" s="529"/>
      <c r="PI21" s="529"/>
      <c r="PJ21" s="529"/>
      <c r="PK21" s="529"/>
      <c r="PL21" s="529"/>
      <c r="PM21" s="529"/>
      <c r="PN21" s="529"/>
      <c r="PO21" s="529"/>
      <c r="PP21" s="529"/>
      <c r="PQ21" s="529"/>
      <c r="PR21" s="529"/>
      <c r="PS21" s="529"/>
      <c r="PT21" s="529"/>
      <c r="PU21" s="529"/>
      <c r="PV21" s="529"/>
      <c r="PW21" s="529"/>
      <c r="PX21" s="529"/>
      <c r="PY21" s="529"/>
      <c r="PZ21" s="529"/>
      <c r="QA21" s="529"/>
      <c r="QB21" s="529"/>
      <c r="QC21" s="529"/>
      <c r="QD21" s="529"/>
      <c r="QE21" s="529"/>
      <c r="QF21" s="529"/>
      <c r="QG21" s="529"/>
      <c r="QH21" s="529"/>
      <c r="QI21" s="529"/>
      <c r="QJ21" s="529"/>
      <c r="QK21" s="529"/>
      <c r="QL21" s="529"/>
      <c r="QM21" s="529"/>
      <c r="QN21" s="529"/>
      <c r="QO21" s="529"/>
      <c r="QP21" s="529"/>
      <c r="QQ21" s="529"/>
      <c r="QR21" s="529"/>
      <c r="QS21" s="529"/>
      <c r="QT21" s="529"/>
      <c r="QU21" s="529"/>
      <c r="QV21" s="529"/>
      <c r="QW21" s="529"/>
      <c r="QX21" s="529"/>
      <c r="QY21" s="529"/>
      <c r="QZ21" s="529"/>
      <c r="RA21" s="529"/>
      <c r="RB21" s="529"/>
      <c r="RC21" s="529"/>
      <c r="RD21" s="529"/>
      <c r="RE21" s="529"/>
      <c r="RF21" s="529"/>
      <c r="RG21" s="529"/>
      <c r="RH21" s="529"/>
      <c r="RI21" s="529"/>
      <c r="RJ21" s="529"/>
      <c r="RK21" s="529"/>
      <c r="RL21" s="529"/>
      <c r="RM21" s="529"/>
      <c r="RN21" s="529"/>
      <c r="RO21" s="529"/>
      <c r="RP21" s="529"/>
      <c r="RQ21" s="529"/>
      <c r="RR21" s="529"/>
      <c r="RS21" s="529"/>
      <c r="RT21" s="529"/>
      <c r="RU21" s="529"/>
      <c r="RV21" s="529"/>
      <c r="RW21" s="529"/>
      <c r="RX21" s="529"/>
    </row>
    <row r="22" spans="1:492" s="530" customFormat="1" ht="20.149999999999999" customHeight="1">
      <c r="A22" s="547" t="s">
        <v>115</v>
      </c>
      <c r="B22" s="572" t="s">
        <v>116</v>
      </c>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58">
        <v>135</v>
      </c>
      <c r="AN22" s="528">
        <v>151.19999999999999</v>
      </c>
      <c r="AO22" s="528">
        <v>94.300000000000011</v>
      </c>
      <c r="AP22" s="528">
        <v>172.29999999999995</v>
      </c>
      <c r="AQ22" s="559">
        <f>SUM(AM22:AP22)</f>
        <v>552.79999999999995</v>
      </c>
      <c r="AR22" s="528"/>
      <c r="AS22" s="528"/>
      <c r="AT22" s="528"/>
      <c r="AU22" s="528"/>
      <c r="AV22" s="523"/>
      <c r="AW22" s="528">
        <v>145.69999999999999</v>
      </c>
      <c r="AX22" s="528">
        <v>161.60000000000002</v>
      </c>
      <c r="AY22" s="528">
        <v>94.899999999999977</v>
      </c>
      <c r="AZ22" s="528">
        <v>194.7</v>
      </c>
      <c r="BA22" s="534">
        <f>SUM(AW22:AZ22)</f>
        <v>596.9</v>
      </c>
      <c r="BB22" s="558">
        <v>147.1</v>
      </c>
      <c r="BC22" s="528">
        <v>118.6</v>
      </c>
      <c r="BD22" s="528">
        <v>135.10000000000002</v>
      </c>
      <c r="BE22" s="528">
        <v>201.3</v>
      </c>
      <c r="BF22" s="559">
        <f>SUM(BB22:BE22)</f>
        <v>602.1</v>
      </c>
      <c r="BG22" s="528">
        <v>146.1</v>
      </c>
      <c r="BH22" s="528">
        <v>189.1</v>
      </c>
      <c r="BI22" s="528">
        <v>117.9</v>
      </c>
      <c r="BJ22" s="528">
        <f>629.3-SUM(BG22:BI22)</f>
        <v>176.19999999999993</v>
      </c>
      <c r="BK22" s="559">
        <f>SUM(BG22:BJ22)</f>
        <v>629.29999999999995</v>
      </c>
      <c r="BL22" s="528">
        <v>95.5</v>
      </c>
      <c r="BM22" s="522">
        <f>237.9-BL22</f>
        <v>142.4</v>
      </c>
      <c r="BN22" s="528">
        <f>314.7-BM22-BL22</f>
        <v>76.799999999999983</v>
      </c>
      <c r="BO22" s="528">
        <f>504.9-BN22-BM22-BL22</f>
        <v>190.20000000000005</v>
      </c>
      <c r="BP22" s="559">
        <f>SUM(BL22:BO22)</f>
        <v>504.90000000000003</v>
      </c>
      <c r="BQ22" s="528">
        <v>92.5</v>
      </c>
      <c r="BR22" s="522">
        <v>156.69999999999999</v>
      </c>
      <c r="BS22" s="528">
        <v>83.100000000000023</v>
      </c>
      <c r="BT22" s="528">
        <v>139.69999999999999</v>
      </c>
      <c r="BU22" s="559">
        <f>SUM(BQ22:BT22)</f>
        <v>472</v>
      </c>
      <c r="BV22" s="528"/>
      <c r="BW22" s="980"/>
      <c r="BX22" s="529"/>
      <c r="BY22" s="529"/>
      <c r="BZ22" s="529"/>
      <c r="CA22" s="529"/>
      <c r="CB22" s="529"/>
      <c r="CC22" s="529"/>
      <c r="CD22" s="529"/>
      <c r="CE22" s="529"/>
      <c r="CF22" s="529"/>
      <c r="CG22" s="529"/>
      <c r="CH22" s="529"/>
      <c r="CI22" s="529"/>
      <c r="CJ22" s="529"/>
      <c r="CK22" s="529"/>
      <c r="CL22" s="529"/>
      <c r="CM22" s="529"/>
      <c r="CN22" s="529"/>
      <c r="CO22" s="529"/>
      <c r="CP22" s="529"/>
      <c r="CQ22" s="529"/>
      <c r="CR22" s="529"/>
      <c r="CS22" s="529"/>
      <c r="CT22" s="529"/>
      <c r="CU22" s="529"/>
      <c r="CV22" s="529"/>
      <c r="CW22" s="529"/>
      <c r="CX22" s="529"/>
      <c r="CY22" s="529"/>
      <c r="CZ22" s="529"/>
      <c r="DA22" s="529"/>
      <c r="DB22" s="529"/>
      <c r="DC22" s="529"/>
      <c r="DD22" s="529"/>
      <c r="DE22" s="529"/>
      <c r="DF22" s="529"/>
      <c r="DG22" s="529"/>
      <c r="DH22" s="529"/>
      <c r="DI22" s="529"/>
      <c r="DJ22" s="529"/>
      <c r="DK22" s="529"/>
      <c r="DL22" s="529"/>
      <c r="DM22" s="529"/>
      <c r="DN22" s="529"/>
      <c r="DO22" s="529"/>
      <c r="DP22" s="529"/>
      <c r="DQ22" s="529"/>
      <c r="DR22" s="529"/>
      <c r="DS22" s="529"/>
      <c r="DT22" s="529"/>
      <c r="DU22" s="529"/>
      <c r="DV22" s="529"/>
      <c r="DW22" s="529"/>
      <c r="DX22" s="529"/>
      <c r="DY22" s="529"/>
      <c r="DZ22" s="529"/>
      <c r="EA22" s="529"/>
      <c r="EB22" s="529"/>
      <c r="EC22" s="529"/>
      <c r="ED22" s="529"/>
      <c r="EE22" s="529"/>
      <c r="EF22" s="529"/>
      <c r="EG22" s="529"/>
      <c r="EH22" s="529"/>
      <c r="EI22" s="529"/>
      <c r="EJ22" s="529"/>
      <c r="EK22" s="529"/>
      <c r="EL22" s="529"/>
      <c r="EM22" s="529"/>
      <c r="EN22" s="529"/>
      <c r="EO22" s="529"/>
      <c r="EP22" s="529"/>
      <c r="EQ22" s="529"/>
      <c r="ER22" s="529"/>
      <c r="ES22" s="529"/>
      <c r="ET22" s="529"/>
      <c r="EU22" s="529"/>
      <c r="EV22" s="529"/>
      <c r="EW22" s="529"/>
      <c r="EX22" s="529"/>
      <c r="EY22" s="529"/>
      <c r="EZ22" s="529"/>
      <c r="FA22" s="529"/>
      <c r="FB22" s="529"/>
      <c r="FC22" s="529"/>
      <c r="FD22" s="529"/>
      <c r="FE22" s="529"/>
      <c r="FF22" s="529"/>
      <c r="FG22" s="529"/>
      <c r="FH22" s="529"/>
      <c r="FI22" s="529"/>
      <c r="FJ22" s="529"/>
      <c r="FK22" s="529"/>
      <c r="FL22" s="529"/>
      <c r="FM22" s="529"/>
      <c r="FN22" s="529"/>
      <c r="FO22" s="529"/>
      <c r="FP22" s="529"/>
      <c r="FQ22" s="529"/>
      <c r="FR22" s="529"/>
      <c r="FS22" s="529"/>
      <c r="FT22" s="529"/>
      <c r="FU22" s="529"/>
      <c r="FV22" s="529"/>
      <c r="FW22" s="529"/>
      <c r="FX22" s="529"/>
      <c r="FY22" s="529"/>
      <c r="FZ22" s="529"/>
      <c r="GA22" s="529"/>
      <c r="GB22" s="529"/>
      <c r="GC22" s="529"/>
      <c r="GD22" s="529"/>
      <c r="GE22" s="529"/>
      <c r="GF22" s="529"/>
      <c r="GG22" s="529"/>
      <c r="GH22" s="529"/>
      <c r="GI22" s="529"/>
      <c r="GJ22" s="529"/>
      <c r="GK22" s="529"/>
      <c r="GL22" s="529"/>
      <c r="GM22" s="529"/>
      <c r="GN22" s="529"/>
      <c r="GO22" s="529"/>
      <c r="GP22" s="529"/>
      <c r="GQ22" s="529"/>
      <c r="GR22" s="529"/>
      <c r="GS22" s="529"/>
      <c r="GT22" s="529"/>
      <c r="GU22" s="529"/>
      <c r="GV22" s="529"/>
      <c r="GW22" s="529"/>
      <c r="GX22" s="529"/>
      <c r="GY22" s="529"/>
      <c r="GZ22" s="529"/>
      <c r="HA22" s="529"/>
      <c r="HB22" s="529"/>
      <c r="HC22" s="529"/>
      <c r="HD22" s="529"/>
      <c r="HE22" s="529"/>
      <c r="HF22" s="529"/>
      <c r="HG22" s="529"/>
      <c r="HH22" s="529"/>
      <c r="HI22" s="529"/>
      <c r="HJ22" s="529"/>
      <c r="HK22" s="529"/>
      <c r="HL22" s="529"/>
      <c r="HM22" s="529"/>
      <c r="HN22" s="529"/>
      <c r="HO22" s="529"/>
      <c r="HP22" s="529"/>
      <c r="HQ22" s="529"/>
      <c r="HR22" s="529"/>
      <c r="HS22" s="529"/>
      <c r="HT22" s="529"/>
      <c r="HU22" s="529"/>
      <c r="HV22" s="529"/>
      <c r="HW22" s="529"/>
      <c r="HX22" s="529"/>
      <c r="HY22" s="529"/>
      <c r="HZ22" s="529"/>
      <c r="IA22" s="529"/>
      <c r="IB22" s="529"/>
      <c r="IC22" s="529"/>
      <c r="ID22" s="529"/>
      <c r="IE22" s="529"/>
      <c r="IF22" s="529"/>
      <c r="IG22" s="529"/>
      <c r="IH22" s="529"/>
      <c r="II22" s="529"/>
      <c r="IJ22" s="529"/>
      <c r="IK22" s="529"/>
      <c r="IL22" s="529"/>
      <c r="IM22" s="529"/>
      <c r="IN22" s="529"/>
      <c r="IO22" s="529"/>
      <c r="IP22" s="529"/>
      <c r="IQ22" s="529"/>
      <c r="IR22" s="529"/>
      <c r="IS22" s="529"/>
      <c r="IT22" s="529"/>
      <c r="IU22" s="529"/>
      <c r="IV22" s="529"/>
      <c r="IW22" s="529"/>
      <c r="IX22" s="529"/>
      <c r="IY22" s="529"/>
      <c r="IZ22" s="529"/>
      <c r="JA22" s="529"/>
      <c r="JB22" s="529"/>
      <c r="JC22" s="529"/>
      <c r="JD22" s="529"/>
      <c r="JE22" s="529"/>
      <c r="JF22" s="529"/>
      <c r="JG22" s="529"/>
      <c r="JH22" s="529"/>
      <c r="JI22" s="529"/>
      <c r="JJ22" s="529"/>
      <c r="JK22" s="529"/>
      <c r="JL22" s="529"/>
      <c r="JM22" s="529"/>
      <c r="JN22" s="529"/>
      <c r="JO22" s="529"/>
      <c r="JP22" s="529"/>
      <c r="JQ22" s="529"/>
      <c r="JR22" s="529"/>
      <c r="JS22" s="529"/>
      <c r="JT22" s="529"/>
      <c r="JU22" s="529"/>
      <c r="JV22" s="529"/>
      <c r="JW22" s="529"/>
      <c r="JX22" s="529"/>
      <c r="JY22" s="529"/>
      <c r="JZ22" s="529"/>
      <c r="KA22" s="529"/>
      <c r="KB22" s="529"/>
      <c r="KC22" s="529"/>
      <c r="KD22" s="529"/>
      <c r="KE22" s="529"/>
      <c r="KF22" s="529"/>
      <c r="KG22" s="529"/>
      <c r="KH22" s="529"/>
      <c r="KI22" s="529"/>
      <c r="KJ22" s="529"/>
      <c r="KK22" s="529"/>
      <c r="KL22" s="529"/>
      <c r="KM22" s="529"/>
      <c r="KN22" s="529"/>
      <c r="KO22" s="529"/>
      <c r="KP22" s="529"/>
      <c r="KQ22" s="529"/>
      <c r="KR22" s="529"/>
      <c r="KS22" s="529"/>
      <c r="KT22" s="529"/>
      <c r="KU22" s="529"/>
      <c r="KV22" s="529"/>
      <c r="KW22" s="529"/>
      <c r="KX22" s="529"/>
      <c r="KY22" s="529"/>
      <c r="KZ22" s="529"/>
      <c r="LA22" s="529"/>
      <c r="LB22" s="529"/>
      <c r="LC22" s="529"/>
      <c r="LD22" s="529"/>
      <c r="LE22" s="529"/>
      <c r="LF22" s="529"/>
      <c r="LG22" s="529"/>
      <c r="LH22" s="529"/>
      <c r="LI22" s="529"/>
      <c r="LJ22" s="529"/>
      <c r="LK22" s="529"/>
      <c r="LL22" s="529"/>
      <c r="LM22" s="529"/>
      <c r="LN22" s="529"/>
      <c r="LO22" s="529"/>
      <c r="LP22" s="529"/>
      <c r="LQ22" s="529"/>
      <c r="LR22" s="529"/>
      <c r="LS22" s="529"/>
      <c r="LT22" s="529"/>
      <c r="LU22" s="529"/>
      <c r="LV22" s="529"/>
      <c r="LW22" s="529"/>
      <c r="LX22" s="529"/>
      <c r="LY22" s="529"/>
      <c r="LZ22" s="529"/>
      <c r="MA22" s="529"/>
      <c r="MB22" s="529"/>
      <c r="MC22" s="529"/>
      <c r="MD22" s="529"/>
      <c r="ME22" s="529"/>
      <c r="MF22" s="529"/>
      <c r="MG22" s="529"/>
      <c r="MH22" s="529"/>
      <c r="MI22" s="529"/>
      <c r="MJ22" s="529"/>
      <c r="MK22" s="529"/>
      <c r="ML22" s="529"/>
      <c r="MM22" s="529"/>
      <c r="MN22" s="529"/>
      <c r="MO22" s="529"/>
      <c r="MP22" s="529"/>
      <c r="MQ22" s="529"/>
      <c r="MR22" s="529"/>
      <c r="MS22" s="529"/>
      <c r="MT22" s="529"/>
      <c r="MU22" s="529"/>
      <c r="MV22" s="529"/>
      <c r="MW22" s="529"/>
      <c r="MX22" s="529"/>
      <c r="MY22" s="529"/>
      <c r="MZ22" s="529"/>
      <c r="NA22" s="529"/>
      <c r="NB22" s="529"/>
      <c r="NC22" s="529"/>
      <c r="ND22" s="529"/>
      <c r="NE22" s="529"/>
      <c r="NF22" s="529"/>
      <c r="NG22" s="529"/>
      <c r="NH22" s="529"/>
      <c r="NI22" s="529"/>
      <c r="NJ22" s="529"/>
      <c r="NK22" s="529"/>
      <c r="NL22" s="529"/>
      <c r="NM22" s="529"/>
      <c r="NN22" s="529"/>
      <c r="NO22" s="529"/>
      <c r="NP22" s="529"/>
      <c r="NQ22" s="529"/>
      <c r="NR22" s="529"/>
      <c r="NS22" s="529"/>
      <c r="NT22" s="529"/>
      <c r="NU22" s="529"/>
      <c r="NV22" s="529"/>
      <c r="NW22" s="529"/>
      <c r="NX22" s="529"/>
      <c r="NY22" s="529"/>
      <c r="NZ22" s="529"/>
      <c r="OA22" s="529"/>
      <c r="OB22" s="529"/>
      <c r="OC22" s="529"/>
      <c r="OD22" s="529"/>
      <c r="OE22" s="529"/>
      <c r="OF22" s="529"/>
      <c r="OG22" s="529"/>
      <c r="OH22" s="529"/>
      <c r="OI22" s="529"/>
      <c r="OJ22" s="529"/>
      <c r="OK22" s="529"/>
      <c r="OL22" s="529"/>
      <c r="OM22" s="529"/>
      <c r="ON22" s="529"/>
      <c r="OO22" s="529"/>
      <c r="OP22" s="529"/>
      <c r="OQ22" s="529"/>
      <c r="OR22" s="529"/>
      <c r="OS22" s="529"/>
      <c r="OT22" s="529"/>
      <c r="OU22" s="529"/>
      <c r="OV22" s="529"/>
      <c r="OW22" s="529"/>
      <c r="OX22" s="529"/>
      <c r="OY22" s="529"/>
      <c r="OZ22" s="529"/>
      <c r="PA22" s="529"/>
      <c r="PB22" s="529"/>
      <c r="PC22" s="529"/>
      <c r="PD22" s="529"/>
      <c r="PE22" s="529"/>
      <c r="PF22" s="529"/>
      <c r="PG22" s="529"/>
      <c r="PH22" s="529"/>
      <c r="PI22" s="529"/>
      <c r="PJ22" s="529"/>
      <c r="PK22" s="529"/>
      <c r="PL22" s="529"/>
      <c r="PM22" s="529"/>
      <c r="PN22" s="529"/>
      <c r="PO22" s="529"/>
      <c r="PP22" s="529"/>
      <c r="PQ22" s="529"/>
      <c r="PR22" s="529"/>
      <c r="PS22" s="529"/>
      <c r="PT22" s="529"/>
      <c r="PU22" s="529"/>
      <c r="PV22" s="529"/>
      <c r="PW22" s="529"/>
      <c r="PX22" s="529"/>
      <c r="PY22" s="529"/>
      <c r="PZ22" s="529"/>
      <c r="QA22" s="529"/>
      <c r="QB22" s="529"/>
      <c r="QC22" s="529"/>
      <c r="QD22" s="529"/>
      <c r="QE22" s="529"/>
      <c r="QF22" s="529"/>
      <c r="QG22" s="529"/>
      <c r="QH22" s="529"/>
      <c r="QI22" s="529"/>
      <c r="QJ22" s="529"/>
      <c r="QK22" s="529"/>
      <c r="QL22" s="529"/>
      <c r="QM22" s="529"/>
      <c r="QN22" s="529"/>
      <c r="QO22" s="529"/>
      <c r="QP22" s="529"/>
      <c r="QQ22" s="529"/>
      <c r="QR22" s="529"/>
      <c r="QS22" s="529"/>
      <c r="QT22" s="529"/>
      <c r="QU22" s="529"/>
      <c r="QV22" s="529"/>
      <c r="QW22" s="529"/>
      <c r="QX22" s="529"/>
      <c r="QY22" s="529"/>
      <c r="QZ22" s="529"/>
      <c r="RA22" s="529"/>
      <c r="RB22" s="529"/>
      <c r="RC22" s="529"/>
      <c r="RD22" s="529"/>
      <c r="RE22" s="529"/>
      <c r="RF22" s="529"/>
      <c r="RG22" s="529"/>
      <c r="RH22" s="529"/>
      <c r="RI22" s="529"/>
      <c r="RJ22" s="529"/>
      <c r="RK22" s="529"/>
      <c r="RL22" s="529"/>
      <c r="RM22" s="529"/>
      <c r="RN22" s="529"/>
      <c r="RO22" s="529"/>
      <c r="RP22" s="529"/>
      <c r="RQ22" s="529"/>
      <c r="RR22" s="529"/>
      <c r="RS22" s="529"/>
      <c r="RT22" s="529"/>
      <c r="RU22" s="529"/>
      <c r="RV22" s="529"/>
      <c r="RW22" s="529"/>
      <c r="RX22" s="529"/>
    </row>
    <row r="23" spans="1:492" s="530" customFormat="1" ht="20.149999999999999" customHeight="1">
      <c r="A23" s="547" t="s">
        <v>123</v>
      </c>
      <c r="B23" s="572" t="s">
        <v>118</v>
      </c>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58"/>
      <c r="AN23" s="528"/>
      <c r="AO23" s="528"/>
      <c r="AP23" s="528"/>
      <c r="AQ23" s="559"/>
      <c r="AR23" s="528"/>
      <c r="AS23" s="528"/>
      <c r="AT23" s="528"/>
      <c r="AU23" s="528"/>
      <c r="AV23" s="523"/>
      <c r="AW23" s="528"/>
      <c r="AX23" s="528"/>
      <c r="AY23" s="528"/>
      <c r="AZ23" s="528"/>
      <c r="BA23" s="534"/>
      <c r="BB23" s="558"/>
      <c r="BC23" s="528"/>
      <c r="BD23" s="528"/>
      <c r="BE23" s="528"/>
      <c r="BF23" s="559"/>
      <c r="BG23" s="528"/>
      <c r="BH23" s="528"/>
      <c r="BI23" s="528"/>
      <c r="BJ23" s="528"/>
      <c r="BK23" s="559"/>
      <c r="BL23" s="528"/>
      <c r="BM23" s="522">
        <v>3.7</v>
      </c>
      <c r="BN23" s="528">
        <f>14-BM23-BL23</f>
        <v>10.3</v>
      </c>
      <c r="BO23" s="528">
        <f>57-BN23-BM23</f>
        <v>43</v>
      </c>
      <c r="BP23" s="559">
        <f>SUM(BL23:BO23)</f>
        <v>57</v>
      </c>
      <c r="BQ23" s="528">
        <v>7</v>
      </c>
      <c r="BR23" s="522">
        <v>6</v>
      </c>
      <c r="BS23" s="528">
        <v>8.6999999999999993</v>
      </c>
      <c r="BT23" s="528">
        <v>5.3</v>
      </c>
      <c r="BU23" s="559">
        <f>SUM(BQ23:BT23)</f>
        <v>27</v>
      </c>
      <c r="BV23" s="528"/>
      <c r="BW23" s="980"/>
      <c r="BX23" s="529"/>
      <c r="BY23" s="529"/>
      <c r="BZ23" s="529"/>
      <c r="CA23" s="529"/>
      <c r="CB23" s="529"/>
      <c r="CC23" s="529"/>
      <c r="CD23" s="529"/>
      <c r="CE23" s="529"/>
      <c r="CF23" s="529"/>
      <c r="CG23" s="529"/>
      <c r="CH23" s="529"/>
      <c r="CI23" s="529"/>
      <c r="CJ23" s="529"/>
      <c r="CK23" s="529"/>
      <c r="CL23" s="529"/>
      <c r="CM23" s="529"/>
      <c r="CN23" s="529"/>
      <c r="CO23" s="529"/>
      <c r="CP23" s="529"/>
      <c r="CQ23" s="529"/>
      <c r="CR23" s="529"/>
      <c r="CS23" s="529"/>
      <c r="CT23" s="529"/>
      <c r="CU23" s="529"/>
      <c r="CV23" s="529"/>
      <c r="CW23" s="529"/>
      <c r="CX23" s="529"/>
      <c r="CY23" s="529"/>
      <c r="CZ23" s="529"/>
      <c r="DA23" s="529"/>
      <c r="DB23" s="529"/>
      <c r="DC23" s="529"/>
      <c r="DD23" s="529"/>
      <c r="DE23" s="529"/>
      <c r="DF23" s="529"/>
      <c r="DG23" s="529"/>
      <c r="DH23" s="529"/>
      <c r="DI23" s="529"/>
      <c r="DJ23" s="529"/>
      <c r="DK23" s="529"/>
      <c r="DL23" s="529"/>
      <c r="DM23" s="529"/>
      <c r="DN23" s="529"/>
      <c r="DO23" s="529"/>
      <c r="DP23" s="529"/>
      <c r="DQ23" s="529"/>
      <c r="DR23" s="529"/>
      <c r="DS23" s="529"/>
      <c r="DT23" s="529"/>
      <c r="DU23" s="529"/>
      <c r="DV23" s="529"/>
      <c r="DW23" s="529"/>
      <c r="DX23" s="529"/>
      <c r="DY23" s="529"/>
      <c r="DZ23" s="529"/>
      <c r="EA23" s="529"/>
      <c r="EB23" s="529"/>
      <c r="EC23" s="529"/>
      <c r="ED23" s="529"/>
      <c r="EE23" s="529"/>
      <c r="EF23" s="529"/>
      <c r="EG23" s="529"/>
      <c r="EH23" s="529"/>
      <c r="EI23" s="529"/>
      <c r="EJ23" s="529"/>
      <c r="EK23" s="529"/>
      <c r="EL23" s="529"/>
      <c r="EM23" s="529"/>
      <c r="EN23" s="529"/>
      <c r="EO23" s="529"/>
      <c r="EP23" s="529"/>
      <c r="EQ23" s="529"/>
      <c r="ER23" s="529"/>
      <c r="ES23" s="529"/>
      <c r="ET23" s="529"/>
      <c r="EU23" s="529"/>
      <c r="EV23" s="529"/>
      <c r="EW23" s="529"/>
      <c r="EX23" s="529"/>
      <c r="EY23" s="529"/>
      <c r="EZ23" s="529"/>
      <c r="FA23" s="529"/>
      <c r="FB23" s="529"/>
      <c r="FC23" s="529"/>
      <c r="FD23" s="529"/>
      <c r="FE23" s="529"/>
      <c r="FF23" s="529"/>
      <c r="FG23" s="529"/>
      <c r="FH23" s="529"/>
      <c r="FI23" s="529"/>
      <c r="FJ23" s="529"/>
      <c r="FK23" s="529"/>
      <c r="FL23" s="529"/>
      <c r="FM23" s="529"/>
      <c r="FN23" s="529"/>
      <c r="FO23" s="529"/>
      <c r="FP23" s="529"/>
      <c r="FQ23" s="529"/>
      <c r="FR23" s="529"/>
      <c r="FS23" s="529"/>
      <c r="FT23" s="529"/>
      <c r="FU23" s="529"/>
      <c r="FV23" s="529"/>
      <c r="FW23" s="529"/>
      <c r="FX23" s="529"/>
      <c r="FY23" s="529"/>
      <c r="FZ23" s="529"/>
      <c r="GA23" s="529"/>
      <c r="GB23" s="529"/>
      <c r="GC23" s="529"/>
      <c r="GD23" s="529"/>
      <c r="GE23" s="529"/>
      <c r="GF23" s="529"/>
      <c r="GG23" s="529"/>
      <c r="GH23" s="529"/>
      <c r="GI23" s="529"/>
      <c r="GJ23" s="529"/>
      <c r="GK23" s="529"/>
      <c r="GL23" s="529"/>
      <c r="GM23" s="529"/>
      <c r="GN23" s="529"/>
      <c r="GO23" s="529"/>
      <c r="GP23" s="529"/>
      <c r="GQ23" s="529"/>
      <c r="GR23" s="529"/>
      <c r="GS23" s="529"/>
      <c r="GT23" s="529"/>
      <c r="GU23" s="529"/>
      <c r="GV23" s="529"/>
      <c r="GW23" s="529"/>
      <c r="GX23" s="529"/>
      <c r="GY23" s="529"/>
      <c r="GZ23" s="529"/>
      <c r="HA23" s="529"/>
      <c r="HB23" s="529"/>
      <c r="HC23" s="529"/>
      <c r="HD23" s="529"/>
      <c r="HE23" s="529"/>
      <c r="HF23" s="529"/>
      <c r="HG23" s="529"/>
      <c r="HH23" s="529"/>
      <c r="HI23" s="529"/>
      <c r="HJ23" s="529"/>
      <c r="HK23" s="529"/>
      <c r="HL23" s="529"/>
      <c r="HM23" s="529"/>
      <c r="HN23" s="529"/>
      <c r="HO23" s="529"/>
      <c r="HP23" s="529"/>
      <c r="HQ23" s="529"/>
      <c r="HR23" s="529"/>
      <c r="HS23" s="529"/>
      <c r="HT23" s="529"/>
      <c r="HU23" s="529"/>
      <c r="HV23" s="529"/>
      <c r="HW23" s="529"/>
      <c r="HX23" s="529"/>
      <c r="HY23" s="529"/>
      <c r="HZ23" s="529"/>
      <c r="IA23" s="529"/>
      <c r="IB23" s="529"/>
      <c r="IC23" s="529"/>
      <c r="ID23" s="529"/>
      <c r="IE23" s="529"/>
      <c r="IF23" s="529"/>
      <c r="IG23" s="529"/>
      <c r="IH23" s="529"/>
      <c r="II23" s="529"/>
      <c r="IJ23" s="529"/>
      <c r="IK23" s="529"/>
      <c r="IL23" s="529"/>
      <c r="IM23" s="529"/>
      <c r="IN23" s="529"/>
      <c r="IO23" s="529"/>
      <c r="IP23" s="529"/>
      <c r="IQ23" s="529"/>
      <c r="IR23" s="529"/>
      <c r="IS23" s="529"/>
      <c r="IT23" s="529"/>
      <c r="IU23" s="529"/>
      <c r="IV23" s="529"/>
      <c r="IW23" s="529"/>
      <c r="IX23" s="529"/>
      <c r="IY23" s="529"/>
      <c r="IZ23" s="529"/>
      <c r="JA23" s="529"/>
      <c r="JB23" s="529"/>
      <c r="JC23" s="529"/>
      <c r="JD23" s="529"/>
      <c r="JE23" s="529"/>
      <c r="JF23" s="529"/>
      <c r="JG23" s="529"/>
      <c r="JH23" s="529"/>
      <c r="JI23" s="529"/>
      <c r="JJ23" s="529"/>
      <c r="JK23" s="529"/>
      <c r="JL23" s="529"/>
      <c r="JM23" s="529"/>
      <c r="JN23" s="529"/>
      <c r="JO23" s="529"/>
      <c r="JP23" s="529"/>
      <c r="JQ23" s="529"/>
      <c r="JR23" s="529"/>
      <c r="JS23" s="529"/>
      <c r="JT23" s="529"/>
      <c r="JU23" s="529"/>
      <c r="JV23" s="529"/>
      <c r="JW23" s="529"/>
      <c r="JX23" s="529"/>
      <c r="JY23" s="529"/>
      <c r="JZ23" s="529"/>
      <c r="KA23" s="529"/>
      <c r="KB23" s="529"/>
      <c r="KC23" s="529"/>
      <c r="KD23" s="529"/>
      <c r="KE23" s="529"/>
      <c r="KF23" s="529"/>
      <c r="KG23" s="529"/>
      <c r="KH23" s="529"/>
      <c r="KI23" s="529"/>
      <c r="KJ23" s="529"/>
      <c r="KK23" s="529"/>
      <c r="KL23" s="529"/>
      <c r="KM23" s="529"/>
      <c r="KN23" s="529"/>
      <c r="KO23" s="529"/>
      <c r="KP23" s="529"/>
      <c r="KQ23" s="529"/>
      <c r="KR23" s="529"/>
      <c r="KS23" s="529"/>
      <c r="KT23" s="529"/>
      <c r="KU23" s="529"/>
      <c r="KV23" s="529"/>
      <c r="KW23" s="529"/>
      <c r="KX23" s="529"/>
      <c r="KY23" s="529"/>
      <c r="KZ23" s="529"/>
      <c r="LA23" s="529"/>
      <c r="LB23" s="529"/>
      <c r="LC23" s="529"/>
      <c r="LD23" s="529"/>
      <c r="LE23" s="529"/>
      <c r="LF23" s="529"/>
      <c r="LG23" s="529"/>
      <c r="LH23" s="529"/>
      <c r="LI23" s="529"/>
      <c r="LJ23" s="529"/>
      <c r="LK23" s="529"/>
      <c r="LL23" s="529"/>
      <c r="LM23" s="529"/>
      <c r="LN23" s="529"/>
      <c r="LO23" s="529"/>
      <c r="LP23" s="529"/>
      <c r="LQ23" s="529"/>
      <c r="LR23" s="529"/>
      <c r="LS23" s="529"/>
      <c r="LT23" s="529"/>
      <c r="LU23" s="529"/>
      <c r="LV23" s="529"/>
      <c r="LW23" s="529"/>
      <c r="LX23" s="529"/>
      <c r="LY23" s="529"/>
      <c r="LZ23" s="529"/>
      <c r="MA23" s="529"/>
      <c r="MB23" s="529"/>
      <c r="MC23" s="529"/>
      <c r="MD23" s="529"/>
      <c r="ME23" s="529"/>
      <c r="MF23" s="529"/>
      <c r="MG23" s="529"/>
      <c r="MH23" s="529"/>
      <c r="MI23" s="529"/>
      <c r="MJ23" s="529"/>
      <c r="MK23" s="529"/>
      <c r="ML23" s="529"/>
      <c r="MM23" s="529"/>
      <c r="MN23" s="529"/>
      <c r="MO23" s="529"/>
      <c r="MP23" s="529"/>
      <c r="MQ23" s="529"/>
      <c r="MR23" s="529"/>
      <c r="MS23" s="529"/>
      <c r="MT23" s="529"/>
      <c r="MU23" s="529"/>
      <c r="MV23" s="529"/>
      <c r="MW23" s="529"/>
      <c r="MX23" s="529"/>
      <c r="MY23" s="529"/>
      <c r="MZ23" s="529"/>
      <c r="NA23" s="529"/>
      <c r="NB23" s="529"/>
      <c r="NC23" s="529"/>
      <c r="ND23" s="529"/>
      <c r="NE23" s="529"/>
      <c r="NF23" s="529"/>
      <c r="NG23" s="529"/>
      <c r="NH23" s="529"/>
      <c r="NI23" s="529"/>
      <c r="NJ23" s="529"/>
      <c r="NK23" s="529"/>
      <c r="NL23" s="529"/>
      <c r="NM23" s="529"/>
      <c r="NN23" s="529"/>
      <c r="NO23" s="529"/>
      <c r="NP23" s="529"/>
      <c r="NQ23" s="529"/>
      <c r="NR23" s="529"/>
      <c r="NS23" s="529"/>
      <c r="NT23" s="529"/>
      <c r="NU23" s="529"/>
      <c r="NV23" s="529"/>
      <c r="NW23" s="529"/>
      <c r="NX23" s="529"/>
      <c r="NY23" s="529"/>
      <c r="NZ23" s="529"/>
      <c r="OA23" s="529"/>
      <c r="OB23" s="529"/>
      <c r="OC23" s="529"/>
      <c r="OD23" s="529"/>
      <c r="OE23" s="529"/>
      <c r="OF23" s="529"/>
      <c r="OG23" s="529"/>
      <c r="OH23" s="529"/>
      <c r="OI23" s="529"/>
      <c r="OJ23" s="529"/>
      <c r="OK23" s="529"/>
      <c r="OL23" s="529"/>
      <c r="OM23" s="529"/>
      <c r="ON23" s="529"/>
      <c r="OO23" s="529"/>
      <c r="OP23" s="529"/>
      <c r="OQ23" s="529"/>
      <c r="OR23" s="529"/>
      <c r="OS23" s="529"/>
      <c r="OT23" s="529"/>
      <c r="OU23" s="529"/>
      <c r="OV23" s="529"/>
      <c r="OW23" s="529"/>
      <c r="OX23" s="529"/>
      <c r="OY23" s="529"/>
      <c r="OZ23" s="529"/>
      <c r="PA23" s="529"/>
      <c r="PB23" s="529"/>
      <c r="PC23" s="529"/>
      <c r="PD23" s="529"/>
      <c r="PE23" s="529"/>
      <c r="PF23" s="529"/>
      <c r="PG23" s="529"/>
      <c r="PH23" s="529"/>
      <c r="PI23" s="529"/>
      <c r="PJ23" s="529"/>
      <c r="PK23" s="529"/>
      <c r="PL23" s="529"/>
      <c r="PM23" s="529"/>
      <c r="PN23" s="529"/>
      <c r="PO23" s="529"/>
      <c r="PP23" s="529"/>
      <c r="PQ23" s="529"/>
      <c r="PR23" s="529"/>
      <c r="PS23" s="529"/>
      <c r="PT23" s="529"/>
      <c r="PU23" s="529"/>
      <c r="PV23" s="529"/>
      <c r="PW23" s="529"/>
      <c r="PX23" s="529"/>
      <c r="PY23" s="529"/>
      <c r="PZ23" s="529"/>
      <c r="QA23" s="529"/>
      <c r="QB23" s="529"/>
      <c r="QC23" s="529"/>
      <c r="QD23" s="529"/>
      <c r="QE23" s="529"/>
      <c r="QF23" s="529"/>
      <c r="QG23" s="529"/>
      <c r="QH23" s="529"/>
      <c r="QI23" s="529"/>
      <c r="QJ23" s="529"/>
      <c r="QK23" s="529"/>
      <c r="QL23" s="529"/>
      <c r="QM23" s="529"/>
      <c r="QN23" s="529"/>
      <c r="QO23" s="529"/>
      <c r="QP23" s="529"/>
      <c r="QQ23" s="529"/>
      <c r="QR23" s="529"/>
      <c r="QS23" s="529"/>
      <c r="QT23" s="529"/>
      <c r="QU23" s="529"/>
      <c r="QV23" s="529"/>
      <c r="QW23" s="529"/>
      <c r="QX23" s="529"/>
      <c r="QY23" s="529"/>
      <c r="QZ23" s="529"/>
      <c r="RA23" s="529"/>
      <c r="RB23" s="529"/>
      <c r="RC23" s="529"/>
      <c r="RD23" s="529"/>
      <c r="RE23" s="529"/>
      <c r="RF23" s="529"/>
      <c r="RG23" s="529"/>
      <c r="RH23" s="529"/>
      <c r="RI23" s="529"/>
      <c r="RJ23" s="529"/>
      <c r="RK23" s="529"/>
      <c r="RL23" s="529"/>
      <c r="RM23" s="529"/>
      <c r="RN23" s="529"/>
      <c r="RO23" s="529"/>
      <c r="RP23" s="529"/>
      <c r="RQ23" s="529"/>
      <c r="RR23" s="529"/>
      <c r="RS23" s="529"/>
      <c r="RT23" s="529"/>
      <c r="RU23" s="529"/>
      <c r="RV23" s="529"/>
      <c r="RW23" s="529"/>
      <c r="RX23" s="529"/>
    </row>
    <row r="24" spans="1:492" s="530" customFormat="1" ht="20.149999999999999" customHeight="1">
      <c r="A24" s="547" t="s">
        <v>734</v>
      </c>
      <c r="B24" s="572" t="s">
        <v>735</v>
      </c>
      <c r="C24" s="527"/>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58"/>
      <c r="AN24" s="528"/>
      <c r="AO24" s="528"/>
      <c r="AP24" s="528"/>
      <c r="AQ24" s="559"/>
      <c r="AR24" s="528"/>
      <c r="AS24" s="528"/>
      <c r="AT24" s="528"/>
      <c r="AU24" s="528"/>
      <c r="AV24" s="523"/>
      <c r="AW24" s="528"/>
      <c r="AX24" s="528"/>
      <c r="AY24" s="528"/>
      <c r="AZ24" s="528"/>
      <c r="BA24" s="534"/>
      <c r="BB24" s="558"/>
      <c r="BC24" s="528"/>
      <c r="BD24" s="528"/>
      <c r="BE24" s="528"/>
      <c r="BF24" s="559"/>
      <c r="BG24" s="528"/>
      <c r="BH24" s="528"/>
      <c r="BI24" s="528"/>
      <c r="BJ24" s="528"/>
      <c r="BK24" s="559"/>
      <c r="BL24" s="528"/>
      <c r="BM24" s="522"/>
      <c r="BN24" s="528"/>
      <c r="BO24" s="528"/>
      <c r="BP24" s="559"/>
      <c r="BQ24" s="528"/>
      <c r="BR24" s="522"/>
      <c r="BS24" s="528">
        <v>25.9</v>
      </c>
      <c r="BT24" s="759">
        <v>-1.4</v>
      </c>
      <c r="BU24" s="559">
        <f>SUM(BQ24:BT24)</f>
        <v>24.5</v>
      </c>
      <c r="BV24" s="528"/>
      <c r="BW24" s="980"/>
      <c r="BX24" s="529"/>
      <c r="BY24" s="529"/>
      <c r="BZ24" s="529"/>
      <c r="CA24" s="529"/>
      <c r="CB24" s="529"/>
      <c r="CC24" s="529"/>
      <c r="CD24" s="529"/>
      <c r="CE24" s="529"/>
      <c r="CF24" s="529"/>
      <c r="CG24" s="529"/>
      <c r="CH24" s="529"/>
      <c r="CI24" s="529"/>
      <c r="CJ24" s="529"/>
      <c r="CK24" s="529"/>
      <c r="CL24" s="529"/>
      <c r="CM24" s="529"/>
      <c r="CN24" s="529"/>
      <c r="CO24" s="529"/>
      <c r="CP24" s="529"/>
      <c r="CQ24" s="529"/>
      <c r="CR24" s="529"/>
      <c r="CS24" s="529"/>
      <c r="CT24" s="529"/>
      <c r="CU24" s="529"/>
      <c r="CV24" s="529"/>
      <c r="CW24" s="529"/>
      <c r="CX24" s="529"/>
      <c r="CY24" s="529"/>
      <c r="CZ24" s="529"/>
      <c r="DA24" s="529"/>
      <c r="DB24" s="529"/>
      <c r="DC24" s="529"/>
      <c r="DD24" s="529"/>
      <c r="DE24" s="529"/>
      <c r="DF24" s="529"/>
      <c r="DG24" s="529"/>
      <c r="DH24" s="529"/>
      <c r="DI24" s="529"/>
      <c r="DJ24" s="529"/>
      <c r="DK24" s="529"/>
      <c r="DL24" s="529"/>
      <c r="DM24" s="529"/>
      <c r="DN24" s="529"/>
      <c r="DO24" s="529"/>
      <c r="DP24" s="529"/>
      <c r="DQ24" s="529"/>
      <c r="DR24" s="529"/>
      <c r="DS24" s="529"/>
      <c r="DT24" s="529"/>
      <c r="DU24" s="529"/>
      <c r="DV24" s="529"/>
      <c r="DW24" s="529"/>
      <c r="DX24" s="529"/>
      <c r="DY24" s="529"/>
      <c r="DZ24" s="529"/>
      <c r="EA24" s="529"/>
      <c r="EB24" s="529"/>
      <c r="EC24" s="529"/>
      <c r="ED24" s="529"/>
      <c r="EE24" s="529"/>
      <c r="EF24" s="529"/>
      <c r="EG24" s="529"/>
      <c r="EH24" s="529"/>
      <c r="EI24" s="529"/>
      <c r="EJ24" s="529"/>
      <c r="EK24" s="529"/>
      <c r="EL24" s="529"/>
      <c r="EM24" s="529"/>
      <c r="EN24" s="529"/>
      <c r="EO24" s="529"/>
      <c r="EP24" s="529"/>
      <c r="EQ24" s="529"/>
      <c r="ER24" s="529"/>
      <c r="ES24" s="529"/>
      <c r="ET24" s="529"/>
      <c r="EU24" s="529"/>
      <c r="EV24" s="529"/>
      <c r="EW24" s="529"/>
      <c r="EX24" s="529"/>
      <c r="EY24" s="529"/>
      <c r="EZ24" s="529"/>
      <c r="FA24" s="529"/>
      <c r="FB24" s="529"/>
      <c r="FC24" s="529"/>
      <c r="FD24" s="529"/>
      <c r="FE24" s="529"/>
      <c r="FF24" s="529"/>
      <c r="FG24" s="529"/>
      <c r="FH24" s="529"/>
      <c r="FI24" s="529"/>
      <c r="FJ24" s="529"/>
      <c r="FK24" s="529"/>
      <c r="FL24" s="529"/>
      <c r="FM24" s="529"/>
      <c r="FN24" s="529"/>
      <c r="FO24" s="529"/>
      <c r="FP24" s="529"/>
      <c r="FQ24" s="529"/>
      <c r="FR24" s="529"/>
      <c r="FS24" s="529"/>
      <c r="FT24" s="529"/>
      <c r="FU24" s="529"/>
      <c r="FV24" s="529"/>
      <c r="FW24" s="529"/>
      <c r="FX24" s="529"/>
      <c r="FY24" s="529"/>
      <c r="FZ24" s="529"/>
      <c r="GA24" s="529"/>
      <c r="GB24" s="529"/>
      <c r="GC24" s="529"/>
      <c r="GD24" s="529"/>
      <c r="GE24" s="529"/>
      <c r="GF24" s="529"/>
      <c r="GG24" s="529"/>
      <c r="GH24" s="529"/>
      <c r="GI24" s="529"/>
      <c r="GJ24" s="529"/>
      <c r="GK24" s="529"/>
      <c r="GL24" s="529"/>
      <c r="GM24" s="529"/>
      <c r="GN24" s="529"/>
      <c r="GO24" s="529"/>
      <c r="GP24" s="529"/>
      <c r="GQ24" s="529"/>
      <c r="GR24" s="529"/>
      <c r="GS24" s="529"/>
      <c r="GT24" s="529"/>
      <c r="GU24" s="529"/>
      <c r="GV24" s="529"/>
      <c r="GW24" s="529"/>
      <c r="GX24" s="529"/>
      <c r="GY24" s="529"/>
      <c r="GZ24" s="529"/>
      <c r="HA24" s="529"/>
      <c r="HB24" s="529"/>
      <c r="HC24" s="529"/>
      <c r="HD24" s="529"/>
      <c r="HE24" s="529"/>
      <c r="HF24" s="529"/>
      <c r="HG24" s="529"/>
      <c r="HH24" s="529"/>
      <c r="HI24" s="529"/>
      <c r="HJ24" s="529"/>
      <c r="HK24" s="529"/>
      <c r="HL24" s="529"/>
      <c r="HM24" s="529"/>
      <c r="HN24" s="529"/>
      <c r="HO24" s="529"/>
      <c r="HP24" s="529"/>
      <c r="HQ24" s="529"/>
      <c r="HR24" s="529"/>
      <c r="HS24" s="529"/>
      <c r="HT24" s="529"/>
      <c r="HU24" s="529"/>
      <c r="HV24" s="529"/>
      <c r="HW24" s="529"/>
      <c r="HX24" s="529"/>
      <c r="HY24" s="529"/>
      <c r="HZ24" s="529"/>
      <c r="IA24" s="529"/>
      <c r="IB24" s="529"/>
      <c r="IC24" s="529"/>
      <c r="ID24" s="529"/>
      <c r="IE24" s="529"/>
      <c r="IF24" s="529"/>
      <c r="IG24" s="529"/>
      <c r="IH24" s="529"/>
      <c r="II24" s="529"/>
      <c r="IJ24" s="529"/>
      <c r="IK24" s="529"/>
      <c r="IL24" s="529"/>
      <c r="IM24" s="529"/>
      <c r="IN24" s="529"/>
      <c r="IO24" s="529"/>
      <c r="IP24" s="529"/>
      <c r="IQ24" s="529"/>
      <c r="IR24" s="529"/>
      <c r="IS24" s="529"/>
      <c r="IT24" s="529"/>
      <c r="IU24" s="529"/>
      <c r="IV24" s="529"/>
      <c r="IW24" s="529"/>
      <c r="IX24" s="529"/>
      <c r="IY24" s="529"/>
      <c r="IZ24" s="529"/>
      <c r="JA24" s="529"/>
      <c r="JB24" s="529"/>
      <c r="JC24" s="529"/>
      <c r="JD24" s="529"/>
      <c r="JE24" s="529"/>
      <c r="JF24" s="529"/>
      <c r="JG24" s="529"/>
      <c r="JH24" s="529"/>
      <c r="JI24" s="529"/>
      <c r="JJ24" s="529"/>
      <c r="JK24" s="529"/>
      <c r="JL24" s="529"/>
      <c r="JM24" s="529"/>
      <c r="JN24" s="529"/>
      <c r="JO24" s="529"/>
      <c r="JP24" s="529"/>
      <c r="JQ24" s="529"/>
      <c r="JR24" s="529"/>
      <c r="JS24" s="529"/>
      <c r="JT24" s="529"/>
      <c r="JU24" s="529"/>
      <c r="JV24" s="529"/>
      <c r="JW24" s="529"/>
      <c r="JX24" s="529"/>
      <c r="JY24" s="529"/>
      <c r="JZ24" s="529"/>
      <c r="KA24" s="529"/>
      <c r="KB24" s="529"/>
      <c r="KC24" s="529"/>
      <c r="KD24" s="529"/>
      <c r="KE24" s="529"/>
      <c r="KF24" s="529"/>
      <c r="KG24" s="529"/>
      <c r="KH24" s="529"/>
      <c r="KI24" s="529"/>
      <c r="KJ24" s="529"/>
      <c r="KK24" s="529"/>
      <c r="KL24" s="529"/>
      <c r="KM24" s="529"/>
      <c r="KN24" s="529"/>
      <c r="KO24" s="529"/>
      <c r="KP24" s="529"/>
      <c r="KQ24" s="529"/>
      <c r="KR24" s="529"/>
      <c r="KS24" s="529"/>
      <c r="KT24" s="529"/>
      <c r="KU24" s="529"/>
      <c r="KV24" s="529"/>
      <c r="KW24" s="529"/>
      <c r="KX24" s="529"/>
      <c r="KY24" s="529"/>
      <c r="KZ24" s="529"/>
      <c r="LA24" s="529"/>
      <c r="LB24" s="529"/>
      <c r="LC24" s="529"/>
      <c r="LD24" s="529"/>
      <c r="LE24" s="529"/>
      <c r="LF24" s="529"/>
      <c r="LG24" s="529"/>
      <c r="LH24" s="529"/>
      <c r="LI24" s="529"/>
      <c r="LJ24" s="529"/>
      <c r="LK24" s="529"/>
      <c r="LL24" s="529"/>
      <c r="LM24" s="529"/>
      <c r="LN24" s="529"/>
      <c r="LO24" s="529"/>
      <c r="LP24" s="529"/>
      <c r="LQ24" s="529"/>
      <c r="LR24" s="529"/>
      <c r="LS24" s="529"/>
      <c r="LT24" s="529"/>
      <c r="LU24" s="529"/>
      <c r="LV24" s="529"/>
      <c r="LW24" s="529"/>
      <c r="LX24" s="529"/>
      <c r="LY24" s="529"/>
      <c r="LZ24" s="529"/>
      <c r="MA24" s="529"/>
      <c r="MB24" s="529"/>
      <c r="MC24" s="529"/>
      <c r="MD24" s="529"/>
      <c r="ME24" s="529"/>
      <c r="MF24" s="529"/>
      <c r="MG24" s="529"/>
      <c r="MH24" s="529"/>
      <c r="MI24" s="529"/>
      <c r="MJ24" s="529"/>
      <c r="MK24" s="529"/>
      <c r="ML24" s="529"/>
      <c r="MM24" s="529"/>
      <c r="MN24" s="529"/>
      <c r="MO24" s="529"/>
      <c r="MP24" s="529"/>
      <c r="MQ24" s="529"/>
      <c r="MR24" s="529"/>
      <c r="MS24" s="529"/>
      <c r="MT24" s="529"/>
      <c r="MU24" s="529"/>
      <c r="MV24" s="529"/>
      <c r="MW24" s="529"/>
      <c r="MX24" s="529"/>
      <c r="MY24" s="529"/>
      <c r="MZ24" s="529"/>
      <c r="NA24" s="529"/>
      <c r="NB24" s="529"/>
      <c r="NC24" s="529"/>
      <c r="ND24" s="529"/>
      <c r="NE24" s="529"/>
      <c r="NF24" s="529"/>
      <c r="NG24" s="529"/>
      <c r="NH24" s="529"/>
      <c r="NI24" s="529"/>
      <c r="NJ24" s="529"/>
      <c r="NK24" s="529"/>
      <c r="NL24" s="529"/>
      <c r="NM24" s="529"/>
      <c r="NN24" s="529"/>
      <c r="NO24" s="529"/>
      <c r="NP24" s="529"/>
      <c r="NQ24" s="529"/>
      <c r="NR24" s="529"/>
      <c r="NS24" s="529"/>
      <c r="NT24" s="529"/>
      <c r="NU24" s="529"/>
      <c r="NV24" s="529"/>
      <c r="NW24" s="529"/>
      <c r="NX24" s="529"/>
      <c r="NY24" s="529"/>
      <c r="NZ24" s="529"/>
      <c r="OA24" s="529"/>
      <c r="OB24" s="529"/>
      <c r="OC24" s="529"/>
      <c r="OD24" s="529"/>
      <c r="OE24" s="529"/>
      <c r="OF24" s="529"/>
      <c r="OG24" s="529"/>
      <c r="OH24" s="529"/>
      <c r="OI24" s="529"/>
      <c r="OJ24" s="529"/>
      <c r="OK24" s="529"/>
      <c r="OL24" s="529"/>
      <c r="OM24" s="529"/>
      <c r="ON24" s="529"/>
      <c r="OO24" s="529"/>
      <c r="OP24" s="529"/>
      <c r="OQ24" s="529"/>
      <c r="OR24" s="529"/>
      <c r="OS24" s="529"/>
      <c r="OT24" s="529"/>
      <c r="OU24" s="529"/>
      <c r="OV24" s="529"/>
      <c r="OW24" s="529"/>
      <c r="OX24" s="529"/>
      <c r="OY24" s="529"/>
      <c r="OZ24" s="529"/>
      <c r="PA24" s="529"/>
      <c r="PB24" s="529"/>
      <c r="PC24" s="529"/>
      <c r="PD24" s="529"/>
      <c r="PE24" s="529"/>
      <c r="PF24" s="529"/>
      <c r="PG24" s="529"/>
      <c r="PH24" s="529"/>
      <c r="PI24" s="529"/>
      <c r="PJ24" s="529"/>
      <c r="PK24" s="529"/>
      <c r="PL24" s="529"/>
      <c r="PM24" s="529"/>
      <c r="PN24" s="529"/>
      <c r="PO24" s="529"/>
      <c r="PP24" s="529"/>
      <c r="PQ24" s="529"/>
      <c r="PR24" s="529"/>
      <c r="PS24" s="529"/>
      <c r="PT24" s="529"/>
      <c r="PU24" s="529"/>
      <c r="PV24" s="529"/>
      <c r="PW24" s="529"/>
      <c r="PX24" s="529"/>
      <c r="PY24" s="529"/>
      <c r="PZ24" s="529"/>
      <c r="QA24" s="529"/>
      <c r="QB24" s="529"/>
      <c r="QC24" s="529"/>
      <c r="QD24" s="529"/>
      <c r="QE24" s="529"/>
      <c r="QF24" s="529"/>
      <c r="QG24" s="529"/>
      <c r="QH24" s="529"/>
      <c r="QI24" s="529"/>
      <c r="QJ24" s="529"/>
      <c r="QK24" s="529"/>
      <c r="QL24" s="529"/>
      <c r="QM24" s="529"/>
      <c r="QN24" s="529"/>
      <c r="QO24" s="529"/>
      <c r="QP24" s="529"/>
      <c r="QQ24" s="529"/>
      <c r="QR24" s="529"/>
      <c r="QS24" s="529"/>
      <c r="QT24" s="529"/>
      <c r="QU24" s="529"/>
      <c r="QV24" s="529"/>
      <c r="QW24" s="529"/>
      <c r="QX24" s="529"/>
      <c r="QY24" s="529"/>
      <c r="QZ24" s="529"/>
      <c r="RA24" s="529"/>
      <c r="RB24" s="529"/>
      <c r="RC24" s="529"/>
      <c r="RD24" s="529"/>
      <c r="RE24" s="529"/>
      <c r="RF24" s="529"/>
      <c r="RG24" s="529"/>
      <c r="RH24" s="529"/>
      <c r="RI24" s="529"/>
      <c r="RJ24" s="529"/>
      <c r="RK24" s="529"/>
      <c r="RL24" s="529"/>
      <c r="RM24" s="529"/>
      <c r="RN24" s="529"/>
      <c r="RO24" s="529"/>
      <c r="RP24" s="529"/>
      <c r="RQ24" s="529"/>
      <c r="RR24" s="529"/>
      <c r="RS24" s="529"/>
      <c r="RT24" s="529"/>
      <c r="RU24" s="529"/>
      <c r="RV24" s="529"/>
      <c r="RW24" s="529"/>
      <c r="RX24" s="529"/>
    </row>
    <row r="25" spans="1:492" s="530" customFormat="1" ht="20.149999999999999" customHeight="1" thickBot="1">
      <c r="A25" s="547" t="s">
        <v>119</v>
      </c>
      <c r="B25" s="572" t="s">
        <v>120</v>
      </c>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58"/>
      <c r="AN25" s="528"/>
      <c r="AO25" s="528"/>
      <c r="AP25" s="528"/>
      <c r="AQ25" s="559"/>
      <c r="AR25" s="528"/>
      <c r="AS25" s="528"/>
      <c r="AT25" s="528"/>
      <c r="AU25" s="528"/>
      <c r="AV25" s="523"/>
      <c r="AW25" s="528"/>
      <c r="AX25" s="528"/>
      <c r="AY25" s="528"/>
      <c r="AZ25" s="528"/>
      <c r="BA25" s="534"/>
      <c r="BB25" s="558"/>
      <c r="BC25" s="528"/>
      <c r="BD25" s="528"/>
      <c r="BE25" s="528"/>
      <c r="BF25" s="559"/>
      <c r="BG25" s="528"/>
      <c r="BH25" s="528"/>
      <c r="BI25" s="528"/>
      <c r="BJ25" s="528"/>
      <c r="BK25" s="559"/>
      <c r="BL25" s="528"/>
      <c r="BM25" s="759">
        <v>-2.2000000000000002</v>
      </c>
      <c r="BN25" s="759">
        <f>-7.9-BM25-BL25</f>
        <v>-5.7</v>
      </c>
      <c r="BO25" s="528">
        <f>-5.1-BN25-BM25</f>
        <v>2.8000000000000007</v>
      </c>
      <c r="BP25" s="578">
        <f>SUM(BL25:BO25)</f>
        <v>-5.0999999999999996</v>
      </c>
      <c r="BQ25" s="759">
        <v>-1.5</v>
      </c>
      <c r="BR25" s="759">
        <v>0.8</v>
      </c>
      <c r="BS25" s="759">
        <v>-1.2999999999999998</v>
      </c>
      <c r="BT25" s="759">
        <v>-3.1</v>
      </c>
      <c r="BU25" s="578">
        <f>SUM(BQ25:BT25)</f>
        <v>-5.0999999999999996</v>
      </c>
      <c r="BV25" s="528"/>
      <c r="BW25" s="980"/>
      <c r="BX25" s="529"/>
      <c r="BY25" s="529"/>
      <c r="BZ25" s="529"/>
      <c r="CA25" s="529"/>
      <c r="CB25" s="529"/>
      <c r="CC25" s="529"/>
      <c r="CD25" s="529"/>
      <c r="CE25" s="529"/>
      <c r="CF25" s="529"/>
      <c r="CG25" s="529"/>
      <c r="CH25" s="529"/>
      <c r="CI25" s="529"/>
      <c r="CJ25" s="529"/>
      <c r="CK25" s="529"/>
      <c r="CL25" s="529"/>
      <c r="CM25" s="529"/>
      <c r="CN25" s="529"/>
      <c r="CO25" s="529"/>
      <c r="CP25" s="529"/>
      <c r="CQ25" s="529"/>
      <c r="CR25" s="529"/>
      <c r="CS25" s="529"/>
      <c r="CT25" s="529"/>
      <c r="CU25" s="529"/>
      <c r="CV25" s="529"/>
      <c r="CW25" s="529"/>
      <c r="CX25" s="529"/>
      <c r="CY25" s="529"/>
      <c r="CZ25" s="529"/>
      <c r="DA25" s="529"/>
      <c r="DB25" s="529"/>
      <c r="DC25" s="529"/>
      <c r="DD25" s="529"/>
      <c r="DE25" s="529"/>
      <c r="DF25" s="529"/>
      <c r="DG25" s="529"/>
      <c r="DH25" s="529"/>
      <c r="DI25" s="529"/>
      <c r="DJ25" s="529"/>
      <c r="DK25" s="529"/>
      <c r="DL25" s="529"/>
      <c r="DM25" s="529"/>
      <c r="DN25" s="529"/>
      <c r="DO25" s="529"/>
      <c r="DP25" s="529"/>
      <c r="DQ25" s="529"/>
      <c r="DR25" s="529"/>
      <c r="DS25" s="529"/>
      <c r="DT25" s="529"/>
      <c r="DU25" s="529"/>
      <c r="DV25" s="529"/>
      <c r="DW25" s="529"/>
      <c r="DX25" s="529"/>
      <c r="DY25" s="529"/>
      <c r="DZ25" s="529"/>
      <c r="EA25" s="529"/>
      <c r="EB25" s="529"/>
      <c r="EC25" s="529"/>
      <c r="ED25" s="529"/>
      <c r="EE25" s="529"/>
      <c r="EF25" s="529"/>
      <c r="EG25" s="529"/>
      <c r="EH25" s="529"/>
      <c r="EI25" s="529"/>
      <c r="EJ25" s="529"/>
      <c r="EK25" s="529"/>
      <c r="EL25" s="529"/>
      <c r="EM25" s="529"/>
      <c r="EN25" s="529"/>
      <c r="EO25" s="529"/>
      <c r="EP25" s="529"/>
      <c r="EQ25" s="529"/>
      <c r="ER25" s="529"/>
      <c r="ES25" s="529"/>
      <c r="ET25" s="529"/>
      <c r="EU25" s="529"/>
      <c r="EV25" s="529"/>
      <c r="EW25" s="529"/>
      <c r="EX25" s="529"/>
      <c r="EY25" s="529"/>
      <c r="EZ25" s="529"/>
      <c r="FA25" s="529"/>
      <c r="FB25" s="529"/>
      <c r="FC25" s="529"/>
      <c r="FD25" s="529"/>
      <c r="FE25" s="529"/>
      <c r="FF25" s="529"/>
      <c r="FG25" s="529"/>
      <c r="FH25" s="529"/>
      <c r="FI25" s="529"/>
      <c r="FJ25" s="529"/>
      <c r="FK25" s="529"/>
      <c r="FL25" s="529"/>
      <c r="FM25" s="529"/>
      <c r="FN25" s="529"/>
      <c r="FO25" s="529"/>
      <c r="FP25" s="529"/>
      <c r="FQ25" s="529"/>
      <c r="FR25" s="529"/>
      <c r="FS25" s="529"/>
      <c r="FT25" s="529"/>
      <c r="FU25" s="529"/>
      <c r="FV25" s="529"/>
      <c r="FW25" s="529"/>
      <c r="FX25" s="529"/>
      <c r="FY25" s="529"/>
      <c r="FZ25" s="529"/>
      <c r="GA25" s="529"/>
      <c r="GB25" s="529"/>
      <c r="GC25" s="529"/>
      <c r="GD25" s="529"/>
      <c r="GE25" s="529"/>
      <c r="GF25" s="529"/>
      <c r="GG25" s="529"/>
      <c r="GH25" s="529"/>
      <c r="GI25" s="529"/>
      <c r="GJ25" s="529"/>
      <c r="GK25" s="529"/>
      <c r="GL25" s="529"/>
      <c r="GM25" s="529"/>
      <c r="GN25" s="529"/>
      <c r="GO25" s="529"/>
      <c r="GP25" s="529"/>
      <c r="GQ25" s="529"/>
      <c r="GR25" s="529"/>
      <c r="GS25" s="529"/>
      <c r="GT25" s="529"/>
      <c r="GU25" s="529"/>
      <c r="GV25" s="529"/>
      <c r="GW25" s="529"/>
      <c r="GX25" s="529"/>
      <c r="GY25" s="529"/>
      <c r="GZ25" s="529"/>
      <c r="HA25" s="529"/>
      <c r="HB25" s="529"/>
      <c r="HC25" s="529"/>
      <c r="HD25" s="529"/>
      <c r="HE25" s="529"/>
      <c r="HF25" s="529"/>
      <c r="HG25" s="529"/>
      <c r="HH25" s="529"/>
      <c r="HI25" s="529"/>
      <c r="HJ25" s="529"/>
      <c r="HK25" s="529"/>
      <c r="HL25" s="529"/>
      <c r="HM25" s="529"/>
      <c r="HN25" s="529"/>
      <c r="HO25" s="529"/>
      <c r="HP25" s="529"/>
      <c r="HQ25" s="529"/>
      <c r="HR25" s="529"/>
      <c r="HS25" s="529"/>
      <c r="HT25" s="529"/>
      <c r="HU25" s="529"/>
      <c r="HV25" s="529"/>
      <c r="HW25" s="529"/>
      <c r="HX25" s="529"/>
      <c r="HY25" s="529"/>
      <c r="HZ25" s="529"/>
      <c r="IA25" s="529"/>
      <c r="IB25" s="529"/>
      <c r="IC25" s="529"/>
      <c r="ID25" s="529"/>
      <c r="IE25" s="529"/>
      <c r="IF25" s="529"/>
      <c r="IG25" s="529"/>
      <c r="IH25" s="529"/>
      <c r="II25" s="529"/>
      <c r="IJ25" s="529"/>
      <c r="IK25" s="529"/>
      <c r="IL25" s="529"/>
      <c r="IM25" s="529"/>
      <c r="IN25" s="529"/>
      <c r="IO25" s="529"/>
      <c r="IP25" s="529"/>
      <c r="IQ25" s="529"/>
      <c r="IR25" s="529"/>
      <c r="IS25" s="529"/>
      <c r="IT25" s="529"/>
      <c r="IU25" s="529"/>
      <c r="IV25" s="529"/>
      <c r="IW25" s="529"/>
      <c r="IX25" s="529"/>
      <c r="IY25" s="529"/>
      <c r="IZ25" s="529"/>
      <c r="JA25" s="529"/>
      <c r="JB25" s="529"/>
      <c r="JC25" s="529"/>
      <c r="JD25" s="529"/>
      <c r="JE25" s="529"/>
      <c r="JF25" s="529"/>
      <c r="JG25" s="529"/>
      <c r="JH25" s="529"/>
      <c r="JI25" s="529"/>
      <c r="JJ25" s="529"/>
      <c r="JK25" s="529"/>
      <c r="JL25" s="529"/>
      <c r="JM25" s="529"/>
      <c r="JN25" s="529"/>
      <c r="JO25" s="529"/>
      <c r="JP25" s="529"/>
      <c r="JQ25" s="529"/>
      <c r="JR25" s="529"/>
      <c r="JS25" s="529"/>
      <c r="JT25" s="529"/>
      <c r="JU25" s="529"/>
      <c r="JV25" s="529"/>
      <c r="JW25" s="529"/>
      <c r="JX25" s="529"/>
      <c r="JY25" s="529"/>
      <c r="JZ25" s="529"/>
      <c r="KA25" s="529"/>
      <c r="KB25" s="529"/>
      <c r="KC25" s="529"/>
      <c r="KD25" s="529"/>
      <c r="KE25" s="529"/>
      <c r="KF25" s="529"/>
      <c r="KG25" s="529"/>
      <c r="KH25" s="529"/>
      <c r="KI25" s="529"/>
      <c r="KJ25" s="529"/>
      <c r="KK25" s="529"/>
      <c r="KL25" s="529"/>
      <c r="KM25" s="529"/>
      <c r="KN25" s="529"/>
      <c r="KO25" s="529"/>
      <c r="KP25" s="529"/>
      <c r="KQ25" s="529"/>
      <c r="KR25" s="529"/>
      <c r="KS25" s="529"/>
      <c r="KT25" s="529"/>
      <c r="KU25" s="529"/>
      <c r="KV25" s="529"/>
      <c r="KW25" s="529"/>
      <c r="KX25" s="529"/>
      <c r="KY25" s="529"/>
      <c r="KZ25" s="529"/>
      <c r="LA25" s="529"/>
      <c r="LB25" s="529"/>
      <c r="LC25" s="529"/>
      <c r="LD25" s="529"/>
      <c r="LE25" s="529"/>
      <c r="LF25" s="529"/>
      <c r="LG25" s="529"/>
      <c r="LH25" s="529"/>
      <c r="LI25" s="529"/>
      <c r="LJ25" s="529"/>
      <c r="LK25" s="529"/>
      <c r="LL25" s="529"/>
      <c r="LM25" s="529"/>
      <c r="LN25" s="529"/>
      <c r="LO25" s="529"/>
      <c r="LP25" s="529"/>
      <c r="LQ25" s="529"/>
      <c r="LR25" s="529"/>
      <c r="LS25" s="529"/>
      <c r="LT25" s="529"/>
      <c r="LU25" s="529"/>
      <c r="LV25" s="529"/>
      <c r="LW25" s="529"/>
      <c r="LX25" s="529"/>
      <c r="LY25" s="529"/>
      <c r="LZ25" s="529"/>
      <c r="MA25" s="529"/>
      <c r="MB25" s="529"/>
      <c r="MC25" s="529"/>
      <c r="MD25" s="529"/>
      <c r="ME25" s="529"/>
      <c r="MF25" s="529"/>
      <c r="MG25" s="529"/>
      <c r="MH25" s="529"/>
      <c r="MI25" s="529"/>
      <c r="MJ25" s="529"/>
      <c r="MK25" s="529"/>
      <c r="ML25" s="529"/>
      <c r="MM25" s="529"/>
      <c r="MN25" s="529"/>
      <c r="MO25" s="529"/>
      <c r="MP25" s="529"/>
      <c r="MQ25" s="529"/>
      <c r="MR25" s="529"/>
      <c r="MS25" s="529"/>
      <c r="MT25" s="529"/>
      <c r="MU25" s="529"/>
      <c r="MV25" s="529"/>
      <c r="MW25" s="529"/>
      <c r="MX25" s="529"/>
      <c r="MY25" s="529"/>
      <c r="MZ25" s="529"/>
      <c r="NA25" s="529"/>
      <c r="NB25" s="529"/>
      <c r="NC25" s="529"/>
      <c r="ND25" s="529"/>
      <c r="NE25" s="529"/>
      <c r="NF25" s="529"/>
      <c r="NG25" s="529"/>
      <c r="NH25" s="529"/>
      <c r="NI25" s="529"/>
      <c r="NJ25" s="529"/>
      <c r="NK25" s="529"/>
      <c r="NL25" s="529"/>
      <c r="NM25" s="529"/>
      <c r="NN25" s="529"/>
      <c r="NO25" s="529"/>
      <c r="NP25" s="529"/>
      <c r="NQ25" s="529"/>
      <c r="NR25" s="529"/>
      <c r="NS25" s="529"/>
      <c r="NT25" s="529"/>
      <c r="NU25" s="529"/>
      <c r="NV25" s="529"/>
      <c r="NW25" s="529"/>
      <c r="NX25" s="529"/>
      <c r="NY25" s="529"/>
      <c r="NZ25" s="529"/>
      <c r="OA25" s="529"/>
      <c r="OB25" s="529"/>
      <c r="OC25" s="529"/>
      <c r="OD25" s="529"/>
      <c r="OE25" s="529"/>
      <c r="OF25" s="529"/>
      <c r="OG25" s="529"/>
      <c r="OH25" s="529"/>
      <c r="OI25" s="529"/>
      <c r="OJ25" s="529"/>
      <c r="OK25" s="529"/>
      <c r="OL25" s="529"/>
      <c r="OM25" s="529"/>
      <c r="ON25" s="529"/>
      <c r="OO25" s="529"/>
      <c r="OP25" s="529"/>
      <c r="OQ25" s="529"/>
      <c r="OR25" s="529"/>
      <c r="OS25" s="529"/>
      <c r="OT25" s="529"/>
      <c r="OU25" s="529"/>
      <c r="OV25" s="529"/>
      <c r="OW25" s="529"/>
      <c r="OX25" s="529"/>
      <c r="OY25" s="529"/>
      <c r="OZ25" s="529"/>
      <c r="PA25" s="529"/>
      <c r="PB25" s="529"/>
      <c r="PC25" s="529"/>
      <c r="PD25" s="529"/>
      <c r="PE25" s="529"/>
      <c r="PF25" s="529"/>
      <c r="PG25" s="529"/>
      <c r="PH25" s="529"/>
      <c r="PI25" s="529"/>
      <c r="PJ25" s="529"/>
      <c r="PK25" s="529"/>
      <c r="PL25" s="529"/>
      <c r="PM25" s="529"/>
      <c r="PN25" s="529"/>
      <c r="PO25" s="529"/>
      <c r="PP25" s="529"/>
      <c r="PQ25" s="529"/>
      <c r="PR25" s="529"/>
      <c r="PS25" s="529"/>
      <c r="PT25" s="529"/>
      <c r="PU25" s="529"/>
      <c r="PV25" s="529"/>
      <c r="PW25" s="529"/>
      <c r="PX25" s="529"/>
      <c r="PY25" s="529"/>
      <c r="PZ25" s="529"/>
      <c r="QA25" s="529"/>
      <c r="QB25" s="529"/>
      <c r="QC25" s="529"/>
      <c r="QD25" s="529"/>
      <c r="QE25" s="529"/>
      <c r="QF25" s="529"/>
      <c r="QG25" s="529"/>
      <c r="QH25" s="529"/>
      <c r="QI25" s="529"/>
      <c r="QJ25" s="529"/>
      <c r="QK25" s="529"/>
      <c r="QL25" s="529"/>
      <c r="QM25" s="529"/>
      <c r="QN25" s="529"/>
      <c r="QO25" s="529"/>
      <c r="QP25" s="529"/>
      <c r="QQ25" s="529"/>
      <c r="QR25" s="529"/>
      <c r="QS25" s="529"/>
      <c r="QT25" s="529"/>
      <c r="QU25" s="529"/>
      <c r="QV25" s="529"/>
      <c r="QW25" s="529"/>
      <c r="QX25" s="529"/>
      <c r="QY25" s="529"/>
      <c r="QZ25" s="529"/>
      <c r="RA25" s="529"/>
      <c r="RB25" s="529"/>
      <c r="RC25" s="529"/>
      <c r="RD25" s="529"/>
      <c r="RE25" s="529"/>
      <c r="RF25" s="529"/>
      <c r="RG25" s="529"/>
      <c r="RH25" s="529"/>
      <c r="RI25" s="529"/>
      <c r="RJ25" s="529"/>
      <c r="RK25" s="529"/>
      <c r="RL25" s="529"/>
      <c r="RM25" s="529"/>
      <c r="RN25" s="529"/>
      <c r="RO25" s="529"/>
      <c r="RP25" s="529"/>
      <c r="RQ25" s="529"/>
      <c r="RR25" s="529"/>
      <c r="RS25" s="529"/>
      <c r="RT25" s="529"/>
      <c r="RU25" s="529"/>
      <c r="RV25" s="529"/>
      <c r="RW25" s="529"/>
      <c r="RX25" s="529"/>
    </row>
    <row r="26" spans="1:492" s="65" customFormat="1" ht="20.25" customHeight="1" thickBot="1">
      <c r="A26" s="548" t="s">
        <v>131</v>
      </c>
      <c r="B26" s="573" t="s">
        <v>132</v>
      </c>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561">
        <f>SUM(AM27:AM28)</f>
        <v>435.5</v>
      </c>
      <c r="AN26" s="427">
        <f t="shared" ref="AN26:BF26" si="28">SUM(AN27:AN28)</f>
        <v>475.59999999999997</v>
      </c>
      <c r="AO26" s="427">
        <f t="shared" si="28"/>
        <v>396.5</v>
      </c>
      <c r="AP26" s="427">
        <f t="shared" si="28"/>
        <v>419.40000000000015</v>
      </c>
      <c r="AQ26" s="562">
        <f t="shared" si="28"/>
        <v>1727</v>
      </c>
      <c r="AR26" s="427">
        <f t="shared" si="28"/>
        <v>0</v>
      </c>
      <c r="AS26" s="427">
        <f t="shared" si="28"/>
        <v>0</v>
      </c>
      <c r="AT26" s="427">
        <f t="shared" si="28"/>
        <v>0</v>
      </c>
      <c r="AU26" s="427">
        <f t="shared" si="28"/>
        <v>0</v>
      </c>
      <c r="AV26" s="428">
        <f t="shared" si="28"/>
        <v>0</v>
      </c>
      <c r="AW26" s="427">
        <f t="shared" si="28"/>
        <v>491.2</v>
      </c>
      <c r="AX26" s="427">
        <f t="shared" si="28"/>
        <v>522.5</v>
      </c>
      <c r="AY26" s="427">
        <f t="shared" si="28"/>
        <v>459.00000000000006</v>
      </c>
      <c r="AZ26" s="427">
        <f t="shared" si="28"/>
        <v>494.30000000000013</v>
      </c>
      <c r="BA26" s="553">
        <f t="shared" si="28"/>
        <v>1967</v>
      </c>
      <c r="BB26" s="561">
        <f t="shared" si="28"/>
        <v>462.2</v>
      </c>
      <c r="BC26" s="427">
        <f t="shared" si="28"/>
        <v>394.1</v>
      </c>
      <c r="BD26" s="427">
        <f t="shared" si="28"/>
        <v>505.9</v>
      </c>
      <c r="BE26" s="427">
        <f t="shared" si="28"/>
        <v>524</v>
      </c>
      <c r="BF26" s="562">
        <f t="shared" si="28"/>
        <v>1886.2</v>
      </c>
      <c r="BG26" s="427">
        <f t="shared" ref="BG26:BK26" si="29">SUM(BG27:BG28)</f>
        <v>561.5</v>
      </c>
      <c r="BH26" s="427">
        <f t="shared" si="29"/>
        <v>683.7</v>
      </c>
      <c r="BI26" s="427">
        <f t="shared" si="29"/>
        <v>4131.4000000000005</v>
      </c>
      <c r="BJ26" s="427">
        <f t="shared" si="29"/>
        <v>419.80000000000018</v>
      </c>
      <c r="BK26" s="562">
        <f t="shared" si="29"/>
        <v>5796.4000000000005</v>
      </c>
      <c r="BL26" s="427">
        <f>SUM(BL27:BL29)</f>
        <v>320.3</v>
      </c>
      <c r="BM26" s="760">
        <f>SUM(BM27:BM31)</f>
        <v>425.8</v>
      </c>
      <c r="BN26" s="427">
        <f>SUM(BN27:BN31)</f>
        <v>500.90000000000003</v>
      </c>
      <c r="BO26" s="427">
        <f>SUM(BO27:BO31)</f>
        <v>395.19999999999993</v>
      </c>
      <c r="BP26" s="562">
        <f>SUM(BP27:BP31)</f>
        <v>1642.2</v>
      </c>
      <c r="BQ26" s="427">
        <f>SUM(BQ27:BQ31)</f>
        <v>298.7</v>
      </c>
      <c r="BR26" s="427">
        <f t="shared" ref="BR26:BT26" si="30">SUM(BR27:BR31)</f>
        <v>329.79999999999995</v>
      </c>
      <c r="BS26" s="427">
        <f t="shared" si="30"/>
        <v>510.90000000000003</v>
      </c>
      <c r="BT26" s="427">
        <f t="shared" si="30"/>
        <v>172.2</v>
      </c>
      <c r="BU26" s="562">
        <f>SUM(BU27:BU31)</f>
        <v>1311.6000000000001</v>
      </c>
      <c r="BV26" s="961"/>
      <c r="BW26" s="962"/>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11"/>
      <c r="NC26" s="11"/>
      <c r="ND26" s="11"/>
      <c r="NE26" s="11"/>
      <c r="NF26" s="11"/>
      <c r="NG26" s="11"/>
      <c r="NH26" s="11"/>
      <c r="NI26" s="11"/>
      <c r="NJ26" s="11"/>
      <c r="NK26" s="11"/>
      <c r="NL26" s="11"/>
      <c r="NM26" s="11"/>
      <c r="NN26" s="11"/>
      <c r="NO26" s="11"/>
      <c r="NP26" s="11"/>
      <c r="NQ26" s="11"/>
      <c r="NR26" s="11"/>
      <c r="NS26" s="11"/>
      <c r="NT26" s="11"/>
      <c r="NU26" s="11"/>
      <c r="NV26" s="11"/>
      <c r="NW26" s="11"/>
      <c r="NX26" s="11"/>
      <c r="NY26" s="11"/>
      <c r="NZ26" s="11"/>
      <c r="OA26" s="11"/>
      <c r="OB26" s="11"/>
      <c r="OC26" s="11"/>
      <c r="OD26" s="11"/>
      <c r="OE26" s="11"/>
      <c r="OF26" s="11"/>
      <c r="OG26" s="11"/>
      <c r="OH26" s="11"/>
      <c r="OI26" s="11"/>
      <c r="OJ26" s="11"/>
      <c r="OK26" s="11"/>
      <c r="OL26" s="11"/>
      <c r="OM26" s="11"/>
      <c r="ON26" s="11"/>
      <c r="OO26" s="11"/>
      <c r="OP26" s="11"/>
      <c r="OQ26" s="11"/>
      <c r="OR26" s="11"/>
      <c r="OS26" s="11"/>
      <c r="OT26" s="11"/>
      <c r="OU26" s="11"/>
      <c r="OV26" s="11"/>
      <c r="OW26" s="11"/>
      <c r="OX26" s="11"/>
      <c r="OY26" s="11"/>
      <c r="OZ26" s="11"/>
      <c r="PA26" s="11"/>
      <c r="PB26" s="11"/>
      <c r="PC26" s="11"/>
      <c r="PD26" s="11"/>
      <c r="PE26" s="11"/>
      <c r="PF26" s="11"/>
      <c r="PG26" s="11"/>
      <c r="PH26" s="11"/>
      <c r="PI26" s="11"/>
      <c r="PJ26" s="11"/>
      <c r="PK26" s="11"/>
      <c r="PL26" s="11"/>
      <c r="PM26" s="11"/>
      <c r="PN26" s="11"/>
      <c r="PO26" s="11"/>
      <c r="PP26" s="11"/>
      <c r="PQ26" s="11"/>
      <c r="PR26" s="11"/>
      <c r="PS26" s="11"/>
      <c r="PT26" s="11"/>
      <c r="PU26" s="11"/>
      <c r="PV26" s="11"/>
      <c r="PW26" s="11"/>
      <c r="PX26" s="11"/>
      <c r="PY26" s="11"/>
      <c r="PZ26" s="11"/>
      <c r="QA26" s="11"/>
      <c r="QB26" s="11"/>
      <c r="QC26" s="11"/>
      <c r="QD26" s="11"/>
      <c r="QE26" s="11"/>
      <c r="QF26" s="11"/>
      <c r="QG26" s="11"/>
      <c r="QH26" s="11"/>
      <c r="QI26" s="11"/>
      <c r="QJ26" s="11"/>
      <c r="QK26" s="11"/>
      <c r="QL26" s="11"/>
      <c r="QM26" s="11"/>
      <c r="QN26" s="11"/>
      <c r="QO26" s="11"/>
      <c r="QP26" s="11"/>
      <c r="QQ26" s="11"/>
      <c r="QR26" s="11"/>
      <c r="QS26" s="11"/>
      <c r="QT26" s="11"/>
      <c r="QU26" s="11"/>
      <c r="QV26" s="11"/>
      <c r="QW26" s="11"/>
      <c r="QX26" s="11"/>
      <c r="QY26" s="11"/>
      <c r="QZ26" s="11"/>
      <c r="RA26" s="11"/>
      <c r="RB26" s="11"/>
      <c r="RC26" s="11"/>
      <c r="RD26" s="11"/>
      <c r="RE26" s="11"/>
      <c r="RF26" s="11"/>
      <c r="RG26" s="11"/>
      <c r="RH26" s="11"/>
      <c r="RI26" s="11"/>
      <c r="RJ26" s="11"/>
      <c r="RK26" s="11"/>
      <c r="RL26" s="11"/>
      <c r="RM26" s="11"/>
      <c r="RN26" s="11"/>
      <c r="RO26" s="11"/>
      <c r="RP26" s="11"/>
      <c r="RQ26" s="11"/>
      <c r="RR26" s="11"/>
      <c r="RS26" s="11"/>
      <c r="RT26" s="11"/>
      <c r="RU26" s="11"/>
      <c r="RV26" s="11"/>
      <c r="RW26" s="11"/>
      <c r="RX26" s="11"/>
    </row>
    <row r="27" spans="1:492" s="530" customFormat="1" ht="20.149999999999999" customHeight="1">
      <c r="A27" s="547" t="s">
        <v>113</v>
      </c>
      <c r="B27" s="572" t="s">
        <v>114</v>
      </c>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58">
        <v>310.7</v>
      </c>
      <c r="AN27" s="528">
        <v>334.7</v>
      </c>
      <c r="AO27" s="528">
        <v>312.39999999999998</v>
      </c>
      <c r="AP27" s="528">
        <v>257.10000000000014</v>
      </c>
      <c r="AQ27" s="559">
        <f t="shared" ref="AQ27:AQ34" si="31">SUM(AM27:AP27)</f>
        <v>1214.9000000000001</v>
      </c>
      <c r="AR27" s="528"/>
      <c r="AS27" s="528"/>
      <c r="AT27" s="528"/>
      <c r="AU27" s="528"/>
      <c r="AV27" s="523"/>
      <c r="AW27" s="528">
        <v>360.4</v>
      </c>
      <c r="AX27" s="528">
        <v>376.4</v>
      </c>
      <c r="AY27" s="528">
        <v>377.20000000000005</v>
      </c>
      <c r="AZ27" s="528">
        <v>314.40000000000009</v>
      </c>
      <c r="BA27" s="534">
        <f>SUM(AW27:AZ27)</f>
        <v>1428.4</v>
      </c>
      <c r="BB27" s="558">
        <v>330.2</v>
      </c>
      <c r="BC27" s="528">
        <v>290.7</v>
      </c>
      <c r="BD27" s="528">
        <v>388.1</v>
      </c>
      <c r="BE27" s="528">
        <v>342.5</v>
      </c>
      <c r="BF27" s="559">
        <f>SUM(BB27:BE27)</f>
        <v>1351.5</v>
      </c>
      <c r="BG27" s="528">
        <v>435.8</v>
      </c>
      <c r="BH27" s="528">
        <v>535.90000000000009</v>
      </c>
      <c r="BI27" s="528">
        <v>4040.3</v>
      </c>
      <c r="BJ27" s="528">
        <f>5282.8-SUM(BG27:BI27)</f>
        <v>270.80000000000018</v>
      </c>
      <c r="BK27" s="559">
        <f>SUM(BG27:BJ27)</f>
        <v>5282.8</v>
      </c>
      <c r="BL27" s="528">
        <v>252.4</v>
      </c>
      <c r="BM27" s="522">
        <f>565.5-BL27</f>
        <v>313.10000000000002</v>
      </c>
      <c r="BN27" s="528">
        <f>1018-BM27-BL27</f>
        <v>452.5</v>
      </c>
      <c r="BO27" s="528">
        <f>1210.8-BN27-BM27-BL27</f>
        <v>192.79999999999993</v>
      </c>
      <c r="BP27" s="559">
        <f>SUM(BL27:BO27)</f>
        <v>1210.8</v>
      </c>
      <c r="BQ27" s="528">
        <v>244.6</v>
      </c>
      <c r="BR27" s="522">
        <v>209.79999999999998</v>
      </c>
      <c r="BS27" s="528">
        <v>449.5</v>
      </c>
      <c r="BT27" s="528">
        <v>95.7</v>
      </c>
      <c r="BU27" s="559">
        <f>SUM(BQ27:BT27)</f>
        <v>999.6</v>
      </c>
      <c r="BV27" s="529"/>
      <c r="BW27" s="529"/>
      <c r="BX27" s="529"/>
      <c r="BY27" s="529"/>
      <c r="BZ27" s="529"/>
      <c r="CA27" s="529"/>
      <c r="CB27" s="529"/>
      <c r="CC27" s="529"/>
      <c r="CD27" s="529"/>
      <c r="CE27" s="529"/>
      <c r="CF27" s="529"/>
      <c r="CG27" s="529"/>
      <c r="CH27" s="529"/>
      <c r="CI27" s="529"/>
      <c r="CJ27" s="529"/>
      <c r="CK27" s="529"/>
      <c r="CL27" s="529"/>
      <c r="CM27" s="529"/>
      <c r="CN27" s="529"/>
      <c r="CO27" s="529"/>
      <c r="CP27" s="529"/>
      <c r="CQ27" s="529"/>
      <c r="CR27" s="529"/>
      <c r="CS27" s="529"/>
      <c r="CT27" s="529"/>
      <c r="CU27" s="529"/>
      <c r="CV27" s="529"/>
      <c r="CW27" s="529"/>
      <c r="CX27" s="529"/>
      <c r="CY27" s="529"/>
      <c r="CZ27" s="529"/>
      <c r="DA27" s="529"/>
      <c r="DB27" s="529"/>
      <c r="DC27" s="529"/>
      <c r="DD27" s="529"/>
      <c r="DE27" s="529"/>
      <c r="DF27" s="529"/>
      <c r="DG27" s="529"/>
      <c r="DH27" s="529"/>
      <c r="DI27" s="529"/>
      <c r="DJ27" s="529"/>
      <c r="DK27" s="529"/>
      <c r="DL27" s="529"/>
      <c r="DM27" s="529"/>
      <c r="DN27" s="529"/>
      <c r="DO27" s="529"/>
      <c r="DP27" s="529"/>
      <c r="DQ27" s="529"/>
      <c r="DR27" s="529"/>
      <c r="DS27" s="529"/>
      <c r="DT27" s="529"/>
      <c r="DU27" s="529"/>
      <c r="DV27" s="529"/>
      <c r="DW27" s="529"/>
      <c r="DX27" s="529"/>
      <c r="DY27" s="529"/>
      <c r="DZ27" s="529"/>
      <c r="EA27" s="529"/>
      <c r="EB27" s="529"/>
      <c r="EC27" s="529"/>
      <c r="ED27" s="529"/>
      <c r="EE27" s="529"/>
      <c r="EF27" s="529"/>
      <c r="EG27" s="529"/>
      <c r="EH27" s="529"/>
      <c r="EI27" s="529"/>
      <c r="EJ27" s="529"/>
      <c r="EK27" s="529"/>
      <c r="EL27" s="529"/>
      <c r="EM27" s="529"/>
      <c r="EN27" s="529"/>
      <c r="EO27" s="529"/>
      <c r="EP27" s="529"/>
      <c r="EQ27" s="529"/>
      <c r="ER27" s="529"/>
      <c r="ES27" s="529"/>
      <c r="ET27" s="529"/>
      <c r="EU27" s="529"/>
      <c r="EV27" s="529"/>
      <c r="EW27" s="529"/>
      <c r="EX27" s="529"/>
      <c r="EY27" s="529"/>
      <c r="EZ27" s="529"/>
      <c r="FA27" s="529"/>
      <c r="FB27" s="529"/>
      <c r="FC27" s="529"/>
      <c r="FD27" s="529"/>
      <c r="FE27" s="529"/>
      <c r="FF27" s="529"/>
      <c r="FG27" s="529"/>
      <c r="FH27" s="529"/>
      <c r="FI27" s="529"/>
      <c r="FJ27" s="529"/>
      <c r="FK27" s="529"/>
      <c r="FL27" s="529"/>
      <c r="FM27" s="529"/>
      <c r="FN27" s="529"/>
      <c r="FO27" s="529"/>
      <c r="FP27" s="529"/>
      <c r="FQ27" s="529"/>
      <c r="FR27" s="529"/>
      <c r="FS27" s="529"/>
      <c r="FT27" s="529"/>
      <c r="FU27" s="529"/>
      <c r="FV27" s="529"/>
      <c r="FW27" s="529"/>
      <c r="FX27" s="529"/>
      <c r="FY27" s="529"/>
      <c r="FZ27" s="529"/>
      <c r="GA27" s="529"/>
      <c r="GB27" s="529"/>
      <c r="GC27" s="529"/>
      <c r="GD27" s="529"/>
      <c r="GE27" s="529"/>
      <c r="GF27" s="529"/>
      <c r="GG27" s="529"/>
      <c r="GH27" s="529"/>
      <c r="GI27" s="529"/>
      <c r="GJ27" s="529"/>
      <c r="GK27" s="529"/>
      <c r="GL27" s="529"/>
      <c r="GM27" s="529"/>
      <c r="GN27" s="529"/>
      <c r="GO27" s="529"/>
      <c r="GP27" s="529"/>
      <c r="GQ27" s="529"/>
      <c r="GR27" s="529"/>
      <c r="GS27" s="529"/>
      <c r="GT27" s="529"/>
      <c r="GU27" s="529"/>
      <c r="GV27" s="529"/>
      <c r="GW27" s="529"/>
      <c r="GX27" s="529"/>
      <c r="GY27" s="529"/>
      <c r="GZ27" s="529"/>
      <c r="HA27" s="529"/>
      <c r="HB27" s="529"/>
      <c r="HC27" s="529"/>
      <c r="HD27" s="529"/>
      <c r="HE27" s="529"/>
      <c r="HF27" s="529"/>
      <c r="HG27" s="529"/>
      <c r="HH27" s="529"/>
      <c r="HI27" s="529"/>
      <c r="HJ27" s="529"/>
      <c r="HK27" s="529"/>
      <c r="HL27" s="529"/>
      <c r="HM27" s="529"/>
      <c r="HN27" s="529"/>
      <c r="HO27" s="529"/>
      <c r="HP27" s="529"/>
      <c r="HQ27" s="529"/>
      <c r="HR27" s="529"/>
      <c r="HS27" s="529"/>
      <c r="HT27" s="529"/>
      <c r="HU27" s="529"/>
      <c r="HV27" s="529"/>
      <c r="HW27" s="529"/>
      <c r="HX27" s="529"/>
      <c r="HY27" s="529"/>
      <c r="HZ27" s="529"/>
      <c r="IA27" s="529"/>
      <c r="IB27" s="529"/>
      <c r="IC27" s="529"/>
      <c r="ID27" s="529"/>
      <c r="IE27" s="529"/>
      <c r="IF27" s="529"/>
      <c r="IG27" s="529"/>
      <c r="IH27" s="529"/>
      <c r="II27" s="529"/>
      <c r="IJ27" s="529"/>
      <c r="IK27" s="529"/>
      <c r="IL27" s="529"/>
      <c r="IM27" s="529"/>
      <c r="IN27" s="529"/>
      <c r="IO27" s="529"/>
      <c r="IP27" s="529"/>
      <c r="IQ27" s="529"/>
      <c r="IR27" s="529"/>
      <c r="IS27" s="529"/>
      <c r="IT27" s="529"/>
      <c r="IU27" s="529"/>
      <c r="IV27" s="529"/>
      <c r="IW27" s="529"/>
      <c r="IX27" s="529"/>
      <c r="IY27" s="529"/>
      <c r="IZ27" s="529"/>
      <c r="JA27" s="529"/>
      <c r="JB27" s="529"/>
      <c r="JC27" s="529"/>
      <c r="JD27" s="529"/>
      <c r="JE27" s="529"/>
      <c r="JF27" s="529"/>
      <c r="JG27" s="529"/>
      <c r="JH27" s="529"/>
      <c r="JI27" s="529"/>
      <c r="JJ27" s="529"/>
      <c r="JK27" s="529"/>
      <c r="JL27" s="529"/>
      <c r="JM27" s="529"/>
      <c r="JN27" s="529"/>
      <c r="JO27" s="529"/>
      <c r="JP27" s="529"/>
      <c r="JQ27" s="529"/>
      <c r="JR27" s="529"/>
      <c r="JS27" s="529"/>
      <c r="JT27" s="529"/>
      <c r="JU27" s="529"/>
      <c r="JV27" s="529"/>
      <c r="JW27" s="529"/>
      <c r="JX27" s="529"/>
      <c r="JY27" s="529"/>
      <c r="JZ27" s="529"/>
      <c r="KA27" s="529"/>
      <c r="KB27" s="529"/>
      <c r="KC27" s="529"/>
      <c r="KD27" s="529"/>
      <c r="KE27" s="529"/>
      <c r="KF27" s="529"/>
      <c r="KG27" s="529"/>
      <c r="KH27" s="529"/>
      <c r="KI27" s="529"/>
      <c r="KJ27" s="529"/>
      <c r="KK27" s="529"/>
      <c r="KL27" s="529"/>
      <c r="KM27" s="529"/>
      <c r="KN27" s="529"/>
      <c r="KO27" s="529"/>
      <c r="KP27" s="529"/>
      <c r="KQ27" s="529"/>
      <c r="KR27" s="529"/>
      <c r="KS27" s="529"/>
      <c r="KT27" s="529"/>
      <c r="KU27" s="529"/>
      <c r="KV27" s="529"/>
      <c r="KW27" s="529"/>
      <c r="KX27" s="529"/>
      <c r="KY27" s="529"/>
      <c r="KZ27" s="529"/>
      <c r="LA27" s="529"/>
      <c r="LB27" s="529"/>
      <c r="LC27" s="529"/>
      <c r="LD27" s="529"/>
      <c r="LE27" s="529"/>
      <c r="LF27" s="529"/>
      <c r="LG27" s="529"/>
      <c r="LH27" s="529"/>
      <c r="LI27" s="529"/>
      <c r="LJ27" s="529"/>
      <c r="LK27" s="529"/>
      <c r="LL27" s="529"/>
      <c r="LM27" s="529"/>
      <c r="LN27" s="529"/>
      <c r="LO27" s="529"/>
      <c r="LP27" s="529"/>
      <c r="LQ27" s="529"/>
      <c r="LR27" s="529"/>
      <c r="LS27" s="529"/>
      <c r="LT27" s="529"/>
      <c r="LU27" s="529"/>
      <c r="LV27" s="529"/>
      <c r="LW27" s="529"/>
      <c r="LX27" s="529"/>
      <c r="LY27" s="529"/>
      <c r="LZ27" s="529"/>
      <c r="MA27" s="529"/>
      <c r="MB27" s="529"/>
      <c r="MC27" s="529"/>
      <c r="MD27" s="529"/>
      <c r="ME27" s="529"/>
      <c r="MF27" s="529"/>
      <c r="MG27" s="529"/>
      <c r="MH27" s="529"/>
      <c r="MI27" s="529"/>
      <c r="MJ27" s="529"/>
      <c r="MK27" s="529"/>
      <c r="ML27" s="529"/>
      <c r="MM27" s="529"/>
      <c r="MN27" s="529"/>
      <c r="MO27" s="529"/>
      <c r="MP27" s="529"/>
      <c r="MQ27" s="529"/>
      <c r="MR27" s="529"/>
      <c r="MS27" s="529"/>
      <c r="MT27" s="529"/>
      <c r="MU27" s="529"/>
      <c r="MV27" s="529"/>
      <c r="MW27" s="529"/>
      <c r="MX27" s="529"/>
      <c r="MY27" s="529"/>
      <c r="MZ27" s="529"/>
      <c r="NA27" s="529"/>
      <c r="NB27" s="529"/>
      <c r="NC27" s="529"/>
      <c r="ND27" s="529"/>
      <c r="NE27" s="529"/>
      <c r="NF27" s="529"/>
      <c r="NG27" s="529"/>
      <c r="NH27" s="529"/>
      <c r="NI27" s="529"/>
      <c r="NJ27" s="529"/>
      <c r="NK27" s="529"/>
      <c r="NL27" s="529"/>
      <c r="NM27" s="529"/>
      <c r="NN27" s="529"/>
      <c r="NO27" s="529"/>
      <c r="NP27" s="529"/>
      <c r="NQ27" s="529"/>
      <c r="NR27" s="529"/>
      <c r="NS27" s="529"/>
      <c r="NT27" s="529"/>
      <c r="NU27" s="529"/>
      <c r="NV27" s="529"/>
      <c r="NW27" s="529"/>
      <c r="NX27" s="529"/>
      <c r="NY27" s="529"/>
      <c r="NZ27" s="529"/>
      <c r="OA27" s="529"/>
      <c r="OB27" s="529"/>
      <c r="OC27" s="529"/>
      <c r="OD27" s="529"/>
      <c r="OE27" s="529"/>
      <c r="OF27" s="529"/>
      <c r="OG27" s="529"/>
      <c r="OH27" s="529"/>
      <c r="OI27" s="529"/>
      <c r="OJ27" s="529"/>
      <c r="OK27" s="529"/>
      <c r="OL27" s="529"/>
      <c r="OM27" s="529"/>
      <c r="ON27" s="529"/>
      <c r="OO27" s="529"/>
      <c r="OP27" s="529"/>
      <c r="OQ27" s="529"/>
      <c r="OR27" s="529"/>
      <c r="OS27" s="529"/>
      <c r="OT27" s="529"/>
      <c r="OU27" s="529"/>
      <c r="OV27" s="529"/>
      <c r="OW27" s="529"/>
      <c r="OX27" s="529"/>
      <c r="OY27" s="529"/>
      <c r="OZ27" s="529"/>
      <c r="PA27" s="529"/>
      <c r="PB27" s="529"/>
      <c r="PC27" s="529"/>
      <c r="PD27" s="529"/>
      <c r="PE27" s="529"/>
      <c r="PF27" s="529"/>
      <c r="PG27" s="529"/>
      <c r="PH27" s="529"/>
      <c r="PI27" s="529"/>
      <c r="PJ27" s="529"/>
      <c r="PK27" s="529"/>
      <c r="PL27" s="529"/>
      <c r="PM27" s="529"/>
      <c r="PN27" s="529"/>
      <c r="PO27" s="529"/>
      <c r="PP27" s="529"/>
      <c r="PQ27" s="529"/>
      <c r="PR27" s="529"/>
      <c r="PS27" s="529"/>
      <c r="PT27" s="529"/>
      <c r="PU27" s="529"/>
      <c r="PV27" s="529"/>
      <c r="PW27" s="529"/>
      <c r="PX27" s="529"/>
      <c r="PY27" s="529"/>
      <c r="PZ27" s="529"/>
      <c r="QA27" s="529"/>
      <c r="QB27" s="529"/>
      <c r="QC27" s="529"/>
      <c r="QD27" s="529"/>
      <c r="QE27" s="529"/>
      <c r="QF27" s="529"/>
      <c r="QG27" s="529"/>
      <c r="QH27" s="529"/>
      <c r="QI27" s="529"/>
      <c r="QJ27" s="529"/>
      <c r="QK27" s="529"/>
      <c r="QL27" s="529"/>
      <c r="QM27" s="529"/>
      <c r="QN27" s="529"/>
      <c r="QO27" s="529"/>
      <c r="QP27" s="529"/>
      <c r="QQ27" s="529"/>
      <c r="QR27" s="529"/>
      <c r="QS27" s="529"/>
      <c r="QT27" s="529"/>
      <c r="QU27" s="529"/>
      <c r="QV27" s="529"/>
      <c r="QW27" s="529"/>
      <c r="QX27" s="529"/>
      <c r="QY27" s="529"/>
      <c r="QZ27" s="529"/>
      <c r="RA27" s="529"/>
      <c r="RB27" s="529"/>
      <c r="RC27" s="529"/>
      <c r="RD27" s="529"/>
      <c r="RE27" s="529"/>
      <c r="RF27" s="529"/>
      <c r="RG27" s="529"/>
      <c r="RH27" s="529"/>
      <c r="RI27" s="529"/>
      <c r="RJ27" s="529"/>
      <c r="RK27" s="529"/>
      <c r="RL27" s="529"/>
      <c r="RM27" s="529"/>
      <c r="RN27" s="529"/>
      <c r="RO27" s="529"/>
      <c r="RP27" s="529"/>
      <c r="RQ27" s="529"/>
      <c r="RR27" s="529"/>
      <c r="RS27" s="529"/>
      <c r="RT27" s="529"/>
      <c r="RU27" s="529"/>
      <c r="RV27" s="529"/>
      <c r="RW27" s="529"/>
      <c r="RX27" s="529"/>
    </row>
    <row r="28" spans="1:492" s="530" customFormat="1" ht="20.149999999999999" customHeight="1">
      <c r="A28" s="547" t="s">
        <v>115</v>
      </c>
      <c r="B28" s="572" t="s">
        <v>116</v>
      </c>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58">
        <v>124.8</v>
      </c>
      <c r="AN28" s="528">
        <v>140.89999999999998</v>
      </c>
      <c r="AO28" s="528">
        <v>84.100000000000023</v>
      </c>
      <c r="AP28" s="528">
        <v>162.30000000000001</v>
      </c>
      <c r="AQ28" s="559">
        <f t="shared" si="31"/>
        <v>512.1</v>
      </c>
      <c r="AR28" s="528"/>
      <c r="AS28" s="528"/>
      <c r="AT28" s="528"/>
      <c r="AU28" s="528"/>
      <c r="AV28" s="523"/>
      <c r="AW28" s="528">
        <v>130.80000000000001</v>
      </c>
      <c r="AX28" s="528">
        <v>146.09999999999997</v>
      </c>
      <c r="AY28" s="528">
        <v>81.800000000000011</v>
      </c>
      <c r="AZ28" s="528">
        <v>179.90000000000003</v>
      </c>
      <c r="BA28" s="534">
        <f>SUM(AW28:AZ28)</f>
        <v>538.6</v>
      </c>
      <c r="BB28" s="558">
        <v>132</v>
      </c>
      <c r="BC28" s="528">
        <v>103.4</v>
      </c>
      <c r="BD28" s="528">
        <v>117.79999999999998</v>
      </c>
      <c r="BE28" s="528">
        <v>181.50000000000006</v>
      </c>
      <c r="BF28" s="559">
        <f>SUM(BB28:BE28)</f>
        <v>534.70000000000005</v>
      </c>
      <c r="BG28" s="528">
        <v>125.7</v>
      </c>
      <c r="BH28" s="528">
        <v>147.80000000000001</v>
      </c>
      <c r="BI28" s="528">
        <v>91.100000000000009</v>
      </c>
      <c r="BJ28" s="528">
        <f>513.6-SUM(BG28:BI28)</f>
        <v>149</v>
      </c>
      <c r="BK28" s="559">
        <f>SUM(BG28:BJ28)</f>
        <v>513.6</v>
      </c>
      <c r="BL28" s="528">
        <v>67.900000000000006</v>
      </c>
      <c r="BM28" s="522">
        <f>182.7-BL28</f>
        <v>114.79999999999998</v>
      </c>
      <c r="BN28" s="528">
        <f>232.4-BM28-BL28</f>
        <v>49.700000000000017</v>
      </c>
      <c r="BO28" s="528">
        <f>395.2-BN28-BM28-BL28</f>
        <v>162.80000000000001</v>
      </c>
      <c r="BP28" s="559">
        <f>SUM(BL28:BO28)</f>
        <v>395.20000000000005</v>
      </c>
      <c r="BQ28" s="528">
        <v>53.9</v>
      </c>
      <c r="BR28" s="522">
        <v>118.5</v>
      </c>
      <c r="BS28" s="528">
        <v>43.500000000000007</v>
      </c>
      <c r="BT28" s="528">
        <v>100.8</v>
      </c>
      <c r="BU28" s="559">
        <f>SUM(BQ28:BT28)</f>
        <v>316.7</v>
      </c>
      <c r="BV28" s="529"/>
      <c r="BW28" s="529"/>
      <c r="BX28" s="529"/>
      <c r="BY28" s="529"/>
      <c r="BZ28" s="529"/>
      <c r="CA28" s="529"/>
      <c r="CB28" s="529"/>
      <c r="CC28" s="529"/>
      <c r="CD28" s="529"/>
      <c r="CE28" s="529"/>
      <c r="CF28" s="529"/>
      <c r="CG28" s="529"/>
      <c r="CH28" s="529"/>
      <c r="CI28" s="529"/>
      <c r="CJ28" s="529"/>
      <c r="CK28" s="529"/>
      <c r="CL28" s="529"/>
      <c r="CM28" s="529"/>
      <c r="CN28" s="529"/>
      <c r="CO28" s="529"/>
      <c r="CP28" s="529"/>
      <c r="CQ28" s="529"/>
      <c r="CR28" s="529"/>
      <c r="CS28" s="529"/>
      <c r="CT28" s="529"/>
      <c r="CU28" s="529"/>
      <c r="CV28" s="529"/>
      <c r="CW28" s="529"/>
      <c r="CX28" s="529"/>
      <c r="CY28" s="529"/>
      <c r="CZ28" s="529"/>
      <c r="DA28" s="529"/>
      <c r="DB28" s="529"/>
      <c r="DC28" s="529"/>
      <c r="DD28" s="529"/>
      <c r="DE28" s="529"/>
      <c r="DF28" s="529"/>
      <c r="DG28" s="529"/>
      <c r="DH28" s="529"/>
      <c r="DI28" s="529"/>
      <c r="DJ28" s="529"/>
      <c r="DK28" s="529"/>
      <c r="DL28" s="529"/>
      <c r="DM28" s="529"/>
      <c r="DN28" s="529"/>
      <c r="DO28" s="529"/>
      <c r="DP28" s="529"/>
      <c r="DQ28" s="529"/>
      <c r="DR28" s="529"/>
      <c r="DS28" s="529"/>
      <c r="DT28" s="529"/>
      <c r="DU28" s="529"/>
      <c r="DV28" s="529"/>
      <c r="DW28" s="529"/>
      <c r="DX28" s="529"/>
      <c r="DY28" s="529"/>
      <c r="DZ28" s="529"/>
      <c r="EA28" s="529"/>
      <c r="EB28" s="529"/>
      <c r="EC28" s="529"/>
      <c r="ED28" s="529"/>
      <c r="EE28" s="529"/>
      <c r="EF28" s="529"/>
      <c r="EG28" s="529"/>
      <c r="EH28" s="529"/>
      <c r="EI28" s="529"/>
      <c r="EJ28" s="529"/>
      <c r="EK28" s="529"/>
      <c r="EL28" s="529"/>
      <c r="EM28" s="529"/>
      <c r="EN28" s="529"/>
      <c r="EO28" s="529"/>
      <c r="EP28" s="529"/>
      <c r="EQ28" s="529"/>
      <c r="ER28" s="529"/>
      <c r="ES28" s="529"/>
      <c r="ET28" s="529"/>
      <c r="EU28" s="529"/>
      <c r="EV28" s="529"/>
      <c r="EW28" s="529"/>
      <c r="EX28" s="529"/>
      <c r="EY28" s="529"/>
      <c r="EZ28" s="529"/>
      <c r="FA28" s="529"/>
      <c r="FB28" s="529"/>
      <c r="FC28" s="529"/>
      <c r="FD28" s="529"/>
      <c r="FE28" s="529"/>
      <c r="FF28" s="529"/>
      <c r="FG28" s="529"/>
      <c r="FH28" s="529"/>
      <c r="FI28" s="529"/>
      <c r="FJ28" s="529"/>
      <c r="FK28" s="529"/>
      <c r="FL28" s="529"/>
      <c r="FM28" s="529"/>
      <c r="FN28" s="529"/>
      <c r="FO28" s="529"/>
      <c r="FP28" s="529"/>
      <c r="FQ28" s="529"/>
      <c r="FR28" s="529"/>
      <c r="FS28" s="529"/>
      <c r="FT28" s="529"/>
      <c r="FU28" s="529"/>
      <c r="FV28" s="529"/>
      <c r="FW28" s="529"/>
      <c r="FX28" s="529"/>
      <c r="FY28" s="529"/>
      <c r="FZ28" s="529"/>
      <c r="GA28" s="529"/>
      <c r="GB28" s="529"/>
      <c r="GC28" s="529"/>
      <c r="GD28" s="529"/>
      <c r="GE28" s="529"/>
      <c r="GF28" s="529"/>
      <c r="GG28" s="529"/>
      <c r="GH28" s="529"/>
      <c r="GI28" s="529"/>
      <c r="GJ28" s="529"/>
      <c r="GK28" s="529"/>
      <c r="GL28" s="529"/>
      <c r="GM28" s="529"/>
      <c r="GN28" s="529"/>
      <c r="GO28" s="529"/>
      <c r="GP28" s="529"/>
      <c r="GQ28" s="529"/>
      <c r="GR28" s="529"/>
      <c r="GS28" s="529"/>
      <c r="GT28" s="529"/>
      <c r="GU28" s="529"/>
      <c r="GV28" s="529"/>
      <c r="GW28" s="529"/>
      <c r="GX28" s="529"/>
      <c r="GY28" s="529"/>
      <c r="GZ28" s="529"/>
      <c r="HA28" s="529"/>
      <c r="HB28" s="529"/>
      <c r="HC28" s="529"/>
      <c r="HD28" s="529"/>
      <c r="HE28" s="529"/>
      <c r="HF28" s="529"/>
      <c r="HG28" s="529"/>
      <c r="HH28" s="529"/>
      <c r="HI28" s="529"/>
      <c r="HJ28" s="529"/>
      <c r="HK28" s="529"/>
      <c r="HL28" s="529"/>
      <c r="HM28" s="529"/>
      <c r="HN28" s="529"/>
      <c r="HO28" s="529"/>
      <c r="HP28" s="529"/>
      <c r="HQ28" s="529"/>
      <c r="HR28" s="529"/>
      <c r="HS28" s="529"/>
      <c r="HT28" s="529"/>
      <c r="HU28" s="529"/>
      <c r="HV28" s="529"/>
      <c r="HW28" s="529"/>
      <c r="HX28" s="529"/>
      <c r="HY28" s="529"/>
      <c r="HZ28" s="529"/>
      <c r="IA28" s="529"/>
      <c r="IB28" s="529"/>
      <c r="IC28" s="529"/>
      <c r="ID28" s="529"/>
      <c r="IE28" s="529"/>
      <c r="IF28" s="529"/>
      <c r="IG28" s="529"/>
      <c r="IH28" s="529"/>
      <c r="II28" s="529"/>
      <c r="IJ28" s="529"/>
      <c r="IK28" s="529"/>
      <c r="IL28" s="529"/>
      <c r="IM28" s="529"/>
      <c r="IN28" s="529"/>
      <c r="IO28" s="529"/>
      <c r="IP28" s="529"/>
      <c r="IQ28" s="529"/>
      <c r="IR28" s="529"/>
      <c r="IS28" s="529"/>
      <c r="IT28" s="529"/>
      <c r="IU28" s="529"/>
      <c r="IV28" s="529"/>
      <c r="IW28" s="529"/>
      <c r="IX28" s="529"/>
      <c r="IY28" s="529"/>
      <c r="IZ28" s="529"/>
      <c r="JA28" s="529"/>
      <c r="JB28" s="529"/>
      <c r="JC28" s="529"/>
      <c r="JD28" s="529"/>
      <c r="JE28" s="529"/>
      <c r="JF28" s="529"/>
      <c r="JG28" s="529"/>
      <c r="JH28" s="529"/>
      <c r="JI28" s="529"/>
      <c r="JJ28" s="529"/>
      <c r="JK28" s="529"/>
      <c r="JL28" s="529"/>
      <c r="JM28" s="529"/>
      <c r="JN28" s="529"/>
      <c r="JO28" s="529"/>
      <c r="JP28" s="529"/>
      <c r="JQ28" s="529"/>
      <c r="JR28" s="529"/>
      <c r="JS28" s="529"/>
      <c r="JT28" s="529"/>
      <c r="JU28" s="529"/>
      <c r="JV28" s="529"/>
      <c r="JW28" s="529"/>
      <c r="JX28" s="529"/>
      <c r="JY28" s="529"/>
      <c r="JZ28" s="529"/>
      <c r="KA28" s="529"/>
      <c r="KB28" s="529"/>
      <c r="KC28" s="529"/>
      <c r="KD28" s="529"/>
      <c r="KE28" s="529"/>
      <c r="KF28" s="529"/>
      <c r="KG28" s="529"/>
      <c r="KH28" s="529"/>
      <c r="KI28" s="529"/>
      <c r="KJ28" s="529"/>
      <c r="KK28" s="529"/>
      <c r="KL28" s="529"/>
      <c r="KM28" s="529"/>
      <c r="KN28" s="529"/>
      <c r="KO28" s="529"/>
      <c r="KP28" s="529"/>
      <c r="KQ28" s="529"/>
      <c r="KR28" s="529"/>
      <c r="KS28" s="529"/>
      <c r="KT28" s="529"/>
      <c r="KU28" s="529"/>
      <c r="KV28" s="529"/>
      <c r="KW28" s="529"/>
      <c r="KX28" s="529"/>
      <c r="KY28" s="529"/>
      <c r="KZ28" s="529"/>
      <c r="LA28" s="529"/>
      <c r="LB28" s="529"/>
      <c r="LC28" s="529"/>
      <c r="LD28" s="529"/>
      <c r="LE28" s="529"/>
      <c r="LF28" s="529"/>
      <c r="LG28" s="529"/>
      <c r="LH28" s="529"/>
      <c r="LI28" s="529"/>
      <c r="LJ28" s="529"/>
      <c r="LK28" s="529"/>
      <c r="LL28" s="529"/>
      <c r="LM28" s="529"/>
      <c r="LN28" s="529"/>
      <c r="LO28" s="529"/>
      <c r="LP28" s="529"/>
      <c r="LQ28" s="529"/>
      <c r="LR28" s="529"/>
      <c r="LS28" s="529"/>
      <c r="LT28" s="529"/>
      <c r="LU28" s="529"/>
      <c r="LV28" s="529"/>
      <c r="LW28" s="529"/>
      <c r="LX28" s="529"/>
      <c r="LY28" s="529"/>
      <c r="LZ28" s="529"/>
      <c r="MA28" s="529"/>
      <c r="MB28" s="529"/>
      <c r="MC28" s="529"/>
      <c r="MD28" s="529"/>
      <c r="ME28" s="529"/>
      <c r="MF28" s="529"/>
      <c r="MG28" s="529"/>
      <c r="MH28" s="529"/>
      <c r="MI28" s="529"/>
      <c r="MJ28" s="529"/>
      <c r="MK28" s="529"/>
      <c r="ML28" s="529"/>
      <c r="MM28" s="529"/>
      <c r="MN28" s="529"/>
      <c r="MO28" s="529"/>
      <c r="MP28" s="529"/>
      <c r="MQ28" s="529"/>
      <c r="MR28" s="529"/>
      <c r="MS28" s="529"/>
      <c r="MT28" s="529"/>
      <c r="MU28" s="529"/>
      <c r="MV28" s="529"/>
      <c r="MW28" s="529"/>
      <c r="MX28" s="529"/>
      <c r="MY28" s="529"/>
      <c r="MZ28" s="529"/>
      <c r="NA28" s="529"/>
      <c r="NB28" s="529"/>
      <c r="NC28" s="529"/>
      <c r="ND28" s="529"/>
      <c r="NE28" s="529"/>
      <c r="NF28" s="529"/>
      <c r="NG28" s="529"/>
      <c r="NH28" s="529"/>
      <c r="NI28" s="529"/>
      <c r="NJ28" s="529"/>
      <c r="NK28" s="529"/>
      <c r="NL28" s="529"/>
      <c r="NM28" s="529"/>
      <c r="NN28" s="529"/>
      <c r="NO28" s="529"/>
      <c r="NP28" s="529"/>
      <c r="NQ28" s="529"/>
      <c r="NR28" s="529"/>
      <c r="NS28" s="529"/>
      <c r="NT28" s="529"/>
      <c r="NU28" s="529"/>
      <c r="NV28" s="529"/>
      <c r="NW28" s="529"/>
      <c r="NX28" s="529"/>
      <c r="NY28" s="529"/>
      <c r="NZ28" s="529"/>
      <c r="OA28" s="529"/>
      <c r="OB28" s="529"/>
      <c r="OC28" s="529"/>
      <c r="OD28" s="529"/>
      <c r="OE28" s="529"/>
      <c r="OF28" s="529"/>
      <c r="OG28" s="529"/>
      <c r="OH28" s="529"/>
      <c r="OI28" s="529"/>
      <c r="OJ28" s="529"/>
      <c r="OK28" s="529"/>
      <c r="OL28" s="529"/>
      <c r="OM28" s="529"/>
      <c r="ON28" s="529"/>
      <c r="OO28" s="529"/>
      <c r="OP28" s="529"/>
      <c r="OQ28" s="529"/>
      <c r="OR28" s="529"/>
      <c r="OS28" s="529"/>
      <c r="OT28" s="529"/>
      <c r="OU28" s="529"/>
      <c r="OV28" s="529"/>
      <c r="OW28" s="529"/>
      <c r="OX28" s="529"/>
      <c r="OY28" s="529"/>
      <c r="OZ28" s="529"/>
      <c r="PA28" s="529"/>
      <c r="PB28" s="529"/>
      <c r="PC28" s="529"/>
      <c r="PD28" s="529"/>
      <c r="PE28" s="529"/>
      <c r="PF28" s="529"/>
      <c r="PG28" s="529"/>
      <c r="PH28" s="529"/>
      <c r="PI28" s="529"/>
      <c r="PJ28" s="529"/>
      <c r="PK28" s="529"/>
      <c r="PL28" s="529"/>
      <c r="PM28" s="529"/>
      <c r="PN28" s="529"/>
      <c r="PO28" s="529"/>
      <c r="PP28" s="529"/>
      <c r="PQ28" s="529"/>
      <c r="PR28" s="529"/>
      <c r="PS28" s="529"/>
      <c r="PT28" s="529"/>
      <c r="PU28" s="529"/>
      <c r="PV28" s="529"/>
      <c r="PW28" s="529"/>
      <c r="PX28" s="529"/>
      <c r="PY28" s="529"/>
      <c r="PZ28" s="529"/>
      <c r="QA28" s="529"/>
      <c r="QB28" s="529"/>
      <c r="QC28" s="529"/>
      <c r="QD28" s="529"/>
      <c r="QE28" s="529"/>
      <c r="QF28" s="529"/>
      <c r="QG28" s="529"/>
      <c r="QH28" s="529"/>
      <c r="QI28" s="529"/>
      <c r="QJ28" s="529"/>
      <c r="QK28" s="529"/>
      <c r="QL28" s="529"/>
      <c r="QM28" s="529"/>
      <c r="QN28" s="529"/>
      <c r="QO28" s="529"/>
      <c r="QP28" s="529"/>
      <c r="QQ28" s="529"/>
      <c r="QR28" s="529"/>
      <c r="QS28" s="529"/>
      <c r="QT28" s="529"/>
      <c r="QU28" s="529"/>
      <c r="QV28" s="529"/>
      <c r="QW28" s="529"/>
      <c r="QX28" s="529"/>
      <c r="QY28" s="529"/>
      <c r="QZ28" s="529"/>
      <c r="RA28" s="529"/>
      <c r="RB28" s="529"/>
      <c r="RC28" s="529"/>
      <c r="RD28" s="529"/>
      <c r="RE28" s="529"/>
      <c r="RF28" s="529"/>
      <c r="RG28" s="529"/>
      <c r="RH28" s="529"/>
      <c r="RI28" s="529"/>
      <c r="RJ28" s="529"/>
      <c r="RK28" s="529"/>
      <c r="RL28" s="529"/>
      <c r="RM28" s="529"/>
      <c r="RN28" s="529"/>
      <c r="RO28" s="529"/>
      <c r="RP28" s="529"/>
      <c r="RQ28" s="529"/>
      <c r="RR28" s="529"/>
      <c r="RS28" s="529"/>
      <c r="RT28" s="529"/>
      <c r="RU28" s="529"/>
      <c r="RV28" s="529"/>
      <c r="RW28" s="529"/>
      <c r="RX28" s="529"/>
    </row>
    <row r="29" spans="1:492" s="530" customFormat="1" ht="20.149999999999999" customHeight="1">
      <c r="A29" s="547" t="s">
        <v>123</v>
      </c>
      <c r="B29" s="572" t="s">
        <v>118</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58"/>
      <c r="AN29" s="528"/>
      <c r="AO29" s="528"/>
      <c r="AP29" s="528"/>
      <c r="AQ29" s="559"/>
      <c r="AR29" s="528"/>
      <c r="AS29" s="528"/>
      <c r="AT29" s="528"/>
      <c r="AU29" s="528"/>
      <c r="AV29" s="523"/>
      <c r="AW29" s="528"/>
      <c r="AX29" s="528"/>
      <c r="AY29" s="528"/>
      <c r="AZ29" s="528"/>
      <c r="BA29" s="534"/>
      <c r="BB29" s="558"/>
      <c r="BC29" s="528"/>
      <c r="BD29" s="528"/>
      <c r="BE29" s="528"/>
      <c r="BF29" s="559"/>
      <c r="BG29" s="528"/>
      <c r="BH29" s="528"/>
      <c r="BI29" s="528"/>
      <c r="BJ29" s="528"/>
      <c r="BK29" s="559"/>
      <c r="BL29" s="528"/>
      <c r="BM29" s="522">
        <v>0.1</v>
      </c>
      <c r="BN29" s="528">
        <f>4.5-BM29-BL29</f>
        <v>4.4000000000000004</v>
      </c>
      <c r="BO29" s="528">
        <f>41.3-BN29-BM29</f>
        <v>36.799999999999997</v>
      </c>
      <c r="BP29" s="559">
        <f t="shared" ref="BP29:BP31" si="32">SUM(BL29:BO29)</f>
        <v>41.3</v>
      </c>
      <c r="BQ29" s="528">
        <v>1.7</v>
      </c>
      <c r="BR29" s="522">
        <v>0.7</v>
      </c>
      <c r="BS29" s="528">
        <v>3.5</v>
      </c>
      <c r="BT29" s="528">
        <v>-1.4</v>
      </c>
      <c r="BU29" s="559">
        <f t="shared" ref="BU29:BU31" si="33">SUM(BQ29:BT29)</f>
        <v>4.5</v>
      </c>
      <c r="BV29" s="529"/>
      <c r="BW29" s="529"/>
      <c r="BX29" s="529"/>
      <c r="BY29" s="529"/>
      <c r="BZ29" s="529"/>
      <c r="CA29" s="529"/>
      <c r="CB29" s="529"/>
      <c r="CC29" s="529"/>
      <c r="CD29" s="529"/>
      <c r="CE29" s="529"/>
      <c r="CF29" s="529"/>
      <c r="CG29" s="529"/>
      <c r="CH29" s="529"/>
      <c r="CI29" s="529"/>
      <c r="CJ29" s="529"/>
      <c r="CK29" s="529"/>
      <c r="CL29" s="529"/>
      <c r="CM29" s="529"/>
      <c r="CN29" s="529"/>
      <c r="CO29" s="529"/>
      <c r="CP29" s="529"/>
      <c r="CQ29" s="529"/>
      <c r="CR29" s="529"/>
      <c r="CS29" s="529"/>
      <c r="CT29" s="529"/>
      <c r="CU29" s="529"/>
      <c r="CV29" s="529"/>
      <c r="CW29" s="529"/>
      <c r="CX29" s="529"/>
      <c r="CY29" s="529"/>
      <c r="CZ29" s="529"/>
      <c r="DA29" s="529"/>
      <c r="DB29" s="529"/>
      <c r="DC29" s="529"/>
      <c r="DD29" s="529"/>
      <c r="DE29" s="529"/>
      <c r="DF29" s="529"/>
      <c r="DG29" s="529"/>
      <c r="DH29" s="529"/>
      <c r="DI29" s="529"/>
      <c r="DJ29" s="529"/>
      <c r="DK29" s="529"/>
      <c r="DL29" s="529"/>
      <c r="DM29" s="529"/>
      <c r="DN29" s="529"/>
      <c r="DO29" s="529"/>
      <c r="DP29" s="529"/>
      <c r="DQ29" s="529"/>
      <c r="DR29" s="529"/>
      <c r="DS29" s="529"/>
      <c r="DT29" s="529"/>
      <c r="DU29" s="529"/>
      <c r="DV29" s="529"/>
      <c r="DW29" s="529"/>
      <c r="DX29" s="529"/>
      <c r="DY29" s="529"/>
      <c r="DZ29" s="529"/>
      <c r="EA29" s="529"/>
      <c r="EB29" s="529"/>
      <c r="EC29" s="529"/>
      <c r="ED29" s="529"/>
      <c r="EE29" s="529"/>
      <c r="EF29" s="529"/>
      <c r="EG29" s="529"/>
      <c r="EH29" s="529"/>
      <c r="EI29" s="529"/>
      <c r="EJ29" s="529"/>
      <c r="EK29" s="529"/>
      <c r="EL29" s="529"/>
      <c r="EM29" s="529"/>
      <c r="EN29" s="529"/>
      <c r="EO29" s="529"/>
      <c r="EP29" s="529"/>
      <c r="EQ29" s="529"/>
      <c r="ER29" s="529"/>
      <c r="ES29" s="529"/>
      <c r="ET29" s="529"/>
      <c r="EU29" s="529"/>
      <c r="EV29" s="529"/>
      <c r="EW29" s="529"/>
      <c r="EX29" s="529"/>
      <c r="EY29" s="529"/>
      <c r="EZ29" s="529"/>
      <c r="FA29" s="529"/>
      <c r="FB29" s="529"/>
      <c r="FC29" s="529"/>
      <c r="FD29" s="529"/>
      <c r="FE29" s="529"/>
      <c r="FF29" s="529"/>
      <c r="FG29" s="529"/>
      <c r="FH29" s="529"/>
      <c r="FI29" s="529"/>
      <c r="FJ29" s="529"/>
      <c r="FK29" s="529"/>
      <c r="FL29" s="529"/>
      <c r="FM29" s="529"/>
      <c r="FN29" s="529"/>
      <c r="FO29" s="529"/>
      <c r="FP29" s="529"/>
      <c r="FQ29" s="529"/>
      <c r="FR29" s="529"/>
      <c r="FS29" s="529"/>
      <c r="FT29" s="529"/>
      <c r="FU29" s="529"/>
      <c r="FV29" s="529"/>
      <c r="FW29" s="529"/>
      <c r="FX29" s="529"/>
      <c r="FY29" s="529"/>
      <c r="FZ29" s="529"/>
      <c r="GA29" s="529"/>
      <c r="GB29" s="529"/>
      <c r="GC29" s="529"/>
      <c r="GD29" s="529"/>
      <c r="GE29" s="529"/>
      <c r="GF29" s="529"/>
      <c r="GG29" s="529"/>
      <c r="GH29" s="529"/>
      <c r="GI29" s="529"/>
      <c r="GJ29" s="529"/>
      <c r="GK29" s="529"/>
      <c r="GL29" s="529"/>
      <c r="GM29" s="529"/>
      <c r="GN29" s="529"/>
      <c r="GO29" s="529"/>
      <c r="GP29" s="529"/>
      <c r="GQ29" s="529"/>
      <c r="GR29" s="529"/>
      <c r="GS29" s="529"/>
      <c r="GT29" s="529"/>
      <c r="GU29" s="529"/>
      <c r="GV29" s="529"/>
      <c r="GW29" s="529"/>
      <c r="GX29" s="529"/>
      <c r="GY29" s="529"/>
      <c r="GZ29" s="529"/>
      <c r="HA29" s="529"/>
      <c r="HB29" s="529"/>
      <c r="HC29" s="529"/>
      <c r="HD29" s="529"/>
      <c r="HE29" s="529"/>
      <c r="HF29" s="529"/>
      <c r="HG29" s="529"/>
      <c r="HH29" s="529"/>
      <c r="HI29" s="529"/>
      <c r="HJ29" s="529"/>
      <c r="HK29" s="529"/>
      <c r="HL29" s="529"/>
      <c r="HM29" s="529"/>
      <c r="HN29" s="529"/>
      <c r="HO29" s="529"/>
      <c r="HP29" s="529"/>
      <c r="HQ29" s="529"/>
      <c r="HR29" s="529"/>
      <c r="HS29" s="529"/>
      <c r="HT29" s="529"/>
      <c r="HU29" s="529"/>
      <c r="HV29" s="529"/>
      <c r="HW29" s="529"/>
      <c r="HX29" s="529"/>
      <c r="HY29" s="529"/>
      <c r="HZ29" s="529"/>
      <c r="IA29" s="529"/>
      <c r="IB29" s="529"/>
      <c r="IC29" s="529"/>
      <c r="ID29" s="529"/>
      <c r="IE29" s="529"/>
      <c r="IF29" s="529"/>
      <c r="IG29" s="529"/>
      <c r="IH29" s="529"/>
      <c r="II29" s="529"/>
      <c r="IJ29" s="529"/>
      <c r="IK29" s="529"/>
      <c r="IL29" s="529"/>
      <c r="IM29" s="529"/>
      <c r="IN29" s="529"/>
      <c r="IO29" s="529"/>
      <c r="IP29" s="529"/>
      <c r="IQ29" s="529"/>
      <c r="IR29" s="529"/>
      <c r="IS29" s="529"/>
      <c r="IT29" s="529"/>
      <c r="IU29" s="529"/>
      <c r="IV29" s="529"/>
      <c r="IW29" s="529"/>
      <c r="IX29" s="529"/>
      <c r="IY29" s="529"/>
      <c r="IZ29" s="529"/>
      <c r="JA29" s="529"/>
      <c r="JB29" s="529"/>
      <c r="JC29" s="529"/>
      <c r="JD29" s="529"/>
      <c r="JE29" s="529"/>
      <c r="JF29" s="529"/>
      <c r="JG29" s="529"/>
      <c r="JH29" s="529"/>
      <c r="JI29" s="529"/>
      <c r="JJ29" s="529"/>
      <c r="JK29" s="529"/>
      <c r="JL29" s="529"/>
      <c r="JM29" s="529"/>
      <c r="JN29" s="529"/>
      <c r="JO29" s="529"/>
      <c r="JP29" s="529"/>
      <c r="JQ29" s="529"/>
      <c r="JR29" s="529"/>
      <c r="JS29" s="529"/>
      <c r="JT29" s="529"/>
      <c r="JU29" s="529"/>
      <c r="JV29" s="529"/>
      <c r="JW29" s="529"/>
      <c r="JX29" s="529"/>
      <c r="JY29" s="529"/>
      <c r="JZ29" s="529"/>
      <c r="KA29" s="529"/>
      <c r="KB29" s="529"/>
      <c r="KC29" s="529"/>
      <c r="KD29" s="529"/>
      <c r="KE29" s="529"/>
      <c r="KF29" s="529"/>
      <c r="KG29" s="529"/>
      <c r="KH29" s="529"/>
      <c r="KI29" s="529"/>
      <c r="KJ29" s="529"/>
      <c r="KK29" s="529"/>
      <c r="KL29" s="529"/>
      <c r="KM29" s="529"/>
      <c r="KN29" s="529"/>
      <c r="KO29" s="529"/>
      <c r="KP29" s="529"/>
      <c r="KQ29" s="529"/>
      <c r="KR29" s="529"/>
      <c r="KS29" s="529"/>
      <c r="KT29" s="529"/>
      <c r="KU29" s="529"/>
      <c r="KV29" s="529"/>
      <c r="KW29" s="529"/>
      <c r="KX29" s="529"/>
      <c r="KY29" s="529"/>
      <c r="KZ29" s="529"/>
      <c r="LA29" s="529"/>
      <c r="LB29" s="529"/>
      <c r="LC29" s="529"/>
      <c r="LD29" s="529"/>
      <c r="LE29" s="529"/>
      <c r="LF29" s="529"/>
      <c r="LG29" s="529"/>
      <c r="LH29" s="529"/>
      <c r="LI29" s="529"/>
      <c r="LJ29" s="529"/>
      <c r="LK29" s="529"/>
      <c r="LL29" s="529"/>
      <c r="LM29" s="529"/>
      <c r="LN29" s="529"/>
      <c r="LO29" s="529"/>
      <c r="LP29" s="529"/>
      <c r="LQ29" s="529"/>
      <c r="LR29" s="529"/>
      <c r="LS29" s="529"/>
      <c r="LT29" s="529"/>
      <c r="LU29" s="529"/>
      <c r="LV29" s="529"/>
      <c r="LW29" s="529"/>
      <c r="LX29" s="529"/>
      <c r="LY29" s="529"/>
      <c r="LZ29" s="529"/>
      <c r="MA29" s="529"/>
      <c r="MB29" s="529"/>
      <c r="MC29" s="529"/>
      <c r="MD29" s="529"/>
      <c r="ME29" s="529"/>
      <c r="MF29" s="529"/>
      <c r="MG29" s="529"/>
      <c r="MH29" s="529"/>
      <c r="MI29" s="529"/>
      <c r="MJ29" s="529"/>
      <c r="MK29" s="529"/>
      <c r="ML29" s="529"/>
      <c r="MM29" s="529"/>
      <c r="MN29" s="529"/>
      <c r="MO29" s="529"/>
      <c r="MP29" s="529"/>
      <c r="MQ29" s="529"/>
      <c r="MR29" s="529"/>
      <c r="MS29" s="529"/>
      <c r="MT29" s="529"/>
      <c r="MU29" s="529"/>
      <c r="MV29" s="529"/>
      <c r="MW29" s="529"/>
      <c r="MX29" s="529"/>
      <c r="MY29" s="529"/>
      <c r="MZ29" s="529"/>
      <c r="NA29" s="529"/>
      <c r="NB29" s="529"/>
      <c r="NC29" s="529"/>
      <c r="ND29" s="529"/>
      <c r="NE29" s="529"/>
      <c r="NF29" s="529"/>
      <c r="NG29" s="529"/>
      <c r="NH29" s="529"/>
      <c r="NI29" s="529"/>
      <c r="NJ29" s="529"/>
      <c r="NK29" s="529"/>
      <c r="NL29" s="529"/>
      <c r="NM29" s="529"/>
      <c r="NN29" s="529"/>
      <c r="NO29" s="529"/>
      <c r="NP29" s="529"/>
      <c r="NQ29" s="529"/>
      <c r="NR29" s="529"/>
      <c r="NS29" s="529"/>
      <c r="NT29" s="529"/>
      <c r="NU29" s="529"/>
      <c r="NV29" s="529"/>
      <c r="NW29" s="529"/>
      <c r="NX29" s="529"/>
      <c r="NY29" s="529"/>
      <c r="NZ29" s="529"/>
      <c r="OA29" s="529"/>
      <c r="OB29" s="529"/>
      <c r="OC29" s="529"/>
      <c r="OD29" s="529"/>
      <c r="OE29" s="529"/>
      <c r="OF29" s="529"/>
      <c r="OG29" s="529"/>
      <c r="OH29" s="529"/>
      <c r="OI29" s="529"/>
      <c r="OJ29" s="529"/>
      <c r="OK29" s="529"/>
      <c r="OL29" s="529"/>
      <c r="OM29" s="529"/>
      <c r="ON29" s="529"/>
      <c r="OO29" s="529"/>
      <c r="OP29" s="529"/>
      <c r="OQ29" s="529"/>
      <c r="OR29" s="529"/>
      <c r="OS29" s="529"/>
      <c r="OT29" s="529"/>
      <c r="OU29" s="529"/>
      <c r="OV29" s="529"/>
      <c r="OW29" s="529"/>
      <c r="OX29" s="529"/>
      <c r="OY29" s="529"/>
      <c r="OZ29" s="529"/>
      <c r="PA29" s="529"/>
      <c r="PB29" s="529"/>
      <c r="PC29" s="529"/>
      <c r="PD29" s="529"/>
      <c r="PE29" s="529"/>
      <c r="PF29" s="529"/>
      <c r="PG29" s="529"/>
      <c r="PH29" s="529"/>
      <c r="PI29" s="529"/>
      <c r="PJ29" s="529"/>
      <c r="PK29" s="529"/>
      <c r="PL29" s="529"/>
      <c r="PM29" s="529"/>
      <c r="PN29" s="529"/>
      <c r="PO29" s="529"/>
      <c r="PP29" s="529"/>
      <c r="PQ29" s="529"/>
      <c r="PR29" s="529"/>
      <c r="PS29" s="529"/>
      <c r="PT29" s="529"/>
      <c r="PU29" s="529"/>
      <c r="PV29" s="529"/>
      <c r="PW29" s="529"/>
      <c r="PX29" s="529"/>
      <c r="PY29" s="529"/>
      <c r="PZ29" s="529"/>
      <c r="QA29" s="529"/>
      <c r="QB29" s="529"/>
      <c r="QC29" s="529"/>
      <c r="QD29" s="529"/>
      <c r="QE29" s="529"/>
      <c r="QF29" s="529"/>
      <c r="QG29" s="529"/>
      <c r="QH29" s="529"/>
      <c r="QI29" s="529"/>
      <c r="QJ29" s="529"/>
      <c r="QK29" s="529"/>
      <c r="QL29" s="529"/>
      <c r="QM29" s="529"/>
      <c r="QN29" s="529"/>
      <c r="QO29" s="529"/>
      <c r="QP29" s="529"/>
      <c r="QQ29" s="529"/>
      <c r="QR29" s="529"/>
      <c r="QS29" s="529"/>
      <c r="QT29" s="529"/>
      <c r="QU29" s="529"/>
      <c r="QV29" s="529"/>
      <c r="QW29" s="529"/>
      <c r="QX29" s="529"/>
      <c r="QY29" s="529"/>
      <c r="QZ29" s="529"/>
      <c r="RA29" s="529"/>
      <c r="RB29" s="529"/>
      <c r="RC29" s="529"/>
      <c r="RD29" s="529"/>
      <c r="RE29" s="529"/>
      <c r="RF29" s="529"/>
      <c r="RG29" s="529"/>
      <c r="RH29" s="529"/>
      <c r="RI29" s="529"/>
      <c r="RJ29" s="529"/>
      <c r="RK29" s="529"/>
      <c r="RL29" s="529"/>
      <c r="RM29" s="529"/>
      <c r="RN29" s="529"/>
      <c r="RO29" s="529"/>
      <c r="RP29" s="529"/>
      <c r="RQ29" s="529"/>
      <c r="RR29" s="529"/>
      <c r="RS29" s="529"/>
      <c r="RT29" s="529"/>
      <c r="RU29" s="529"/>
      <c r="RV29" s="529"/>
      <c r="RW29" s="529"/>
      <c r="RX29" s="529"/>
    </row>
    <row r="30" spans="1:492" s="530" customFormat="1" ht="20.149999999999999" customHeight="1">
      <c r="A30" s="547" t="s">
        <v>734</v>
      </c>
      <c r="B30" s="572" t="s">
        <v>735</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58"/>
      <c r="AN30" s="528"/>
      <c r="AO30" s="528"/>
      <c r="AP30" s="528"/>
      <c r="AQ30" s="559"/>
      <c r="AR30" s="528"/>
      <c r="AS30" s="528"/>
      <c r="AT30" s="528"/>
      <c r="AU30" s="528"/>
      <c r="AV30" s="523"/>
      <c r="AW30" s="528"/>
      <c r="AX30" s="528"/>
      <c r="AY30" s="528"/>
      <c r="AZ30" s="528"/>
      <c r="BA30" s="534"/>
      <c r="BB30" s="558"/>
      <c r="BC30" s="528"/>
      <c r="BD30" s="528"/>
      <c r="BE30" s="528"/>
      <c r="BF30" s="559"/>
      <c r="BG30" s="528"/>
      <c r="BH30" s="528"/>
      <c r="BI30" s="528"/>
      <c r="BJ30" s="528"/>
      <c r="BK30" s="559"/>
      <c r="BL30" s="528"/>
      <c r="BM30" s="522"/>
      <c r="BN30" s="528"/>
      <c r="BO30" s="528"/>
      <c r="BP30" s="559"/>
      <c r="BQ30" s="528"/>
      <c r="BR30" s="522"/>
      <c r="BS30" s="528">
        <v>15.7</v>
      </c>
      <c r="BT30" s="759">
        <v>-19.8</v>
      </c>
      <c r="BU30" s="559">
        <f t="shared" si="33"/>
        <v>-4.1000000000000014</v>
      </c>
      <c r="BV30" s="529"/>
      <c r="BW30" s="529"/>
      <c r="BX30" s="529"/>
      <c r="BY30" s="529"/>
      <c r="BZ30" s="529"/>
      <c r="CA30" s="529"/>
      <c r="CB30" s="529"/>
      <c r="CC30" s="529"/>
      <c r="CD30" s="529"/>
      <c r="CE30" s="529"/>
      <c r="CF30" s="529"/>
      <c r="CG30" s="529"/>
      <c r="CH30" s="529"/>
      <c r="CI30" s="529"/>
      <c r="CJ30" s="529"/>
      <c r="CK30" s="529"/>
      <c r="CL30" s="529"/>
      <c r="CM30" s="529"/>
      <c r="CN30" s="529"/>
      <c r="CO30" s="529"/>
      <c r="CP30" s="529"/>
      <c r="CQ30" s="529"/>
      <c r="CR30" s="529"/>
      <c r="CS30" s="529"/>
      <c r="CT30" s="529"/>
      <c r="CU30" s="529"/>
      <c r="CV30" s="529"/>
      <c r="CW30" s="529"/>
      <c r="CX30" s="529"/>
      <c r="CY30" s="529"/>
      <c r="CZ30" s="529"/>
      <c r="DA30" s="529"/>
      <c r="DB30" s="529"/>
      <c r="DC30" s="529"/>
      <c r="DD30" s="529"/>
      <c r="DE30" s="529"/>
      <c r="DF30" s="529"/>
      <c r="DG30" s="529"/>
      <c r="DH30" s="529"/>
      <c r="DI30" s="529"/>
      <c r="DJ30" s="529"/>
      <c r="DK30" s="529"/>
      <c r="DL30" s="529"/>
      <c r="DM30" s="529"/>
      <c r="DN30" s="529"/>
      <c r="DO30" s="529"/>
      <c r="DP30" s="529"/>
      <c r="DQ30" s="529"/>
      <c r="DR30" s="529"/>
      <c r="DS30" s="529"/>
      <c r="DT30" s="529"/>
      <c r="DU30" s="529"/>
      <c r="DV30" s="529"/>
      <c r="DW30" s="529"/>
      <c r="DX30" s="529"/>
      <c r="DY30" s="529"/>
      <c r="DZ30" s="529"/>
      <c r="EA30" s="529"/>
      <c r="EB30" s="529"/>
      <c r="EC30" s="529"/>
      <c r="ED30" s="529"/>
      <c r="EE30" s="529"/>
      <c r="EF30" s="529"/>
      <c r="EG30" s="529"/>
      <c r="EH30" s="529"/>
      <c r="EI30" s="529"/>
      <c r="EJ30" s="529"/>
      <c r="EK30" s="529"/>
      <c r="EL30" s="529"/>
      <c r="EM30" s="529"/>
      <c r="EN30" s="529"/>
      <c r="EO30" s="529"/>
      <c r="EP30" s="529"/>
      <c r="EQ30" s="529"/>
      <c r="ER30" s="529"/>
      <c r="ES30" s="529"/>
      <c r="ET30" s="529"/>
      <c r="EU30" s="529"/>
      <c r="EV30" s="529"/>
      <c r="EW30" s="529"/>
      <c r="EX30" s="529"/>
      <c r="EY30" s="529"/>
      <c r="EZ30" s="529"/>
      <c r="FA30" s="529"/>
      <c r="FB30" s="529"/>
      <c r="FC30" s="529"/>
      <c r="FD30" s="529"/>
      <c r="FE30" s="529"/>
      <c r="FF30" s="529"/>
      <c r="FG30" s="529"/>
      <c r="FH30" s="529"/>
      <c r="FI30" s="529"/>
      <c r="FJ30" s="529"/>
      <c r="FK30" s="529"/>
      <c r="FL30" s="529"/>
      <c r="FM30" s="529"/>
      <c r="FN30" s="529"/>
      <c r="FO30" s="529"/>
      <c r="FP30" s="529"/>
      <c r="FQ30" s="529"/>
      <c r="FR30" s="529"/>
      <c r="FS30" s="529"/>
      <c r="FT30" s="529"/>
      <c r="FU30" s="529"/>
      <c r="FV30" s="529"/>
      <c r="FW30" s="529"/>
      <c r="FX30" s="529"/>
      <c r="FY30" s="529"/>
      <c r="FZ30" s="529"/>
      <c r="GA30" s="529"/>
      <c r="GB30" s="529"/>
      <c r="GC30" s="529"/>
      <c r="GD30" s="529"/>
      <c r="GE30" s="529"/>
      <c r="GF30" s="529"/>
      <c r="GG30" s="529"/>
      <c r="GH30" s="529"/>
      <c r="GI30" s="529"/>
      <c r="GJ30" s="529"/>
      <c r="GK30" s="529"/>
      <c r="GL30" s="529"/>
      <c r="GM30" s="529"/>
      <c r="GN30" s="529"/>
      <c r="GO30" s="529"/>
      <c r="GP30" s="529"/>
      <c r="GQ30" s="529"/>
      <c r="GR30" s="529"/>
      <c r="GS30" s="529"/>
      <c r="GT30" s="529"/>
      <c r="GU30" s="529"/>
      <c r="GV30" s="529"/>
      <c r="GW30" s="529"/>
      <c r="GX30" s="529"/>
      <c r="GY30" s="529"/>
      <c r="GZ30" s="529"/>
      <c r="HA30" s="529"/>
      <c r="HB30" s="529"/>
      <c r="HC30" s="529"/>
      <c r="HD30" s="529"/>
      <c r="HE30" s="529"/>
      <c r="HF30" s="529"/>
      <c r="HG30" s="529"/>
      <c r="HH30" s="529"/>
      <c r="HI30" s="529"/>
      <c r="HJ30" s="529"/>
      <c r="HK30" s="529"/>
      <c r="HL30" s="529"/>
      <c r="HM30" s="529"/>
      <c r="HN30" s="529"/>
      <c r="HO30" s="529"/>
      <c r="HP30" s="529"/>
      <c r="HQ30" s="529"/>
      <c r="HR30" s="529"/>
      <c r="HS30" s="529"/>
      <c r="HT30" s="529"/>
      <c r="HU30" s="529"/>
      <c r="HV30" s="529"/>
      <c r="HW30" s="529"/>
      <c r="HX30" s="529"/>
      <c r="HY30" s="529"/>
      <c r="HZ30" s="529"/>
      <c r="IA30" s="529"/>
      <c r="IB30" s="529"/>
      <c r="IC30" s="529"/>
      <c r="ID30" s="529"/>
      <c r="IE30" s="529"/>
      <c r="IF30" s="529"/>
      <c r="IG30" s="529"/>
      <c r="IH30" s="529"/>
      <c r="II30" s="529"/>
      <c r="IJ30" s="529"/>
      <c r="IK30" s="529"/>
      <c r="IL30" s="529"/>
      <c r="IM30" s="529"/>
      <c r="IN30" s="529"/>
      <c r="IO30" s="529"/>
      <c r="IP30" s="529"/>
      <c r="IQ30" s="529"/>
      <c r="IR30" s="529"/>
      <c r="IS30" s="529"/>
      <c r="IT30" s="529"/>
      <c r="IU30" s="529"/>
      <c r="IV30" s="529"/>
      <c r="IW30" s="529"/>
      <c r="IX30" s="529"/>
      <c r="IY30" s="529"/>
      <c r="IZ30" s="529"/>
      <c r="JA30" s="529"/>
      <c r="JB30" s="529"/>
      <c r="JC30" s="529"/>
      <c r="JD30" s="529"/>
      <c r="JE30" s="529"/>
      <c r="JF30" s="529"/>
      <c r="JG30" s="529"/>
      <c r="JH30" s="529"/>
      <c r="JI30" s="529"/>
      <c r="JJ30" s="529"/>
      <c r="JK30" s="529"/>
      <c r="JL30" s="529"/>
      <c r="JM30" s="529"/>
      <c r="JN30" s="529"/>
      <c r="JO30" s="529"/>
      <c r="JP30" s="529"/>
      <c r="JQ30" s="529"/>
      <c r="JR30" s="529"/>
      <c r="JS30" s="529"/>
      <c r="JT30" s="529"/>
      <c r="JU30" s="529"/>
      <c r="JV30" s="529"/>
      <c r="JW30" s="529"/>
      <c r="JX30" s="529"/>
      <c r="JY30" s="529"/>
      <c r="JZ30" s="529"/>
      <c r="KA30" s="529"/>
      <c r="KB30" s="529"/>
      <c r="KC30" s="529"/>
      <c r="KD30" s="529"/>
      <c r="KE30" s="529"/>
      <c r="KF30" s="529"/>
      <c r="KG30" s="529"/>
      <c r="KH30" s="529"/>
      <c r="KI30" s="529"/>
      <c r="KJ30" s="529"/>
      <c r="KK30" s="529"/>
      <c r="KL30" s="529"/>
      <c r="KM30" s="529"/>
      <c r="KN30" s="529"/>
      <c r="KO30" s="529"/>
      <c r="KP30" s="529"/>
      <c r="KQ30" s="529"/>
      <c r="KR30" s="529"/>
      <c r="KS30" s="529"/>
      <c r="KT30" s="529"/>
      <c r="KU30" s="529"/>
      <c r="KV30" s="529"/>
      <c r="KW30" s="529"/>
      <c r="KX30" s="529"/>
      <c r="KY30" s="529"/>
      <c r="KZ30" s="529"/>
      <c r="LA30" s="529"/>
      <c r="LB30" s="529"/>
      <c r="LC30" s="529"/>
      <c r="LD30" s="529"/>
      <c r="LE30" s="529"/>
      <c r="LF30" s="529"/>
      <c r="LG30" s="529"/>
      <c r="LH30" s="529"/>
      <c r="LI30" s="529"/>
      <c r="LJ30" s="529"/>
      <c r="LK30" s="529"/>
      <c r="LL30" s="529"/>
      <c r="LM30" s="529"/>
      <c r="LN30" s="529"/>
      <c r="LO30" s="529"/>
      <c r="LP30" s="529"/>
      <c r="LQ30" s="529"/>
      <c r="LR30" s="529"/>
      <c r="LS30" s="529"/>
      <c r="LT30" s="529"/>
      <c r="LU30" s="529"/>
      <c r="LV30" s="529"/>
      <c r="LW30" s="529"/>
      <c r="LX30" s="529"/>
      <c r="LY30" s="529"/>
      <c r="LZ30" s="529"/>
      <c r="MA30" s="529"/>
      <c r="MB30" s="529"/>
      <c r="MC30" s="529"/>
      <c r="MD30" s="529"/>
      <c r="ME30" s="529"/>
      <c r="MF30" s="529"/>
      <c r="MG30" s="529"/>
      <c r="MH30" s="529"/>
      <c r="MI30" s="529"/>
      <c r="MJ30" s="529"/>
      <c r="MK30" s="529"/>
      <c r="ML30" s="529"/>
      <c r="MM30" s="529"/>
      <c r="MN30" s="529"/>
      <c r="MO30" s="529"/>
      <c r="MP30" s="529"/>
      <c r="MQ30" s="529"/>
      <c r="MR30" s="529"/>
      <c r="MS30" s="529"/>
      <c r="MT30" s="529"/>
      <c r="MU30" s="529"/>
      <c r="MV30" s="529"/>
      <c r="MW30" s="529"/>
      <c r="MX30" s="529"/>
      <c r="MY30" s="529"/>
      <c r="MZ30" s="529"/>
      <c r="NA30" s="529"/>
      <c r="NB30" s="529"/>
      <c r="NC30" s="529"/>
      <c r="ND30" s="529"/>
      <c r="NE30" s="529"/>
      <c r="NF30" s="529"/>
      <c r="NG30" s="529"/>
      <c r="NH30" s="529"/>
      <c r="NI30" s="529"/>
      <c r="NJ30" s="529"/>
      <c r="NK30" s="529"/>
      <c r="NL30" s="529"/>
      <c r="NM30" s="529"/>
      <c r="NN30" s="529"/>
      <c r="NO30" s="529"/>
      <c r="NP30" s="529"/>
      <c r="NQ30" s="529"/>
      <c r="NR30" s="529"/>
      <c r="NS30" s="529"/>
      <c r="NT30" s="529"/>
      <c r="NU30" s="529"/>
      <c r="NV30" s="529"/>
      <c r="NW30" s="529"/>
      <c r="NX30" s="529"/>
      <c r="NY30" s="529"/>
      <c r="NZ30" s="529"/>
      <c r="OA30" s="529"/>
      <c r="OB30" s="529"/>
      <c r="OC30" s="529"/>
      <c r="OD30" s="529"/>
      <c r="OE30" s="529"/>
      <c r="OF30" s="529"/>
      <c r="OG30" s="529"/>
      <c r="OH30" s="529"/>
      <c r="OI30" s="529"/>
      <c r="OJ30" s="529"/>
      <c r="OK30" s="529"/>
      <c r="OL30" s="529"/>
      <c r="OM30" s="529"/>
      <c r="ON30" s="529"/>
      <c r="OO30" s="529"/>
      <c r="OP30" s="529"/>
      <c r="OQ30" s="529"/>
      <c r="OR30" s="529"/>
      <c r="OS30" s="529"/>
      <c r="OT30" s="529"/>
      <c r="OU30" s="529"/>
      <c r="OV30" s="529"/>
      <c r="OW30" s="529"/>
      <c r="OX30" s="529"/>
      <c r="OY30" s="529"/>
      <c r="OZ30" s="529"/>
      <c r="PA30" s="529"/>
      <c r="PB30" s="529"/>
      <c r="PC30" s="529"/>
      <c r="PD30" s="529"/>
      <c r="PE30" s="529"/>
      <c r="PF30" s="529"/>
      <c r="PG30" s="529"/>
      <c r="PH30" s="529"/>
      <c r="PI30" s="529"/>
      <c r="PJ30" s="529"/>
      <c r="PK30" s="529"/>
      <c r="PL30" s="529"/>
      <c r="PM30" s="529"/>
      <c r="PN30" s="529"/>
      <c r="PO30" s="529"/>
      <c r="PP30" s="529"/>
      <c r="PQ30" s="529"/>
      <c r="PR30" s="529"/>
      <c r="PS30" s="529"/>
      <c r="PT30" s="529"/>
      <c r="PU30" s="529"/>
      <c r="PV30" s="529"/>
      <c r="PW30" s="529"/>
      <c r="PX30" s="529"/>
      <c r="PY30" s="529"/>
      <c r="PZ30" s="529"/>
      <c r="QA30" s="529"/>
      <c r="QB30" s="529"/>
      <c r="QC30" s="529"/>
      <c r="QD30" s="529"/>
      <c r="QE30" s="529"/>
      <c r="QF30" s="529"/>
      <c r="QG30" s="529"/>
      <c r="QH30" s="529"/>
      <c r="QI30" s="529"/>
      <c r="QJ30" s="529"/>
      <c r="QK30" s="529"/>
      <c r="QL30" s="529"/>
      <c r="QM30" s="529"/>
      <c r="QN30" s="529"/>
      <c r="QO30" s="529"/>
      <c r="QP30" s="529"/>
      <c r="QQ30" s="529"/>
      <c r="QR30" s="529"/>
      <c r="QS30" s="529"/>
      <c r="QT30" s="529"/>
      <c r="QU30" s="529"/>
      <c r="QV30" s="529"/>
      <c r="QW30" s="529"/>
      <c r="QX30" s="529"/>
      <c r="QY30" s="529"/>
      <c r="QZ30" s="529"/>
      <c r="RA30" s="529"/>
      <c r="RB30" s="529"/>
      <c r="RC30" s="529"/>
      <c r="RD30" s="529"/>
      <c r="RE30" s="529"/>
      <c r="RF30" s="529"/>
      <c r="RG30" s="529"/>
      <c r="RH30" s="529"/>
      <c r="RI30" s="529"/>
      <c r="RJ30" s="529"/>
      <c r="RK30" s="529"/>
      <c r="RL30" s="529"/>
      <c r="RM30" s="529"/>
      <c r="RN30" s="529"/>
      <c r="RO30" s="529"/>
      <c r="RP30" s="529"/>
      <c r="RQ30" s="529"/>
      <c r="RR30" s="529"/>
      <c r="RS30" s="529"/>
      <c r="RT30" s="529"/>
      <c r="RU30" s="529"/>
      <c r="RV30" s="529"/>
      <c r="RW30" s="529"/>
      <c r="RX30" s="529"/>
    </row>
    <row r="31" spans="1:492" s="530" customFormat="1" ht="20.149999999999999" customHeight="1" thickBot="1">
      <c r="A31" s="547" t="s">
        <v>119</v>
      </c>
      <c r="B31" s="572" t="s">
        <v>120</v>
      </c>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58"/>
      <c r="AN31" s="528"/>
      <c r="AO31" s="528"/>
      <c r="AP31" s="528"/>
      <c r="AQ31" s="559"/>
      <c r="AR31" s="528"/>
      <c r="AS31" s="528"/>
      <c r="AT31" s="528"/>
      <c r="AU31" s="528"/>
      <c r="AV31" s="523"/>
      <c r="AW31" s="528"/>
      <c r="AX31" s="528"/>
      <c r="AY31" s="528"/>
      <c r="AZ31" s="528"/>
      <c r="BA31" s="534"/>
      <c r="BB31" s="558"/>
      <c r="BC31" s="528"/>
      <c r="BD31" s="528"/>
      <c r="BE31" s="528"/>
      <c r="BF31" s="559"/>
      <c r="BG31" s="528"/>
      <c r="BH31" s="528"/>
      <c r="BI31" s="528"/>
      <c r="BJ31" s="528"/>
      <c r="BK31" s="559"/>
      <c r="BL31" s="528"/>
      <c r="BM31" s="759">
        <v>-2.2000000000000002</v>
      </c>
      <c r="BN31" s="759">
        <f>-7.9-BM31-BL31</f>
        <v>-5.7</v>
      </c>
      <c r="BO31" s="528">
        <f>-5.1-BN31-BM31</f>
        <v>2.8000000000000007</v>
      </c>
      <c r="BP31" s="578">
        <f t="shared" si="32"/>
        <v>-5.0999999999999996</v>
      </c>
      <c r="BQ31" s="759">
        <v>-1.5</v>
      </c>
      <c r="BR31" s="759">
        <v>0.8</v>
      </c>
      <c r="BS31" s="759">
        <v>-1.2999999999999998</v>
      </c>
      <c r="BT31" s="759">
        <v>-3.1</v>
      </c>
      <c r="BU31" s="578">
        <f t="shared" si="33"/>
        <v>-5.0999999999999996</v>
      </c>
      <c r="BV31" s="529"/>
      <c r="BW31" s="529"/>
      <c r="BX31" s="529"/>
      <c r="BY31" s="529"/>
      <c r="BZ31" s="529"/>
      <c r="CA31" s="529"/>
      <c r="CB31" s="529"/>
      <c r="CC31" s="529"/>
      <c r="CD31" s="529"/>
      <c r="CE31" s="529"/>
      <c r="CF31" s="529"/>
      <c r="CG31" s="529"/>
      <c r="CH31" s="529"/>
      <c r="CI31" s="529"/>
      <c r="CJ31" s="529"/>
      <c r="CK31" s="529"/>
      <c r="CL31" s="529"/>
      <c r="CM31" s="529"/>
      <c r="CN31" s="529"/>
      <c r="CO31" s="529"/>
      <c r="CP31" s="529"/>
      <c r="CQ31" s="529"/>
      <c r="CR31" s="529"/>
      <c r="CS31" s="529"/>
      <c r="CT31" s="529"/>
      <c r="CU31" s="529"/>
      <c r="CV31" s="529"/>
      <c r="CW31" s="529"/>
      <c r="CX31" s="529"/>
      <c r="CY31" s="529"/>
      <c r="CZ31" s="529"/>
      <c r="DA31" s="529"/>
      <c r="DB31" s="529"/>
      <c r="DC31" s="529"/>
      <c r="DD31" s="529"/>
      <c r="DE31" s="529"/>
      <c r="DF31" s="529"/>
      <c r="DG31" s="529"/>
      <c r="DH31" s="529"/>
      <c r="DI31" s="529"/>
      <c r="DJ31" s="529"/>
      <c r="DK31" s="529"/>
      <c r="DL31" s="529"/>
      <c r="DM31" s="529"/>
      <c r="DN31" s="529"/>
      <c r="DO31" s="529"/>
      <c r="DP31" s="529"/>
      <c r="DQ31" s="529"/>
      <c r="DR31" s="529"/>
      <c r="DS31" s="529"/>
      <c r="DT31" s="529"/>
      <c r="DU31" s="529"/>
      <c r="DV31" s="529"/>
      <c r="DW31" s="529"/>
      <c r="DX31" s="529"/>
      <c r="DY31" s="529"/>
      <c r="DZ31" s="529"/>
      <c r="EA31" s="529"/>
      <c r="EB31" s="529"/>
      <c r="EC31" s="529"/>
      <c r="ED31" s="529"/>
      <c r="EE31" s="529"/>
      <c r="EF31" s="529"/>
      <c r="EG31" s="529"/>
      <c r="EH31" s="529"/>
      <c r="EI31" s="529"/>
      <c r="EJ31" s="529"/>
      <c r="EK31" s="529"/>
      <c r="EL31" s="529"/>
      <c r="EM31" s="529"/>
      <c r="EN31" s="529"/>
      <c r="EO31" s="529"/>
      <c r="EP31" s="529"/>
      <c r="EQ31" s="529"/>
      <c r="ER31" s="529"/>
      <c r="ES31" s="529"/>
      <c r="ET31" s="529"/>
      <c r="EU31" s="529"/>
      <c r="EV31" s="529"/>
      <c r="EW31" s="529"/>
      <c r="EX31" s="529"/>
      <c r="EY31" s="529"/>
      <c r="EZ31" s="529"/>
      <c r="FA31" s="529"/>
      <c r="FB31" s="529"/>
      <c r="FC31" s="529"/>
      <c r="FD31" s="529"/>
      <c r="FE31" s="529"/>
      <c r="FF31" s="529"/>
      <c r="FG31" s="529"/>
      <c r="FH31" s="529"/>
      <c r="FI31" s="529"/>
      <c r="FJ31" s="529"/>
      <c r="FK31" s="529"/>
      <c r="FL31" s="529"/>
      <c r="FM31" s="529"/>
      <c r="FN31" s="529"/>
      <c r="FO31" s="529"/>
      <c r="FP31" s="529"/>
      <c r="FQ31" s="529"/>
      <c r="FR31" s="529"/>
      <c r="FS31" s="529"/>
      <c r="FT31" s="529"/>
      <c r="FU31" s="529"/>
      <c r="FV31" s="529"/>
      <c r="FW31" s="529"/>
      <c r="FX31" s="529"/>
      <c r="FY31" s="529"/>
      <c r="FZ31" s="529"/>
      <c r="GA31" s="529"/>
      <c r="GB31" s="529"/>
      <c r="GC31" s="529"/>
      <c r="GD31" s="529"/>
      <c r="GE31" s="529"/>
      <c r="GF31" s="529"/>
      <c r="GG31" s="529"/>
      <c r="GH31" s="529"/>
      <c r="GI31" s="529"/>
      <c r="GJ31" s="529"/>
      <c r="GK31" s="529"/>
      <c r="GL31" s="529"/>
      <c r="GM31" s="529"/>
      <c r="GN31" s="529"/>
      <c r="GO31" s="529"/>
      <c r="GP31" s="529"/>
      <c r="GQ31" s="529"/>
      <c r="GR31" s="529"/>
      <c r="GS31" s="529"/>
      <c r="GT31" s="529"/>
      <c r="GU31" s="529"/>
      <c r="GV31" s="529"/>
      <c r="GW31" s="529"/>
      <c r="GX31" s="529"/>
      <c r="GY31" s="529"/>
      <c r="GZ31" s="529"/>
      <c r="HA31" s="529"/>
      <c r="HB31" s="529"/>
      <c r="HC31" s="529"/>
      <c r="HD31" s="529"/>
      <c r="HE31" s="529"/>
      <c r="HF31" s="529"/>
      <c r="HG31" s="529"/>
      <c r="HH31" s="529"/>
      <c r="HI31" s="529"/>
      <c r="HJ31" s="529"/>
      <c r="HK31" s="529"/>
      <c r="HL31" s="529"/>
      <c r="HM31" s="529"/>
      <c r="HN31" s="529"/>
      <c r="HO31" s="529"/>
      <c r="HP31" s="529"/>
      <c r="HQ31" s="529"/>
      <c r="HR31" s="529"/>
      <c r="HS31" s="529"/>
      <c r="HT31" s="529"/>
      <c r="HU31" s="529"/>
      <c r="HV31" s="529"/>
      <c r="HW31" s="529"/>
      <c r="HX31" s="529"/>
      <c r="HY31" s="529"/>
      <c r="HZ31" s="529"/>
      <c r="IA31" s="529"/>
      <c r="IB31" s="529"/>
      <c r="IC31" s="529"/>
      <c r="ID31" s="529"/>
      <c r="IE31" s="529"/>
      <c r="IF31" s="529"/>
      <c r="IG31" s="529"/>
      <c r="IH31" s="529"/>
      <c r="II31" s="529"/>
      <c r="IJ31" s="529"/>
      <c r="IK31" s="529"/>
      <c r="IL31" s="529"/>
      <c r="IM31" s="529"/>
      <c r="IN31" s="529"/>
      <c r="IO31" s="529"/>
      <c r="IP31" s="529"/>
      <c r="IQ31" s="529"/>
      <c r="IR31" s="529"/>
      <c r="IS31" s="529"/>
      <c r="IT31" s="529"/>
      <c r="IU31" s="529"/>
      <c r="IV31" s="529"/>
      <c r="IW31" s="529"/>
      <c r="IX31" s="529"/>
      <c r="IY31" s="529"/>
      <c r="IZ31" s="529"/>
      <c r="JA31" s="529"/>
      <c r="JB31" s="529"/>
      <c r="JC31" s="529"/>
      <c r="JD31" s="529"/>
      <c r="JE31" s="529"/>
      <c r="JF31" s="529"/>
      <c r="JG31" s="529"/>
      <c r="JH31" s="529"/>
      <c r="JI31" s="529"/>
      <c r="JJ31" s="529"/>
      <c r="JK31" s="529"/>
      <c r="JL31" s="529"/>
      <c r="JM31" s="529"/>
      <c r="JN31" s="529"/>
      <c r="JO31" s="529"/>
      <c r="JP31" s="529"/>
      <c r="JQ31" s="529"/>
      <c r="JR31" s="529"/>
      <c r="JS31" s="529"/>
      <c r="JT31" s="529"/>
      <c r="JU31" s="529"/>
      <c r="JV31" s="529"/>
      <c r="JW31" s="529"/>
      <c r="JX31" s="529"/>
      <c r="JY31" s="529"/>
      <c r="JZ31" s="529"/>
      <c r="KA31" s="529"/>
      <c r="KB31" s="529"/>
      <c r="KC31" s="529"/>
      <c r="KD31" s="529"/>
      <c r="KE31" s="529"/>
      <c r="KF31" s="529"/>
      <c r="KG31" s="529"/>
      <c r="KH31" s="529"/>
      <c r="KI31" s="529"/>
      <c r="KJ31" s="529"/>
      <c r="KK31" s="529"/>
      <c r="KL31" s="529"/>
      <c r="KM31" s="529"/>
      <c r="KN31" s="529"/>
      <c r="KO31" s="529"/>
      <c r="KP31" s="529"/>
      <c r="KQ31" s="529"/>
      <c r="KR31" s="529"/>
      <c r="KS31" s="529"/>
      <c r="KT31" s="529"/>
      <c r="KU31" s="529"/>
      <c r="KV31" s="529"/>
      <c r="KW31" s="529"/>
      <c r="KX31" s="529"/>
      <c r="KY31" s="529"/>
      <c r="KZ31" s="529"/>
      <c r="LA31" s="529"/>
      <c r="LB31" s="529"/>
      <c r="LC31" s="529"/>
      <c r="LD31" s="529"/>
      <c r="LE31" s="529"/>
      <c r="LF31" s="529"/>
      <c r="LG31" s="529"/>
      <c r="LH31" s="529"/>
      <c r="LI31" s="529"/>
      <c r="LJ31" s="529"/>
      <c r="LK31" s="529"/>
      <c r="LL31" s="529"/>
      <c r="LM31" s="529"/>
      <c r="LN31" s="529"/>
      <c r="LO31" s="529"/>
      <c r="LP31" s="529"/>
      <c r="LQ31" s="529"/>
      <c r="LR31" s="529"/>
      <c r="LS31" s="529"/>
      <c r="LT31" s="529"/>
      <c r="LU31" s="529"/>
      <c r="LV31" s="529"/>
      <c r="LW31" s="529"/>
      <c r="LX31" s="529"/>
      <c r="LY31" s="529"/>
      <c r="LZ31" s="529"/>
      <c r="MA31" s="529"/>
      <c r="MB31" s="529"/>
      <c r="MC31" s="529"/>
      <c r="MD31" s="529"/>
      <c r="ME31" s="529"/>
      <c r="MF31" s="529"/>
      <c r="MG31" s="529"/>
      <c r="MH31" s="529"/>
      <c r="MI31" s="529"/>
      <c r="MJ31" s="529"/>
      <c r="MK31" s="529"/>
      <c r="ML31" s="529"/>
      <c r="MM31" s="529"/>
      <c r="MN31" s="529"/>
      <c r="MO31" s="529"/>
      <c r="MP31" s="529"/>
      <c r="MQ31" s="529"/>
      <c r="MR31" s="529"/>
      <c r="MS31" s="529"/>
      <c r="MT31" s="529"/>
      <c r="MU31" s="529"/>
      <c r="MV31" s="529"/>
      <c r="MW31" s="529"/>
      <c r="MX31" s="529"/>
      <c r="MY31" s="529"/>
      <c r="MZ31" s="529"/>
      <c r="NA31" s="529"/>
      <c r="NB31" s="529"/>
      <c r="NC31" s="529"/>
      <c r="ND31" s="529"/>
      <c r="NE31" s="529"/>
      <c r="NF31" s="529"/>
      <c r="NG31" s="529"/>
      <c r="NH31" s="529"/>
      <c r="NI31" s="529"/>
      <c r="NJ31" s="529"/>
      <c r="NK31" s="529"/>
      <c r="NL31" s="529"/>
      <c r="NM31" s="529"/>
      <c r="NN31" s="529"/>
      <c r="NO31" s="529"/>
      <c r="NP31" s="529"/>
      <c r="NQ31" s="529"/>
      <c r="NR31" s="529"/>
      <c r="NS31" s="529"/>
      <c r="NT31" s="529"/>
      <c r="NU31" s="529"/>
      <c r="NV31" s="529"/>
      <c r="NW31" s="529"/>
      <c r="NX31" s="529"/>
      <c r="NY31" s="529"/>
      <c r="NZ31" s="529"/>
      <c r="OA31" s="529"/>
      <c r="OB31" s="529"/>
      <c r="OC31" s="529"/>
      <c r="OD31" s="529"/>
      <c r="OE31" s="529"/>
      <c r="OF31" s="529"/>
      <c r="OG31" s="529"/>
      <c r="OH31" s="529"/>
      <c r="OI31" s="529"/>
      <c r="OJ31" s="529"/>
      <c r="OK31" s="529"/>
      <c r="OL31" s="529"/>
      <c r="OM31" s="529"/>
      <c r="ON31" s="529"/>
      <c r="OO31" s="529"/>
      <c r="OP31" s="529"/>
      <c r="OQ31" s="529"/>
      <c r="OR31" s="529"/>
      <c r="OS31" s="529"/>
      <c r="OT31" s="529"/>
      <c r="OU31" s="529"/>
      <c r="OV31" s="529"/>
      <c r="OW31" s="529"/>
      <c r="OX31" s="529"/>
      <c r="OY31" s="529"/>
      <c r="OZ31" s="529"/>
      <c r="PA31" s="529"/>
      <c r="PB31" s="529"/>
      <c r="PC31" s="529"/>
      <c r="PD31" s="529"/>
      <c r="PE31" s="529"/>
      <c r="PF31" s="529"/>
      <c r="PG31" s="529"/>
      <c r="PH31" s="529"/>
      <c r="PI31" s="529"/>
      <c r="PJ31" s="529"/>
      <c r="PK31" s="529"/>
      <c r="PL31" s="529"/>
      <c r="PM31" s="529"/>
      <c r="PN31" s="529"/>
      <c r="PO31" s="529"/>
      <c r="PP31" s="529"/>
      <c r="PQ31" s="529"/>
      <c r="PR31" s="529"/>
      <c r="PS31" s="529"/>
      <c r="PT31" s="529"/>
      <c r="PU31" s="529"/>
      <c r="PV31" s="529"/>
      <c r="PW31" s="529"/>
      <c r="PX31" s="529"/>
      <c r="PY31" s="529"/>
      <c r="PZ31" s="529"/>
      <c r="QA31" s="529"/>
      <c r="QB31" s="529"/>
      <c r="QC31" s="529"/>
      <c r="QD31" s="529"/>
      <c r="QE31" s="529"/>
      <c r="QF31" s="529"/>
      <c r="QG31" s="529"/>
      <c r="QH31" s="529"/>
      <c r="QI31" s="529"/>
      <c r="QJ31" s="529"/>
      <c r="QK31" s="529"/>
      <c r="QL31" s="529"/>
      <c r="QM31" s="529"/>
      <c r="QN31" s="529"/>
      <c r="QO31" s="529"/>
      <c r="QP31" s="529"/>
      <c r="QQ31" s="529"/>
      <c r="QR31" s="529"/>
      <c r="QS31" s="529"/>
      <c r="QT31" s="529"/>
      <c r="QU31" s="529"/>
      <c r="QV31" s="529"/>
      <c r="QW31" s="529"/>
      <c r="QX31" s="529"/>
      <c r="QY31" s="529"/>
      <c r="QZ31" s="529"/>
      <c r="RA31" s="529"/>
      <c r="RB31" s="529"/>
      <c r="RC31" s="529"/>
      <c r="RD31" s="529"/>
      <c r="RE31" s="529"/>
      <c r="RF31" s="529"/>
      <c r="RG31" s="529"/>
      <c r="RH31" s="529"/>
      <c r="RI31" s="529"/>
      <c r="RJ31" s="529"/>
      <c r="RK31" s="529"/>
      <c r="RL31" s="529"/>
      <c r="RM31" s="529"/>
      <c r="RN31" s="529"/>
      <c r="RO31" s="529"/>
      <c r="RP31" s="529"/>
      <c r="RQ31" s="529"/>
      <c r="RR31" s="529"/>
      <c r="RS31" s="529"/>
      <c r="RT31" s="529"/>
      <c r="RU31" s="529"/>
      <c r="RV31" s="529"/>
      <c r="RW31" s="529"/>
      <c r="RX31" s="529"/>
    </row>
    <row r="32" spans="1:492" s="65" customFormat="1" ht="31.5" thickBot="1">
      <c r="A32" s="548" t="s">
        <v>133</v>
      </c>
      <c r="B32" s="573" t="s">
        <v>134</v>
      </c>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561">
        <f>AM33+AM34</f>
        <v>174.39999999999998</v>
      </c>
      <c r="AN32" s="427">
        <f>AN33+AN34</f>
        <v>176.20000000000005</v>
      </c>
      <c r="AO32" s="427">
        <f>AO33+AO34</f>
        <v>282.79999999999995</v>
      </c>
      <c r="AP32" s="427">
        <f>AP33+AP34</f>
        <v>295</v>
      </c>
      <c r="AQ32" s="562">
        <f t="shared" si="31"/>
        <v>928.4</v>
      </c>
      <c r="AR32" s="427"/>
      <c r="AS32" s="427"/>
      <c r="AT32" s="427"/>
      <c r="AU32" s="427"/>
      <c r="AV32" s="428"/>
      <c r="AW32" s="427">
        <f>AW33+AW34</f>
        <v>359.9</v>
      </c>
      <c r="AX32" s="427">
        <f>AX33+AX34</f>
        <v>276.39999999999998</v>
      </c>
      <c r="AY32" s="427">
        <f>AY33+AY34</f>
        <v>318.29999999999995</v>
      </c>
      <c r="AZ32" s="427">
        <f>AZ33+AZ34</f>
        <v>277</v>
      </c>
      <c r="BA32" s="553">
        <f>SUM(AW32:AZ32)</f>
        <v>1231.5999999999999</v>
      </c>
      <c r="BB32" s="561">
        <f t="shared" ref="BB32:BK32" si="34">BB33+BB34</f>
        <v>307.39999999999998</v>
      </c>
      <c r="BC32" s="427">
        <f t="shared" si="34"/>
        <v>228.30000000000007</v>
      </c>
      <c r="BD32" s="427">
        <f t="shared" si="34"/>
        <v>251.99999999999989</v>
      </c>
      <c r="BE32" s="427">
        <f t="shared" si="34"/>
        <v>430.20000000000016</v>
      </c>
      <c r="BF32" s="562">
        <f t="shared" si="34"/>
        <v>1217.9000000000001</v>
      </c>
      <c r="BG32" s="427">
        <f t="shared" si="34"/>
        <v>335.5</v>
      </c>
      <c r="BH32" s="427">
        <f t="shared" si="34"/>
        <v>334.49999999999994</v>
      </c>
      <c r="BI32" s="427">
        <f t="shared" si="34"/>
        <v>231.8</v>
      </c>
      <c r="BJ32" s="427">
        <f>BJ33+BJ34</f>
        <v>256.99999999999994</v>
      </c>
      <c r="BK32" s="562">
        <f t="shared" si="34"/>
        <v>1158.8</v>
      </c>
      <c r="BL32" s="427">
        <f>BL33+BL34+BL35</f>
        <v>324.89999999999998</v>
      </c>
      <c r="BM32" s="760">
        <f t="shared" ref="BM32:BP32" si="35">BM33+BM34+BM35</f>
        <v>262</v>
      </c>
      <c r="BN32" s="427">
        <f t="shared" si="35"/>
        <v>225.30000000000004</v>
      </c>
      <c r="BO32" s="427">
        <f t="shared" si="35"/>
        <v>302.20000000000016</v>
      </c>
      <c r="BP32" s="562">
        <f t="shared" si="35"/>
        <v>1114.4000000000003</v>
      </c>
      <c r="BQ32" s="427">
        <f>BQ33+BQ34+BQ35+BQ36</f>
        <v>295.20000000000005</v>
      </c>
      <c r="BR32" s="427">
        <f t="shared" ref="BR32:BT32" si="36">BR33+BR34+BR35+BR36</f>
        <v>215.79999999999998</v>
      </c>
      <c r="BS32" s="427">
        <f t="shared" si="36"/>
        <v>493.50000000000011</v>
      </c>
      <c r="BT32" s="427">
        <f t="shared" si="36"/>
        <v>597.4</v>
      </c>
      <c r="BU32" s="562">
        <f>BU33+BU34+BU35+BU36</f>
        <v>1601.9</v>
      </c>
      <c r="BV32" s="96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row>
    <row r="33" spans="1:492" s="524" customFormat="1" ht="20.149999999999999" customHeight="1">
      <c r="A33" s="550" t="s">
        <v>113</v>
      </c>
      <c r="B33" s="575" t="s">
        <v>135</v>
      </c>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65">
        <v>164.99999999999997</v>
      </c>
      <c r="AN33" s="522">
        <v>165.60000000000005</v>
      </c>
      <c r="AO33" s="522">
        <v>259.39999999999998</v>
      </c>
      <c r="AP33" s="522">
        <v>285.7</v>
      </c>
      <c r="AQ33" s="559">
        <f t="shared" si="31"/>
        <v>875.7</v>
      </c>
      <c r="AR33" s="522"/>
      <c r="AS33" s="522"/>
      <c r="AT33" s="522"/>
      <c r="AU33" s="522"/>
      <c r="AV33" s="523"/>
      <c r="AW33" s="522">
        <v>350.9</v>
      </c>
      <c r="AX33" s="522">
        <v>266</v>
      </c>
      <c r="AY33" s="522">
        <v>312.59999999999997</v>
      </c>
      <c r="AZ33" s="522">
        <v>258.39999999999998</v>
      </c>
      <c r="BA33" s="534">
        <f t="shared" ref="BA33" si="37">SUM(AW33:AZ33)</f>
        <v>1187.9000000000001</v>
      </c>
      <c r="BB33" s="565">
        <v>283.7</v>
      </c>
      <c r="BC33" s="522">
        <v>214.10000000000008</v>
      </c>
      <c r="BD33" s="522">
        <v>232.09999999999988</v>
      </c>
      <c r="BE33" s="522">
        <v>382.50000000000017</v>
      </c>
      <c r="BF33" s="559">
        <f>SUM(BB33:BE33)</f>
        <v>1112.4000000000001</v>
      </c>
      <c r="BG33" s="522">
        <v>295.3</v>
      </c>
      <c r="BH33" s="543">
        <v>315.59999999999997</v>
      </c>
      <c r="BI33" s="543">
        <v>205.10000000000002</v>
      </c>
      <c r="BJ33" s="522">
        <f>1049.3-SUM(BG33:BI33)</f>
        <v>233.29999999999995</v>
      </c>
      <c r="BK33" s="559">
        <f>SUM(BG33:BJ33)</f>
        <v>1049.3</v>
      </c>
      <c r="BL33" s="522">
        <v>257.89999999999998</v>
      </c>
      <c r="BM33" s="543">
        <f>497.2-BL33</f>
        <v>239.3</v>
      </c>
      <c r="BN33" s="543">
        <f>692.2-BM33-BL33</f>
        <v>195.00000000000006</v>
      </c>
      <c r="BO33" s="522">
        <f>964.2-BN33-BM33-BL33</f>
        <v>272.00000000000011</v>
      </c>
      <c r="BP33" s="559">
        <f>SUM(BL33:BO33)</f>
        <v>964.20000000000016</v>
      </c>
      <c r="BQ33" s="522">
        <v>269.60000000000002</v>
      </c>
      <c r="BR33" s="894">
        <f>467.5-BQ33</f>
        <v>197.89999999999998</v>
      </c>
      <c r="BS33" s="528">
        <f>619.2-BR33-BQ33</f>
        <v>151.70000000000005</v>
      </c>
      <c r="BT33" s="522">
        <v>173.5</v>
      </c>
      <c r="BU33" s="559">
        <f>SUM(BQ33:BT33)</f>
        <v>792.7</v>
      </c>
      <c r="BW33" s="529"/>
      <c r="BY33" s="929"/>
    </row>
    <row r="34" spans="1:492" s="524" customFormat="1" ht="20.149999999999999" customHeight="1">
      <c r="A34" s="550" t="s">
        <v>115</v>
      </c>
      <c r="B34" s="575" t="s">
        <v>116</v>
      </c>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66">
        <v>9.4</v>
      </c>
      <c r="AN34" s="526">
        <v>10.6</v>
      </c>
      <c r="AO34" s="526">
        <v>23.4</v>
      </c>
      <c r="AP34" s="526">
        <v>9.3000000000000043</v>
      </c>
      <c r="AQ34" s="559">
        <f t="shared" si="31"/>
        <v>52.7</v>
      </c>
      <c r="AR34" s="526"/>
      <c r="AS34" s="526"/>
      <c r="AT34" s="526"/>
      <c r="AU34" s="526"/>
      <c r="AV34" s="523"/>
      <c r="AW34" s="526">
        <v>9</v>
      </c>
      <c r="AX34" s="526">
        <v>10.399999999999999</v>
      </c>
      <c r="AY34" s="526">
        <v>5.7000000000000028</v>
      </c>
      <c r="AZ34" s="526">
        <v>18.600000000000001</v>
      </c>
      <c r="BA34" s="534">
        <f>SUM(AW34:AZ34)</f>
        <v>43.7</v>
      </c>
      <c r="BB34" s="566">
        <v>23.7</v>
      </c>
      <c r="BC34" s="526">
        <v>14.2</v>
      </c>
      <c r="BD34" s="526">
        <v>19.899999999999999</v>
      </c>
      <c r="BE34" s="526">
        <v>47.7</v>
      </c>
      <c r="BF34" s="559">
        <f>SUM(BB34:BE34)</f>
        <v>105.5</v>
      </c>
      <c r="BG34" s="526">
        <v>40.200000000000003</v>
      </c>
      <c r="BH34" s="544">
        <v>18.899999999999999</v>
      </c>
      <c r="BI34" s="544">
        <v>26.700000000000003</v>
      </c>
      <c r="BJ34" s="526">
        <f>109.5-SUM(BG34:BI34)</f>
        <v>23.699999999999989</v>
      </c>
      <c r="BK34" s="559">
        <f>SUM(BG34:BJ34)</f>
        <v>109.5</v>
      </c>
      <c r="BL34" s="526">
        <v>67</v>
      </c>
      <c r="BM34" s="544">
        <f>81.7-BL34</f>
        <v>14.700000000000003</v>
      </c>
      <c r="BN34" s="544">
        <f>97.9-BM34-BL34</f>
        <v>16.200000000000003</v>
      </c>
      <c r="BO34" s="526">
        <f>117-BN34-BM34-BL34</f>
        <v>19.099999999999994</v>
      </c>
      <c r="BP34" s="559">
        <f>SUM(BL34:BO34)</f>
        <v>117</v>
      </c>
      <c r="BQ34" s="526">
        <v>22.3</v>
      </c>
      <c r="BR34" s="895">
        <f>31.3-BQ34</f>
        <v>9</v>
      </c>
      <c r="BS34" s="528">
        <v>31.3</v>
      </c>
      <c r="BT34" s="522">
        <v>11.399999999999999</v>
      </c>
      <c r="BU34" s="559">
        <f>SUM(BQ34:BT34)</f>
        <v>74</v>
      </c>
      <c r="BW34" s="529"/>
      <c r="BY34" s="929"/>
    </row>
    <row r="35" spans="1:492" s="524" customFormat="1" ht="20.149999999999999" customHeight="1">
      <c r="A35" s="550" t="s">
        <v>123</v>
      </c>
      <c r="B35" s="575" t="s">
        <v>118</v>
      </c>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66"/>
      <c r="AN35" s="526"/>
      <c r="AO35" s="526"/>
      <c r="AP35" s="526"/>
      <c r="AQ35" s="559"/>
      <c r="AR35" s="526"/>
      <c r="AS35" s="526"/>
      <c r="AT35" s="526"/>
      <c r="AU35" s="526"/>
      <c r="AV35" s="523"/>
      <c r="AW35" s="526"/>
      <c r="AX35" s="526"/>
      <c r="AY35" s="526"/>
      <c r="AZ35" s="526"/>
      <c r="BA35" s="534"/>
      <c r="BB35" s="566"/>
      <c r="BC35" s="526"/>
      <c r="BD35" s="526"/>
      <c r="BE35" s="526"/>
      <c r="BF35" s="559"/>
      <c r="BG35" s="526"/>
      <c r="BH35" s="544"/>
      <c r="BI35" s="544"/>
      <c r="BJ35" s="526"/>
      <c r="BK35" s="559"/>
      <c r="BL35" s="526"/>
      <c r="BM35" s="544">
        <v>8</v>
      </c>
      <c r="BN35" s="544">
        <f>22.1-BM35-BL35</f>
        <v>14.100000000000001</v>
      </c>
      <c r="BO35" s="526">
        <f>33.2-BN35-BM35</f>
        <v>11.100000000000001</v>
      </c>
      <c r="BP35" s="559">
        <f>SUM(BL35:BO35)</f>
        <v>33.200000000000003</v>
      </c>
      <c r="BQ35" s="526">
        <v>3.3</v>
      </c>
      <c r="BR35" s="895">
        <f>12.2-BQ35</f>
        <v>8.8999999999999986</v>
      </c>
      <c r="BS35" s="528">
        <v>8.9000000000000021</v>
      </c>
      <c r="BT35" s="522">
        <v>3.5</v>
      </c>
      <c r="BU35" s="559">
        <f>SUM(BQ35:BT35)</f>
        <v>24.6</v>
      </c>
      <c r="BW35" s="529"/>
      <c r="BY35" s="930"/>
    </row>
    <row r="36" spans="1:492" s="524" customFormat="1" ht="20.149999999999999" customHeight="1" thickBot="1">
      <c r="A36" s="547" t="s">
        <v>734</v>
      </c>
      <c r="B36" s="575" t="s">
        <v>735</v>
      </c>
      <c r="C36" s="525"/>
      <c r="D36" s="525"/>
      <c r="E36" s="525"/>
      <c r="F36" s="525"/>
      <c r="G36" s="525"/>
      <c r="H36" s="525"/>
      <c r="I36" s="525"/>
      <c r="J36" s="525"/>
      <c r="K36" s="525"/>
      <c r="L36" s="525"/>
      <c r="M36" s="525"/>
      <c r="N36" s="525"/>
      <c r="O36" s="525"/>
      <c r="P36" s="525"/>
      <c r="Q36" s="525"/>
      <c r="R36" s="525"/>
      <c r="S36" s="525"/>
      <c r="T36" s="525"/>
      <c r="U36" s="525"/>
      <c r="V36" s="525"/>
      <c r="W36" s="525"/>
      <c r="X36" s="525"/>
      <c r="Y36" s="525"/>
      <c r="Z36" s="525"/>
      <c r="AA36" s="525"/>
      <c r="AB36" s="525"/>
      <c r="AC36" s="525"/>
      <c r="AD36" s="525"/>
      <c r="AE36" s="525"/>
      <c r="AF36" s="525"/>
      <c r="AG36" s="525"/>
      <c r="AH36" s="525"/>
      <c r="AI36" s="525"/>
      <c r="AJ36" s="525"/>
      <c r="AK36" s="525"/>
      <c r="AL36" s="525"/>
      <c r="AM36" s="566"/>
      <c r="AN36" s="526"/>
      <c r="AO36" s="526"/>
      <c r="AP36" s="526"/>
      <c r="AQ36" s="559"/>
      <c r="AR36" s="526"/>
      <c r="AS36" s="526"/>
      <c r="AT36" s="526"/>
      <c r="AU36" s="526"/>
      <c r="AV36" s="523"/>
      <c r="AW36" s="526"/>
      <c r="AX36" s="526"/>
      <c r="AY36" s="526"/>
      <c r="AZ36" s="526"/>
      <c r="BA36" s="534"/>
      <c r="BB36" s="566"/>
      <c r="BC36" s="526"/>
      <c r="BD36" s="526"/>
      <c r="BE36" s="526"/>
      <c r="BF36" s="559"/>
      <c r="BG36" s="526"/>
      <c r="BH36" s="544"/>
      <c r="BI36" s="544"/>
      <c r="BJ36" s="526"/>
      <c r="BK36" s="559"/>
      <c r="BL36" s="526"/>
      <c r="BM36" s="544"/>
      <c r="BN36" s="544"/>
      <c r="BO36" s="526"/>
      <c r="BP36" s="559"/>
      <c r="BQ36" s="526"/>
      <c r="BR36" s="895"/>
      <c r="BS36" s="528">
        <v>301.60000000000002</v>
      </c>
      <c r="BT36" s="522">
        <v>409</v>
      </c>
      <c r="BU36" s="559">
        <f>SUM(BQ36:BT36)</f>
        <v>710.6</v>
      </c>
      <c r="BW36" s="529"/>
    </row>
    <row r="37" spans="1:492" s="65" customFormat="1" ht="29.5" thickBot="1">
      <c r="A37" s="551" t="s">
        <v>136</v>
      </c>
      <c r="B37" s="576" t="s">
        <v>137</v>
      </c>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567">
        <f t="shared" ref="AM37:BL37" si="38">AM32/AM5</f>
        <v>7.4342469840999181E-2</v>
      </c>
      <c r="AN37" s="433">
        <f t="shared" si="38"/>
        <v>6.7685925015365744E-2</v>
      </c>
      <c r="AO37" s="433">
        <f t="shared" si="38"/>
        <v>0.10340036563071296</v>
      </c>
      <c r="AP37" s="433">
        <f t="shared" si="38"/>
        <v>9.826782145236504E-2</v>
      </c>
      <c r="AQ37" s="568">
        <f t="shared" si="38"/>
        <v>8.6879216926661729E-2</v>
      </c>
      <c r="AR37" s="433" t="e">
        <f t="shared" si="38"/>
        <v>#DIV/0!</v>
      </c>
      <c r="AS37" s="433" t="e">
        <f t="shared" si="38"/>
        <v>#DIV/0!</v>
      </c>
      <c r="AT37" s="433" t="e">
        <f t="shared" si="38"/>
        <v>#DIV/0!</v>
      </c>
      <c r="AU37" s="433" t="e">
        <f t="shared" si="38"/>
        <v>#DIV/0!</v>
      </c>
      <c r="AV37" s="434" t="e">
        <f t="shared" si="38"/>
        <v>#DIV/0!</v>
      </c>
      <c r="AW37" s="433">
        <f t="shared" si="38"/>
        <v>0.12892248173090701</v>
      </c>
      <c r="AX37" s="433">
        <f t="shared" si="38"/>
        <v>9.4560383167978102E-2</v>
      </c>
      <c r="AY37" s="433">
        <f t="shared" si="38"/>
        <v>0.11004701977596458</v>
      </c>
      <c r="AZ37" s="433">
        <f t="shared" si="38"/>
        <v>9.0254471995047422E-2</v>
      </c>
      <c r="BA37" s="554">
        <f t="shared" si="38"/>
        <v>0.10548042582711693</v>
      </c>
      <c r="BB37" s="567">
        <f t="shared" si="38"/>
        <v>0.10791644725294014</v>
      </c>
      <c r="BC37" s="433">
        <f t="shared" si="38"/>
        <v>7.974988647081431E-2</v>
      </c>
      <c r="BD37" s="433">
        <f t="shared" si="38"/>
        <v>8.3902114200099839E-2</v>
      </c>
      <c r="BE37" s="433">
        <f t="shared" si="38"/>
        <v>0.13244258358475466</v>
      </c>
      <c r="BF37" s="568">
        <f t="shared" si="38"/>
        <v>0.10180641817619475</v>
      </c>
      <c r="BG37" s="433">
        <f t="shared" si="38"/>
        <v>0.11230501439378725</v>
      </c>
      <c r="BH37" s="433">
        <f t="shared" si="38"/>
        <v>0.10586448080513972</v>
      </c>
      <c r="BI37" s="433">
        <f t="shared" si="38"/>
        <v>7.6453708895412115E-2</v>
      </c>
      <c r="BJ37" s="433">
        <f t="shared" si="38"/>
        <v>7.8713629402756474E-2</v>
      </c>
      <c r="BK37" s="579">
        <f t="shared" si="38"/>
        <v>9.312118289938924E-2</v>
      </c>
      <c r="BL37" s="433">
        <f t="shared" si="38"/>
        <v>0.10878226805504401</v>
      </c>
      <c r="BM37" s="433">
        <f t="shared" ref="BM37:BU37" si="39">BM32/BM5</f>
        <v>8.1162293609243819E-2</v>
      </c>
      <c r="BN37" s="433">
        <f t="shared" si="39"/>
        <v>6.888012473631111E-2</v>
      </c>
      <c r="BO37" s="433">
        <f t="shared" si="39"/>
        <v>8.8115232097037602E-2</v>
      </c>
      <c r="BP37" s="579">
        <f t="shared" si="39"/>
        <v>8.628525856929381E-2</v>
      </c>
      <c r="BQ37" s="433">
        <f t="shared" si="39"/>
        <v>9.227018410277249E-2</v>
      </c>
      <c r="BR37" s="433">
        <f t="shared" si="39"/>
        <v>6.5596692808073426E-2</v>
      </c>
      <c r="BS37" s="433">
        <f t="shared" si="39"/>
        <v>0.14280753537633478</v>
      </c>
      <c r="BT37" s="433">
        <f t="shared" si="39"/>
        <v>0.16227081352709491</v>
      </c>
      <c r="BU37" s="579">
        <f t="shared" si="39"/>
        <v>0.11755942552270242</v>
      </c>
      <c r="BV37" s="11"/>
      <c r="BW37" s="529"/>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row>
    <row r="38" spans="1:492" s="165" customFormat="1" ht="30" customHeight="1">
      <c r="A38" s="866"/>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867"/>
      <c r="AN38" s="867"/>
      <c r="AO38" s="867"/>
      <c r="AP38" s="867"/>
      <c r="AQ38" s="867"/>
      <c r="AR38" s="850"/>
      <c r="AS38" s="850"/>
      <c r="AT38" s="850"/>
      <c r="AU38" s="850"/>
      <c r="AV38" s="850"/>
      <c r="AW38" s="867"/>
      <c r="AX38" s="867"/>
      <c r="AY38" s="867"/>
      <c r="AZ38" s="867"/>
      <c r="BA38" s="168"/>
      <c r="BB38" s="168"/>
      <c r="BC38" s="168"/>
      <c r="BD38" s="168"/>
      <c r="BE38" s="168"/>
      <c r="BF38" s="168"/>
      <c r="BG38" s="168"/>
      <c r="BH38" s="168"/>
      <c r="BI38" s="168"/>
      <c r="BJ38" s="168"/>
      <c r="BK38" s="168"/>
      <c r="BL38" s="168"/>
      <c r="BM38" s="905"/>
      <c r="BN38" s="168"/>
      <c r="BO38" s="168"/>
      <c r="BP38" s="168"/>
      <c r="BQ38" s="168"/>
      <c r="BR38" s="905"/>
      <c r="BS38" s="168"/>
      <c r="BT38" s="168"/>
      <c r="BU38" s="168"/>
      <c r="BV38" s="865"/>
      <c r="BW38" s="865"/>
      <c r="BX38" s="865"/>
      <c r="BY38" s="865"/>
      <c r="BZ38" s="865"/>
      <c r="CA38" s="865"/>
      <c r="CB38" s="865"/>
      <c r="CC38" s="865"/>
      <c r="CD38" s="865"/>
      <c r="CE38" s="865"/>
      <c r="CF38" s="865"/>
      <c r="CG38" s="865"/>
      <c r="CH38" s="865"/>
      <c r="CI38" s="865"/>
      <c r="CJ38" s="865"/>
      <c r="CK38" s="865"/>
      <c r="CL38" s="865"/>
      <c r="CM38" s="865"/>
      <c r="CN38" s="865"/>
      <c r="CO38" s="865"/>
      <c r="CP38" s="865"/>
      <c r="CQ38" s="865"/>
      <c r="CR38" s="865"/>
      <c r="CS38" s="865"/>
      <c r="CT38" s="865"/>
      <c r="CU38" s="865"/>
      <c r="CV38" s="865"/>
      <c r="CW38" s="865"/>
      <c r="CX38" s="865"/>
      <c r="CY38" s="865"/>
      <c r="CZ38" s="865"/>
      <c r="DA38" s="865"/>
      <c r="DB38" s="865"/>
      <c r="DC38" s="865"/>
      <c r="DD38" s="865"/>
      <c r="DE38" s="865"/>
      <c r="DF38" s="865"/>
      <c r="DG38" s="865"/>
      <c r="DH38" s="865"/>
      <c r="DI38" s="865"/>
      <c r="DJ38" s="865"/>
      <c r="DK38" s="865"/>
      <c r="DL38" s="865"/>
      <c r="DM38" s="865"/>
      <c r="DN38" s="865"/>
      <c r="DO38" s="865"/>
      <c r="DP38" s="865"/>
      <c r="DQ38" s="865"/>
      <c r="DR38" s="865"/>
      <c r="DS38" s="865"/>
      <c r="DT38" s="865"/>
      <c r="DU38" s="865"/>
      <c r="DV38" s="865"/>
      <c r="DW38" s="865"/>
      <c r="DX38" s="865"/>
      <c r="DY38" s="865"/>
      <c r="DZ38" s="865"/>
      <c r="EA38" s="865"/>
      <c r="EB38" s="865"/>
      <c r="EC38" s="865"/>
      <c r="ED38" s="865"/>
      <c r="EE38" s="865"/>
      <c r="EF38" s="865"/>
      <c r="EG38" s="865"/>
      <c r="EH38" s="865"/>
      <c r="EI38" s="865"/>
      <c r="EJ38" s="865"/>
      <c r="EK38" s="865"/>
      <c r="EL38" s="865"/>
      <c r="EM38" s="865"/>
      <c r="EN38" s="865"/>
      <c r="EO38" s="865"/>
      <c r="EP38" s="865"/>
      <c r="EQ38" s="865"/>
      <c r="ER38" s="865"/>
      <c r="ES38" s="865"/>
      <c r="ET38" s="865"/>
      <c r="EU38" s="865"/>
      <c r="EV38" s="865"/>
      <c r="EW38" s="865"/>
      <c r="EX38" s="865"/>
      <c r="EY38" s="865"/>
      <c r="EZ38" s="865"/>
      <c r="FA38" s="865"/>
      <c r="FB38" s="865"/>
      <c r="FC38" s="865"/>
      <c r="FD38" s="865"/>
      <c r="FE38" s="865"/>
      <c r="FF38" s="865"/>
      <c r="FG38" s="865"/>
      <c r="FH38" s="865"/>
      <c r="FI38" s="865"/>
      <c r="FJ38" s="865"/>
      <c r="FK38" s="865"/>
      <c r="FL38" s="865"/>
      <c r="FM38" s="865"/>
      <c r="FN38" s="865"/>
      <c r="FO38" s="865"/>
      <c r="FP38" s="865"/>
      <c r="FQ38" s="865"/>
      <c r="FR38" s="865"/>
      <c r="FS38" s="865"/>
      <c r="FT38" s="865"/>
      <c r="FU38" s="865"/>
      <c r="FV38" s="865"/>
      <c r="FW38" s="865"/>
      <c r="FX38" s="865"/>
      <c r="FY38" s="865"/>
      <c r="FZ38" s="865"/>
      <c r="GA38" s="865"/>
      <c r="GB38" s="865"/>
      <c r="GC38" s="865"/>
      <c r="GD38" s="865"/>
      <c r="GE38" s="865"/>
      <c r="GF38" s="865"/>
      <c r="GG38" s="865"/>
      <c r="GH38" s="865"/>
      <c r="GI38" s="865"/>
      <c r="GJ38" s="865"/>
      <c r="GK38" s="865"/>
      <c r="GL38" s="865"/>
      <c r="GM38" s="865"/>
      <c r="GN38" s="865"/>
      <c r="GO38" s="865"/>
      <c r="GP38" s="865"/>
      <c r="GQ38" s="865"/>
      <c r="GR38" s="865"/>
      <c r="GS38" s="865"/>
      <c r="GT38" s="865"/>
      <c r="GU38" s="865"/>
      <c r="GV38" s="865"/>
      <c r="GW38" s="865"/>
      <c r="GX38" s="865"/>
      <c r="GY38" s="865"/>
      <c r="GZ38" s="865"/>
      <c r="HA38" s="865"/>
      <c r="HB38" s="865"/>
      <c r="HC38" s="865"/>
      <c r="HD38" s="865"/>
      <c r="HE38" s="865"/>
      <c r="HF38" s="865"/>
      <c r="HG38" s="865"/>
      <c r="HH38" s="865"/>
      <c r="HI38" s="865"/>
      <c r="HJ38" s="865"/>
      <c r="HK38" s="865"/>
      <c r="HL38" s="865"/>
      <c r="HM38" s="865"/>
      <c r="HN38" s="865"/>
      <c r="HO38" s="865"/>
      <c r="HP38" s="865"/>
      <c r="HQ38" s="865"/>
      <c r="HR38" s="865"/>
      <c r="HS38" s="865"/>
      <c r="HT38" s="865"/>
      <c r="HU38" s="865"/>
      <c r="HV38" s="865"/>
      <c r="HW38" s="865"/>
      <c r="HX38" s="865"/>
      <c r="HY38" s="865"/>
      <c r="HZ38" s="865"/>
      <c r="IA38" s="865"/>
      <c r="IB38" s="865"/>
      <c r="IC38" s="865"/>
      <c r="ID38" s="865"/>
      <c r="IE38" s="865"/>
      <c r="IF38" s="865"/>
      <c r="IG38" s="865"/>
      <c r="IH38" s="865"/>
      <c r="II38" s="865"/>
      <c r="IJ38" s="865"/>
      <c r="IK38" s="865"/>
      <c r="IL38" s="865"/>
      <c r="IM38" s="865"/>
      <c r="IN38" s="865"/>
      <c r="IO38" s="865"/>
      <c r="IP38" s="865"/>
      <c r="IQ38" s="865"/>
      <c r="IR38" s="865"/>
      <c r="IS38" s="865"/>
      <c r="IT38" s="865"/>
      <c r="IU38" s="865"/>
      <c r="IV38" s="865"/>
      <c r="IW38" s="865"/>
      <c r="IX38" s="865"/>
      <c r="IY38" s="865"/>
      <c r="IZ38" s="865"/>
      <c r="JA38" s="865"/>
      <c r="JB38" s="865"/>
      <c r="JC38" s="865"/>
      <c r="JD38" s="865"/>
      <c r="JE38" s="865"/>
      <c r="JF38" s="865"/>
      <c r="JG38" s="865"/>
      <c r="JH38" s="865"/>
      <c r="JI38" s="865"/>
      <c r="JJ38" s="865"/>
      <c r="JK38" s="865"/>
      <c r="JL38" s="865"/>
      <c r="JM38" s="865"/>
      <c r="JN38" s="865"/>
      <c r="JO38" s="865"/>
      <c r="JP38" s="865"/>
      <c r="JQ38" s="865"/>
      <c r="JR38" s="865"/>
      <c r="JS38" s="865"/>
      <c r="JT38" s="865"/>
      <c r="JU38" s="865"/>
      <c r="JV38" s="865"/>
      <c r="JW38" s="865"/>
      <c r="JX38" s="865"/>
      <c r="JY38" s="865"/>
      <c r="JZ38" s="865"/>
      <c r="KA38" s="865"/>
      <c r="KB38" s="865"/>
      <c r="KC38" s="865"/>
      <c r="KD38" s="865"/>
      <c r="KE38" s="865"/>
      <c r="KF38" s="865"/>
      <c r="KG38" s="865"/>
      <c r="KH38" s="865"/>
      <c r="KI38" s="865"/>
      <c r="KJ38" s="865"/>
      <c r="KK38" s="865"/>
      <c r="KL38" s="865"/>
      <c r="KM38" s="865"/>
      <c r="KN38" s="865"/>
      <c r="KO38" s="865"/>
      <c r="KP38" s="865"/>
      <c r="KQ38" s="865"/>
      <c r="KR38" s="865"/>
      <c r="KS38" s="865"/>
      <c r="KT38" s="865"/>
      <c r="KU38" s="865"/>
      <c r="KV38" s="865"/>
      <c r="KW38" s="865"/>
      <c r="KX38" s="865"/>
      <c r="KY38" s="865"/>
      <c r="KZ38" s="865"/>
      <c r="LA38" s="865"/>
      <c r="LB38" s="865"/>
      <c r="LC38" s="865"/>
      <c r="LD38" s="865"/>
      <c r="LE38" s="865"/>
      <c r="LF38" s="865"/>
      <c r="LG38" s="865"/>
      <c r="LH38" s="865"/>
      <c r="LI38" s="865"/>
      <c r="LJ38" s="865"/>
      <c r="LK38" s="865"/>
      <c r="LL38" s="865"/>
      <c r="LM38" s="865"/>
      <c r="LN38" s="865"/>
      <c r="LO38" s="865"/>
      <c r="LP38" s="865"/>
      <c r="LQ38" s="865"/>
      <c r="LR38" s="865"/>
      <c r="LS38" s="865"/>
      <c r="LT38" s="865"/>
      <c r="LU38" s="865"/>
      <c r="LV38" s="865"/>
      <c r="LW38" s="865"/>
      <c r="LX38" s="865"/>
      <c r="LY38" s="865"/>
      <c r="LZ38" s="865"/>
      <c r="MA38" s="865"/>
      <c r="MB38" s="865"/>
      <c r="MC38" s="865"/>
      <c r="MD38" s="865"/>
      <c r="ME38" s="865"/>
      <c r="MF38" s="865"/>
      <c r="MG38" s="865"/>
      <c r="MH38" s="865"/>
      <c r="MI38" s="865"/>
      <c r="MJ38" s="865"/>
      <c r="MK38" s="865"/>
      <c r="ML38" s="865"/>
      <c r="MM38" s="865"/>
      <c r="MN38" s="865"/>
      <c r="MO38" s="865"/>
      <c r="MP38" s="865"/>
      <c r="MQ38" s="865"/>
      <c r="MR38" s="865"/>
      <c r="MS38" s="865"/>
      <c r="MT38" s="865"/>
      <c r="MU38" s="865"/>
      <c r="MV38" s="865"/>
      <c r="MW38" s="865"/>
      <c r="MX38" s="865"/>
      <c r="MY38" s="865"/>
      <c r="MZ38" s="865"/>
      <c r="NA38" s="865"/>
      <c r="NB38" s="865"/>
      <c r="NC38" s="865"/>
      <c r="ND38" s="865"/>
      <c r="NE38" s="865"/>
      <c r="NF38" s="865"/>
      <c r="NG38" s="865"/>
      <c r="NH38" s="865"/>
      <c r="NI38" s="865"/>
      <c r="NJ38" s="865"/>
      <c r="NK38" s="865"/>
      <c r="NL38" s="865"/>
      <c r="NM38" s="865"/>
      <c r="NN38" s="865"/>
      <c r="NO38" s="865"/>
      <c r="NP38" s="865"/>
      <c r="NQ38" s="865"/>
      <c r="NR38" s="865"/>
      <c r="NS38" s="865"/>
      <c r="NT38" s="865"/>
      <c r="NU38" s="865"/>
      <c r="NV38" s="865"/>
      <c r="NW38" s="865"/>
      <c r="NX38" s="865"/>
      <c r="NY38" s="865"/>
      <c r="NZ38" s="865"/>
      <c r="OA38" s="865"/>
      <c r="OB38" s="865"/>
      <c r="OC38" s="865"/>
      <c r="OD38" s="865"/>
      <c r="OE38" s="865"/>
      <c r="OF38" s="865"/>
      <c r="OG38" s="865"/>
      <c r="OH38" s="865"/>
      <c r="OI38" s="865"/>
      <c r="OJ38" s="865"/>
      <c r="OK38" s="865"/>
      <c r="OL38" s="865"/>
      <c r="OM38" s="865"/>
      <c r="ON38" s="865"/>
      <c r="OO38" s="865"/>
      <c r="OP38" s="865"/>
      <c r="OQ38" s="865"/>
      <c r="OR38" s="865"/>
      <c r="OS38" s="865"/>
      <c r="OT38" s="865"/>
      <c r="OU38" s="865"/>
      <c r="OV38" s="865"/>
      <c r="OW38" s="865"/>
      <c r="OX38" s="865"/>
      <c r="OY38" s="865"/>
      <c r="OZ38" s="865"/>
      <c r="PA38" s="865"/>
      <c r="PB38" s="865"/>
      <c r="PC38" s="865"/>
      <c r="PD38" s="865"/>
      <c r="PE38" s="865"/>
      <c r="PF38" s="865"/>
      <c r="PG38" s="865"/>
      <c r="PH38" s="865"/>
      <c r="PI38" s="865"/>
      <c r="PJ38" s="865"/>
      <c r="PK38" s="865"/>
      <c r="PL38" s="865"/>
      <c r="PM38" s="865"/>
      <c r="PN38" s="865"/>
      <c r="PO38" s="865"/>
      <c r="PP38" s="865"/>
      <c r="PQ38" s="865"/>
      <c r="PR38" s="865"/>
      <c r="PS38" s="865"/>
      <c r="PT38" s="865"/>
      <c r="PU38" s="865"/>
      <c r="PV38" s="865"/>
      <c r="PW38" s="865"/>
      <c r="PX38" s="865"/>
      <c r="PY38" s="865"/>
      <c r="PZ38" s="865"/>
      <c r="QA38" s="865"/>
      <c r="QB38" s="865"/>
      <c r="QC38" s="865"/>
      <c r="QD38" s="865"/>
      <c r="QE38" s="865"/>
      <c r="QF38" s="865"/>
      <c r="QG38" s="865"/>
      <c r="QH38" s="865"/>
      <c r="QI38" s="865"/>
      <c r="QJ38" s="865"/>
      <c r="QK38" s="865"/>
      <c r="QL38" s="865"/>
      <c r="QM38" s="865"/>
      <c r="QN38" s="865"/>
      <c r="QO38" s="865"/>
      <c r="QP38" s="865"/>
      <c r="QQ38" s="865"/>
      <c r="QR38" s="865"/>
      <c r="QS38" s="865"/>
      <c r="QT38" s="865"/>
      <c r="QU38" s="865"/>
      <c r="QV38" s="865"/>
      <c r="QW38" s="865"/>
      <c r="QX38" s="865"/>
      <c r="QY38" s="865"/>
      <c r="QZ38" s="865"/>
      <c r="RA38" s="865"/>
      <c r="RB38" s="865"/>
      <c r="RC38" s="865"/>
      <c r="RD38" s="865"/>
      <c r="RE38" s="865"/>
      <c r="RF38" s="865"/>
      <c r="RG38" s="865"/>
      <c r="RH38" s="865"/>
      <c r="RI38" s="865"/>
      <c r="RJ38" s="865"/>
      <c r="RK38" s="865"/>
      <c r="RL38" s="865"/>
      <c r="RM38" s="865"/>
      <c r="RN38" s="865"/>
      <c r="RO38" s="865"/>
      <c r="RP38" s="865"/>
      <c r="RQ38" s="865"/>
      <c r="RR38" s="865"/>
      <c r="RS38" s="865"/>
      <c r="RT38" s="865"/>
      <c r="RU38" s="865"/>
      <c r="RV38" s="865"/>
      <c r="RW38" s="865"/>
      <c r="RX38" s="865"/>
    </row>
    <row r="39" spans="1:492" s="167" customFormat="1" ht="28.5" customHeight="1">
      <c r="A39" s="111" t="s">
        <v>138</v>
      </c>
      <c r="B39" s="111" t="s">
        <v>139</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868"/>
      <c r="AN39" s="868"/>
      <c r="AO39" s="868"/>
      <c r="AP39" s="868"/>
      <c r="AQ39" s="869"/>
      <c r="AR39" s="852"/>
      <c r="AS39" s="852"/>
      <c r="AT39" s="852"/>
      <c r="AU39" s="852"/>
      <c r="AV39" s="852"/>
      <c r="AW39" s="868"/>
      <c r="AX39" s="868"/>
      <c r="AY39" s="868"/>
      <c r="AZ39" s="868"/>
      <c r="BA39" s="169"/>
      <c r="BB39" s="852"/>
      <c r="BC39" s="852"/>
      <c r="BD39" s="852"/>
      <c r="BE39" s="170"/>
      <c r="BF39" s="869"/>
      <c r="BG39" s="852"/>
      <c r="BH39" s="852"/>
      <c r="BI39" s="852"/>
      <c r="BJ39" s="170"/>
      <c r="BK39" s="522"/>
      <c r="BL39" s="852"/>
      <c r="BM39" s="852"/>
      <c r="BN39" s="995"/>
      <c r="BO39" s="995"/>
      <c r="BP39" s="522"/>
      <c r="BQ39" s="852"/>
      <c r="BR39" s="852"/>
      <c r="BS39" s="852"/>
      <c r="BT39" s="995"/>
      <c r="BU39" s="522"/>
      <c r="BV39" s="870"/>
      <c r="BW39" s="870"/>
      <c r="BX39" s="870"/>
      <c r="BY39" s="870"/>
      <c r="BZ39" s="870"/>
      <c r="CA39" s="870"/>
      <c r="CB39" s="870"/>
      <c r="CC39" s="870"/>
      <c r="CD39" s="870"/>
      <c r="CE39" s="870"/>
      <c r="CF39" s="870"/>
      <c r="CG39" s="870"/>
      <c r="CH39" s="870"/>
      <c r="CI39" s="870"/>
      <c r="CJ39" s="870"/>
      <c r="CK39" s="870"/>
      <c r="CL39" s="870"/>
      <c r="CM39" s="870"/>
      <c r="CN39" s="870"/>
      <c r="CO39" s="870"/>
      <c r="CP39" s="870"/>
      <c r="CQ39" s="870"/>
      <c r="CR39" s="870"/>
      <c r="CS39" s="870"/>
      <c r="CT39" s="870"/>
      <c r="CU39" s="870"/>
      <c r="CV39" s="870"/>
      <c r="CW39" s="870"/>
      <c r="CX39" s="870"/>
      <c r="CY39" s="870"/>
      <c r="CZ39" s="870"/>
      <c r="DA39" s="870"/>
      <c r="DB39" s="870"/>
      <c r="DC39" s="870"/>
      <c r="DD39" s="870"/>
      <c r="DE39" s="870"/>
      <c r="DF39" s="870"/>
      <c r="DG39" s="870"/>
      <c r="DH39" s="870"/>
      <c r="DI39" s="870"/>
      <c r="DJ39" s="870"/>
      <c r="DK39" s="870"/>
      <c r="DL39" s="870"/>
      <c r="DM39" s="870"/>
      <c r="DN39" s="870"/>
      <c r="DO39" s="870"/>
      <c r="DP39" s="870"/>
      <c r="DQ39" s="870"/>
      <c r="DR39" s="870"/>
      <c r="DS39" s="870"/>
      <c r="DT39" s="870"/>
      <c r="DU39" s="870"/>
      <c r="DV39" s="870"/>
      <c r="DW39" s="870"/>
      <c r="DX39" s="870"/>
      <c r="DY39" s="870"/>
      <c r="DZ39" s="870"/>
      <c r="EA39" s="870"/>
      <c r="EB39" s="870"/>
      <c r="EC39" s="870"/>
      <c r="ED39" s="870"/>
      <c r="EE39" s="870"/>
      <c r="EF39" s="870"/>
      <c r="EG39" s="870"/>
      <c r="EH39" s="870"/>
      <c r="EI39" s="870"/>
      <c r="EJ39" s="870"/>
      <c r="EK39" s="870"/>
      <c r="EL39" s="870"/>
      <c r="EM39" s="870"/>
      <c r="EN39" s="870"/>
      <c r="EO39" s="870"/>
      <c r="EP39" s="870"/>
      <c r="EQ39" s="870"/>
      <c r="ER39" s="870"/>
      <c r="ES39" s="870"/>
      <c r="ET39" s="870"/>
      <c r="EU39" s="870"/>
      <c r="EV39" s="870"/>
      <c r="EW39" s="870"/>
      <c r="EX39" s="870"/>
      <c r="EY39" s="870"/>
      <c r="EZ39" s="870"/>
      <c r="FA39" s="870"/>
      <c r="FB39" s="870"/>
      <c r="FC39" s="870"/>
      <c r="FD39" s="870"/>
      <c r="FE39" s="870"/>
      <c r="FF39" s="870"/>
      <c r="FG39" s="870"/>
      <c r="FH39" s="870"/>
      <c r="FI39" s="870"/>
      <c r="FJ39" s="870"/>
      <c r="FK39" s="870"/>
      <c r="FL39" s="870"/>
      <c r="FM39" s="870"/>
      <c r="FN39" s="870"/>
      <c r="FO39" s="870"/>
      <c r="FP39" s="870"/>
      <c r="FQ39" s="870"/>
      <c r="FR39" s="870"/>
      <c r="FS39" s="870"/>
      <c r="FT39" s="870"/>
      <c r="FU39" s="870"/>
      <c r="FV39" s="870"/>
      <c r="FW39" s="870"/>
      <c r="FX39" s="870"/>
      <c r="FY39" s="870"/>
      <c r="FZ39" s="870"/>
      <c r="GA39" s="870"/>
      <c r="GB39" s="870"/>
      <c r="GC39" s="870"/>
      <c r="GD39" s="870"/>
      <c r="GE39" s="870"/>
      <c r="GF39" s="870"/>
      <c r="GG39" s="870"/>
      <c r="GH39" s="870"/>
      <c r="GI39" s="870"/>
      <c r="GJ39" s="870"/>
      <c r="GK39" s="870"/>
      <c r="GL39" s="870"/>
      <c r="GM39" s="870"/>
      <c r="GN39" s="870"/>
      <c r="GO39" s="870"/>
      <c r="GP39" s="870"/>
      <c r="GQ39" s="870"/>
      <c r="GR39" s="870"/>
      <c r="GS39" s="870"/>
      <c r="GT39" s="870"/>
      <c r="GU39" s="870"/>
      <c r="GV39" s="870"/>
      <c r="GW39" s="870"/>
      <c r="GX39" s="870"/>
      <c r="GY39" s="870"/>
      <c r="GZ39" s="870"/>
      <c r="HA39" s="870"/>
      <c r="HB39" s="870"/>
      <c r="HC39" s="870"/>
      <c r="HD39" s="870"/>
      <c r="HE39" s="870"/>
      <c r="HF39" s="870"/>
      <c r="HG39" s="870"/>
      <c r="HH39" s="870"/>
      <c r="HI39" s="870"/>
      <c r="HJ39" s="870"/>
      <c r="HK39" s="870"/>
      <c r="HL39" s="870"/>
      <c r="HM39" s="870"/>
      <c r="HN39" s="870"/>
      <c r="HO39" s="870"/>
      <c r="HP39" s="870"/>
      <c r="HQ39" s="870"/>
      <c r="HR39" s="870"/>
      <c r="HS39" s="870"/>
      <c r="HT39" s="870"/>
      <c r="HU39" s="870"/>
      <c r="HV39" s="870"/>
      <c r="HW39" s="870"/>
      <c r="HX39" s="870"/>
      <c r="HY39" s="870"/>
      <c r="HZ39" s="870"/>
      <c r="IA39" s="870"/>
      <c r="IB39" s="870"/>
      <c r="IC39" s="870"/>
      <c r="ID39" s="870"/>
      <c r="IE39" s="870"/>
      <c r="IF39" s="870"/>
      <c r="IG39" s="870"/>
      <c r="IH39" s="870"/>
      <c r="II39" s="870"/>
      <c r="IJ39" s="870"/>
      <c r="IK39" s="870"/>
      <c r="IL39" s="870"/>
      <c r="IM39" s="870"/>
      <c r="IN39" s="870"/>
      <c r="IO39" s="870"/>
      <c r="IP39" s="870"/>
      <c r="IQ39" s="870"/>
      <c r="IR39" s="870"/>
      <c r="IS39" s="870"/>
      <c r="IT39" s="870"/>
      <c r="IU39" s="870"/>
      <c r="IV39" s="870"/>
      <c r="IW39" s="870"/>
      <c r="IX39" s="870"/>
      <c r="IY39" s="870"/>
      <c r="IZ39" s="870"/>
      <c r="JA39" s="870"/>
      <c r="JB39" s="870"/>
      <c r="JC39" s="870"/>
      <c r="JD39" s="870"/>
      <c r="JE39" s="870"/>
      <c r="JF39" s="870"/>
      <c r="JG39" s="870"/>
      <c r="JH39" s="870"/>
      <c r="JI39" s="870"/>
      <c r="JJ39" s="870"/>
      <c r="JK39" s="870"/>
      <c r="JL39" s="870"/>
      <c r="JM39" s="870"/>
      <c r="JN39" s="870"/>
      <c r="JO39" s="870"/>
      <c r="JP39" s="870"/>
      <c r="JQ39" s="870"/>
      <c r="JR39" s="870"/>
      <c r="JS39" s="870"/>
      <c r="JT39" s="870"/>
      <c r="JU39" s="870"/>
      <c r="JV39" s="870"/>
      <c r="JW39" s="870"/>
      <c r="JX39" s="870"/>
      <c r="JY39" s="870"/>
      <c r="JZ39" s="870"/>
      <c r="KA39" s="870"/>
      <c r="KB39" s="870"/>
      <c r="KC39" s="870"/>
      <c r="KD39" s="870"/>
      <c r="KE39" s="870"/>
      <c r="KF39" s="870"/>
      <c r="KG39" s="870"/>
      <c r="KH39" s="870"/>
      <c r="KI39" s="870"/>
      <c r="KJ39" s="870"/>
      <c r="KK39" s="870"/>
      <c r="KL39" s="870"/>
      <c r="KM39" s="870"/>
      <c r="KN39" s="870"/>
      <c r="KO39" s="870"/>
      <c r="KP39" s="870"/>
      <c r="KQ39" s="870"/>
      <c r="KR39" s="870"/>
      <c r="KS39" s="870"/>
      <c r="KT39" s="870"/>
      <c r="KU39" s="870"/>
      <c r="KV39" s="870"/>
      <c r="KW39" s="870"/>
      <c r="KX39" s="870"/>
      <c r="KY39" s="870"/>
      <c r="KZ39" s="870"/>
      <c r="LA39" s="870"/>
      <c r="LB39" s="870"/>
      <c r="LC39" s="870"/>
      <c r="LD39" s="870"/>
      <c r="LE39" s="870"/>
      <c r="LF39" s="870"/>
      <c r="LG39" s="870"/>
      <c r="LH39" s="870"/>
      <c r="LI39" s="870"/>
      <c r="LJ39" s="870"/>
      <c r="LK39" s="870"/>
      <c r="LL39" s="870"/>
      <c r="LM39" s="870"/>
      <c r="LN39" s="870"/>
      <c r="LO39" s="870"/>
      <c r="LP39" s="870"/>
      <c r="LQ39" s="870"/>
      <c r="LR39" s="870"/>
      <c r="LS39" s="870"/>
      <c r="LT39" s="870"/>
      <c r="LU39" s="870"/>
      <c r="LV39" s="870"/>
      <c r="LW39" s="870"/>
      <c r="LX39" s="870"/>
      <c r="LY39" s="870"/>
      <c r="LZ39" s="870"/>
      <c r="MA39" s="870"/>
      <c r="MB39" s="870"/>
      <c r="MC39" s="870"/>
      <c r="MD39" s="870"/>
      <c r="ME39" s="870"/>
      <c r="MF39" s="870"/>
      <c r="MG39" s="870"/>
      <c r="MH39" s="870"/>
      <c r="MI39" s="870"/>
      <c r="MJ39" s="870"/>
      <c r="MK39" s="870"/>
      <c r="ML39" s="870"/>
      <c r="MM39" s="870"/>
      <c r="MN39" s="870"/>
      <c r="MO39" s="870"/>
      <c r="MP39" s="870"/>
      <c r="MQ39" s="870"/>
      <c r="MR39" s="870"/>
      <c r="MS39" s="870"/>
      <c r="MT39" s="870"/>
      <c r="MU39" s="870"/>
      <c r="MV39" s="870"/>
      <c r="MW39" s="870"/>
      <c r="MX39" s="870"/>
      <c r="MY39" s="870"/>
      <c r="MZ39" s="870"/>
      <c r="NA39" s="870"/>
      <c r="NB39" s="870"/>
      <c r="NC39" s="870"/>
      <c r="ND39" s="870"/>
      <c r="NE39" s="870"/>
      <c r="NF39" s="870"/>
      <c r="NG39" s="870"/>
      <c r="NH39" s="870"/>
      <c r="NI39" s="870"/>
      <c r="NJ39" s="870"/>
      <c r="NK39" s="870"/>
      <c r="NL39" s="870"/>
      <c r="NM39" s="870"/>
      <c r="NN39" s="870"/>
      <c r="NO39" s="870"/>
      <c r="NP39" s="870"/>
      <c r="NQ39" s="870"/>
      <c r="NR39" s="870"/>
      <c r="NS39" s="870"/>
      <c r="NT39" s="870"/>
      <c r="NU39" s="870"/>
      <c r="NV39" s="870"/>
      <c r="NW39" s="870"/>
      <c r="NX39" s="870"/>
      <c r="NY39" s="870"/>
      <c r="NZ39" s="870"/>
      <c r="OA39" s="870"/>
      <c r="OB39" s="870"/>
      <c r="OC39" s="870"/>
      <c r="OD39" s="870"/>
      <c r="OE39" s="870"/>
      <c r="OF39" s="870"/>
      <c r="OG39" s="870"/>
      <c r="OH39" s="870"/>
      <c r="OI39" s="870"/>
      <c r="OJ39" s="870"/>
      <c r="OK39" s="870"/>
      <c r="OL39" s="870"/>
      <c r="OM39" s="870"/>
      <c r="ON39" s="870"/>
      <c r="OO39" s="870"/>
      <c r="OP39" s="870"/>
      <c r="OQ39" s="870"/>
      <c r="OR39" s="870"/>
      <c r="OS39" s="870"/>
      <c r="OT39" s="870"/>
      <c r="OU39" s="870"/>
      <c r="OV39" s="870"/>
      <c r="OW39" s="870"/>
      <c r="OX39" s="870"/>
      <c r="OY39" s="870"/>
      <c r="OZ39" s="870"/>
      <c r="PA39" s="870"/>
      <c r="PB39" s="870"/>
      <c r="PC39" s="870"/>
      <c r="PD39" s="870"/>
      <c r="PE39" s="870"/>
      <c r="PF39" s="870"/>
      <c r="PG39" s="870"/>
      <c r="PH39" s="870"/>
      <c r="PI39" s="870"/>
      <c r="PJ39" s="870"/>
      <c r="PK39" s="870"/>
      <c r="PL39" s="870"/>
      <c r="PM39" s="870"/>
      <c r="PN39" s="870"/>
      <c r="PO39" s="870"/>
      <c r="PP39" s="870"/>
      <c r="PQ39" s="870"/>
      <c r="PR39" s="870"/>
      <c r="PS39" s="870"/>
      <c r="PT39" s="870"/>
      <c r="PU39" s="870"/>
      <c r="PV39" s="870"/>
      <c r="PW39" s="870"/>
      <c r="PX39" s="870"/>
      <c r="PY39" s="870"/>
      <c r="PZ39" s="870"/>
      <c r="QA39" s="870"/>
      <c r="QB39" s="870"/>
      <c r="QC39" s="870"/>
      <c r="QD39" s="870"/>
      <c r="QE39" s="870"/>
      <c r="QF39" s="870"/>
      <c r="QG39" s="870"/>
      <c r="QH39" s="870"/>
      <c r="QI39" s="870"/>
      <c r="QJ39" s="870"/>
      <c r="QK39" s="870"/>
      <c r="QL39" s="870"/>
      <c r="QM39" s="870"/>
      <c r="QN39" s="870"/>
      <c r="QO39" s="870"/>
      <c r="QP39" s="870"/>
      <c r="QQ39" s="870"/>
      <c r="QR39" s="870"/>
      <c r="QS39" s="870"/>
      <c r="QT39" s="870"/>
      <c r="QU39" s="870"/>
      <c r="QV39" s="870"/>
      <c r="QW39" s="870"/>
      <c r="QX39" s="870"/>
      <c r="QY39" s="870"/>
      <c r="QZ39" s="870"/>
      <c r="RA39" s="870"/>
      <c r="RB39" s="870"/>
      <c r="RC39" s="870"/>
      <c r="RD39" s="870"/>
      <c r="RE39" s="870"/>
      <c r="RF39" s="870"/>
      <c r="RG39" s="870"/>
      <c r="RH39" s="870"/>
      <c r="RI39" s="870"/>
      <c r="RJ39" s="870"/>
      <c r="RK39" s="870"/>
      <c r="RL39" s="870"/>
      <c r="RM39" s="870"/>
      <c r="RN39" s="870"/>
      <c r="RO39" s="870"/>
      <c r="RP39" s="870"/>
      <c r="RQ39" s="870"/>
      <c r="RR39" s="870"/>
      <c r="RS39" s="870"/>
      <c r="RT39" s="870"/>
      <c r="RU39" s="870"/>
      <c r="RV39" s="870"/>
      <c r="RW39" s="870"/>
      <c r="RX39" s="870"/>
    </row>
    <row r="40" spans="1:492" s="167" customFormat="1" ht="28.5" customHeight="1">
      <c r="A40" s="148" t="s">
        <v>140</v>
      </c>
      <c r="B40" s="148" t="s">
        <v>141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868"/>
      <c r="AN40" s="868"/>
      <c r="AO40" s="868"/>
      <c r="AP40" s="868"/>
      <c r="AQ40" s="869"/>
      <c r="AR40" s="852"/>
      <c r="AS40" s="852"/>
      <c r="AT40" s="852"/>
      <c r="AU40" s="852"/>
      <c r="AV40" s="852"/>
      <c r="AW40" s="868"/>
      <c r="AX40" s="868"/>
      <c r="AY40" s="868"/>
      <c r="AZ40" s="868"/>
      <c r="BA40" s="169"/>
      <c r="BB40" s="852"/>
      <c r="BC40" s="852"/>
      <c r="BD40" s="852"/>
      <c r="BE40" s="170"/>
      <c r="BF40" s="869"/>
      <c r="BG40" s="852"/>
      <c r="BH40" s="852"/>
      <c r="BI40" s="852"/>
      <c r="BJ40" s="170"/>
      <c r="BK40" s="522"/>
      <c r="BL40" s="852"/>
      <c r="BM40" s="852"/>
      <c r="BN40" s="852"/>
      <c r="BO40" s="170"/>
      <c r="BP40" s="522"/>
      <c r="BQ40" s="852"/>
      <c r="BR40" s="852"/>
      <c r="BS40" s="852"/>
      <c r="BT40" s="170"/>
      <c r="BU40" s="522"/>
      <c r="BV40" s="870"/>
      <c r="BW40" s="870"/>
      <c r="BX40" s="870"/>
      <c r="BY40" s="870"/>
      <c r="BZ40" s="870"/>
      <c r="CA40" s="870"/>
      <c r="CB40" s="870"/>
      <c r="CC40" s="870"/>
      <c r="CD40" s="870"/>
      <c r="CE40" s="870"/>
      <c r="CF40" s="870"/>
      <c r="CG40" s="870"/>
      <c r="CH40" s="870"/>
      <c r="CI40" s="870"/>
      <c r="CJ40" s="870"/>
      <c r="CK40" s="870"/>
      <c r="CL40" s="870"/>
      <c r="CM40" s="870"/>
      <c r="CN40" s="870"/>
      <c r="CO40" s="870"/>
      <c r="CP40" s="870"/>
      <c r="CQ40" s="870"/>
      <c r="CR40" s="870"/>
      <c r="CS40" s="870"/>
      <c r="CT40" s="870"/>
      <c r="CU40" s="870"/>
      <c r="CV40" s="870"/>
      <c r="CW40" s="870"/>
      <c r="CX40" s="870"/>
      <c r="CY40" s="870"/>
      <c r="CZ40" s="870"/>
      <c r="DA40" s="870"/>
      <c r="DB40" s="870"/>
      <c r="DC40" s="870"/>
      <c r="DD40" s="870"/>
      <c r="DE40" s="870"/>
      <c r="DF40" s="870"/>
      <c r="DG40" s="870"/>
      <c r="DH40" s="870"/>
      <c r="DI40" s="870"/>
      <c r="DJ40" s="870"/>
      <c r="DK40" s="870"/>
      <c r="DL40" s="870"/>
      <c r="DM40" s="870"/>
      <c r="DN40" s="870"/>
      <c r="DO40" s="870"/>
      <c r="DP40" s="870"/>
      <c r="DQ40" s="870"/>
      <c r="DR40" s="870"/>
      <c r="DS40" s="870"/>
      <c r="DT40" s="870"/>
      <c r="DU40" s="870"/>
      <c r="DV40" s="870"/>
      <c r="DW40" s="870"/>
      <c r="DX40" s="870"/>
      <c r="DY40" s="870"/>
      <c r="DZ40" s="870"/>
      <c r="EA40" s="870"/>
      <c r="EB40" s="870"/>
      <c r="EC40" s="870"/>
      <c r="ED40" s="870"/>
      <c r="EE40" s="870"/>
      <c r="EF40" s="870"/>
      <c r="EG40" s="870"/>
      <c r="EH40" s="870"/>
      <c r="EI40" s="870"/>
      <c r="EJ40" s="870"/>
      <c r="EK40" s="870"/>
      <c r="EL40" s="870"/>
      <c r="EM40" s="870"/>
      <c r="EN40" s="870"/>
      <c r="EO40" s="870"/>
      <c r="EP40" s="870"/>
      <c r="EQ40" s="870"/>
      <c r="ER40" s="870"/>
      <c r="ES40" s="870"/>
      <c r="ET40" s="870"/>
      <c r="EU40" s="870"/>
      <c r="EV40" s="870"/>
      <c r="EW40" s="870"/>
      <c r="EX40" s="870"/>
      <c r="EY40" s="870"/>
      <c r="EZ40" s="870"/>
      <c r="FA40" s="870"/>
      <c r="FB40" s="870"/>
      <c r="FC40" s="870"/>
      <c r="FD40" s="870"/>
      <c r="FE40" s="870"/>
      <c r="FF40" s="870"/>
      <c r="FG40" s="870"/>
      <c r="FH40" s="870"/>
      <c r="FI40" s="870"/>
      <c r="FJ40" s="870"/>
      <c r="FK40" s="870"/>
      <c r="FL40" s="870"/>
      <c r="FM40" s="870"/>
      <c r="FN40" s="870"/>
      <c r="FO40" s="870"/>
      <c r="FP40" s="870"/>
      <c r="FQ40" s="870"/>
      <c r="FR40" s="870"/>
      <c r="FS40" s="870"/>
      <c r="FT40" s="870"/>
      <c r="FU40" s="870"/>
      <c r="FV40" s="870"/>
      <c r="FW40" s="870"/>
      <c r="FX40" s="870"/>
      <c r="FY40" s="870"/>
      <c r="FZ40" s="870"/>
      <c r="GA40" s="870"/>
      <c r="GB40" s="870"/>
      <c r="GC40" s="870"/>
      <c r="GD40" s="870"/>
      <c r="GE40" s="870"/>
      <c r="GF40" s="870"/>
      <c r="GG40" s="870"/>
      <c r="GH40" s="870"/>
      <c r="GI40" s="870"/>
      <c r="GJ40" s="870"/>
      <c r="GK40" s="870"/>
      <c r="GL40" s="870"/>
      <c r="GM40" s="870"/>
      <c r="GN40" s="870"/>
      <c r="GO40" s="870"/>
      <c r="GP40" s="870"/>
      <c r="GQ40" s="870"/>
      <c r="GR40" s="870"/>
      <c r="GS40" s="870"/>
      <c r="GT40" s="870"/>
      <c r="GU40" s="870"/>
      <c r="GV40" s="870"/>
      <c r="GW40" s="870"/>
      <c r="GX40" s="870"/>
      <c r="GY40" s="870"/>
      <c r="GZ40" s="870"/>
      <c r="HA40" s="870"/>
      <c r="HB40" s="870"/>
      <c r="HC40" s="870"/>
      <c r="HD40" s="870"/>
      <c r="HE40" s="870"/>
      <c r="HF40" s="870"/>
      <c r="HG40" s="870"/>
      <c r="HH40" s="870"/>
      <c r="HI40" s="870"/>
      <c r="HJ40" s="870"/>
      <c r="HK40" s="870"/>
      <c r="HL40" s="870"/>
      <c r="HM40" s="870"/>
      <c r="HN40" s="870"/>
      <c r="HO40" s="870"/>
      <c r="HP40" s="870"/>
      <c r="HQ40" s="870"/>
      <c r="HR40" s="870"/>
      <c r="HS40" s="870"/>
      <c r="HT40" s="870"/>
      <c r="HU40" s="870"/>
      <c r="HV40" s="870"/>
      <c r="HW40" s="870"/>
      <c r="HX40" s="870"/>
      <c r="HY40" s="870"/>
      <c r="HZ40" s="870"/>
      <c r="IA40" s="870"/>
      <c r="IB40" s="870"/>
      <c r="IC40" s="870"/>
      <c r="ID40" s="870"/>
      <c r="IE40" s="870"/>
      <c r="IF40" s="870"/>
      <c r="IG40" s="870"/>
      <c r="IH40" s="870"/>
      <c r="II40" s="870"/>
      <c r="IJ40" s="870"/>
      <c r="IK40" s="870"/>
      <c r="IL40" s="870"/>
      <c r="IM40" s="870"/>
      <c r="IN40" s="870"/>
      <c r="IO40" s="870"/>
      <c r="IP40" s="870"/>
      <c r="IQ40" s="870"/>
      <c r="IR40" s="870"/>
      <c r="IS40" s="870"/>
      <c r="IT40" s="870"/>
      <c r="IU40" s="870"/>
      <c r="IV40" s="870"/>
      <c r="IW40" s="870"/>
      <c r="IX40" s="870"/>
      <c r="IY40" s="870"/>
      <c r="IZ40" s="870"/>
      <c r="JA40" s="870"/>
      <c r="JB40" s="870"/>
      <c r="JC40" s="870"/>
      <c r="JD40" s="870"/>
      <c r="JE40" s="870"/>
      <c r="JF40" s="870"/>
      <c r="JG40" s="870"/>
      <c r="JH40" s="870"/>
      <c r="JI40" s="870"/>
      <c r="JJ40" s="870"/>
      <c r="JK40" s="870"/>
      <c r="JL40" s="870"/>
      <c r="JM40" s="870"/>
      <c r="JN40" s="870"/>
      <c r="JO40" s="870"/>
      <c r="JP40" s="870"/>
      <c r="JQ40" s="870"/>
      <c r="JR40" s="870"/>
      <c r="JS40" s="870"/>
      <c r="JT40" s="870"/>
      <c r="JU40" s="870"/>
      <c r="JV40" s="870"/>
      <c r="JW40" s="870"/>
      <c r="JX40" s="870"/>
      <c r="JY40" s="870"/>
      <c r="JZ40" s="870"/>
      <c r="KA40" s="870"/>
      <c r="KB40" s="870"/>
      <c r="KC40" s="870"/>
      <c r="KD40" s="870"/>
      <c r="KE40" s="870"/>
      <c r="KF40" s="870"/>
      <c r="KG40" s="870"/>
      <c r="KH40" s="870"/>
      <c r="KI40" s="870"/>
      <c r="KJ40" s="870"/>
      <c r="KK40" s="870"/>
      <c r="KL40" s="870"/>
      <c r="KM40" s="870"/>
      <c r="KN40" s="870"/>
      <c r="KO40" s="870"/>
      <c r="KP40" s="870"/>
      <c r="KQ40" s="870"/>
      <c r="KR40" s="870"/>
      <c r="KS40" s="870"/>
      <c r="KT40" s="870"/>
      <c r="KU40" s="870"/>
      <c r="KV40" s="870"/>
      <c r="KW40" s="870"/>
      <c r="KX40" s="870"/>
      <c r="KY40" s="870"/>
      <c r="KZ40" s="870"/>
      <c r="LA40" s="870"/>
      <c r="LB40" s="870"/>
      <c r="LC40" s="870"/>
      <c r="LD40" s="870"/>
      <c r="LE40" s="870"/>
      <c r="LF40" s="870"/>
      <c r="LG40" s="870"/>
      <c r="LH40" s="870"/>
      <c r="LI40" s="870"/>
      <c r="LJ40" s="870"/>
      <c r="LK40" s="870"/>
      <c r="LL40" s="870"/>
      <c r="LM40" s="870"/>
      <c r="LN40" s="870"/>
      <c r="LO40" s="870"/>
      <c r="LP40" s="870"/>
      <c r="LQ40" s="870"/>
      <c r="LR40" s="870"/>
      <c r="LS40" s="870"/>
      <c r="LT40" s="870"/>
      <c r="LU40" s="870"/>
      <c r="LV40" s="870"/>
      <c r="LW40" s="870"/>
      <c r="LX40" s="870"/>
      <c r="LY40" s="870"/>
      <c r="LZ40" s="870"/>
      <c r="MA40" s="870"/>
      <c r="MB40" s="870"/>
      <c r="MC40" s="870"/>
      <c r="MD40" s="870"/>
      <c r="ME40" s="870"/>
      <c r="MF40" s="870"/>
      <c r="MG40" s="870"/>
      <c r="MH40" s="870"/>
      <c r="MI40" s="870"/>
      <c r="MJ40" s="870"/>
      <c r="MK40" s="870"/>
      <c r="ML40" s="870"/>
      <c r="MM40" s="870"/>
      <c r="MN40" s="870"/>
      <c r="MO40" s="870"/>
      <c r="MP40" s="870"/>
      <c r="MQ40" s="870"/>
      <c r="MR40" s="870"/>
      <c r="MS40" s="870"/>
      <c r="MT40" s="870"/>
      <c r="MU40" s="870"/>
      <c r="MV40" s="870"/>
      <c r="MW40" s="870"/>
      <c r="MX40" s="870"/>
      <c r="MY40" s="870"/>
      <c r="MZ40" s="870"/>
      <c r="NA40" s="870"/>
      <c r="NB40" s="870"/>
      <c r="NC40" s="870"/>
      <c r="ND40" s="870"/>
      <c r="NE40" s="870"/>
      <c r="NF40" s="870"/>
      <c r="NG40" s="870"/>
      <c r="NH40" s="870"/>
      <c r="NI40" s="870"/>
      <c r="NJ40" s="870"/>
      <c r="NK40" s="870"/>
      <c r="NL40" s="870"/>
      <c r="NM40" s="870"/>
      <c r="NN40" s="870"/>
      <c r="NO40" s="870"/>
      <c r="NP40" s="870"/>
      <c r="NQ40" s="870"/>
      <c r="NR40" s="870"/>
      <c r="NS40" s="870"/>
      <c r="NT40" s="870"/>
      <c r="NU40" s="870"/>
      <c r="NV40" s="870"/>
      <c r="NW40" s="870"/>
      <c r="NX40" s="870"/>
      <c r="NY40" s="870"/>
      <c r="NZ40" s="870"/>
      <c r="OA40" s="870"/>
      <c r="OB40" s="870"/>
      <c r="OC40" s="870"/>
      <c r="OD40" s="870"/>
      <c r="OE40" s="870"/>
      <c r="OF40" s="870"/>
      <c r="OG40" s="870"/>
      <c r="OH40" s="870"/>
      <c r="OI40" s="870"/>
      <c r="OJ40" s="870"/>
      <c r="OK40" s="870"/>
      <c r="OL40" s="870"/>
      <c r="OM40" s="870"/>
      <c r="ON40" s="870"/>
      <c r="OO40" s="870"/>
      <c r="OP40" s="870"/>
      <c r="OQ40" s="870"/>
      <c r="OR40" s="870"/>
      <c r="OS40" s="870"/>
      <c r="OT40" s="870"/>
      <c r="OU40" s="870"/>
      <c r="OV40" s="870"/>
      <c r="OW40" s="870"/>
      <c r="OX40" s="870"/>
      <c r="OY40" s="870"/>
      <c r="OZ40" s="870"/>
      <c r="PA40" s="870"/>
      <c r="PB40" s="870"/>
      <c r="PC40" s="870"/>
      <c r="PD40" s="870"/>
      <c r="PE40" s="870"/>
      <c r="PF40" s="870"/>
      <c r="PG40" s="870"/>
      <c r="PH40" s="870"/>
      <c r="PI40" s="870"/>
      <c r="PJ40" s="870"/>
      <c r="PK40" s="870"/>
      <c r="PL40" s="870"/>
      <c r="PM40" s="870"/>
      <c r="PN40" s="870"/>
      <c r="PO40" s="870"/>
      <c r="PP40" s="870"/>
      <c r="PQ40" s="870"/>
      <c r="PR40" s="870"/>
      <c r="PS40" s="870"/>
      <c r="PT40" s="870"/>
      <c r="PU40" s="870"/>
      <c r="PV40" s="870"/>
      <c r="PW40" s="870"/>
      <c r="PX40" s="870"/>
      <c r="PY40" s="870"/>
      <c r="PZ40" s="870"/>
      <c r="QA40" s="870"/>
      <c r="QB40" s="870"/>
      <c r="QC40" s="870"/>
      <c r="QD40" s="870"/>
      <c r="QE40" s="870"/>
      <c r="QF40" s="870"/>
      <c r="QG40" s="870"/>
      <c r="QH40" s="870"/>
      <c r="QI40" s="870"/>
      <c r="QJ40" s="870"/>
      <c r="QK40" s="870"/>
      <c r="QL40" s="870"/>
      <c r="QM40" s="870"/>
      <c r="QN40" s="870"/>
      <c r="QO40" s="870"/>
      <c r="QP40" s="870"/>
      <c r="QQ40" s="870"/>
      <c r="QR40" s="870"/>
      <c r="QS40" s="870"/>
      <c r="QT40" s="870"/>
      <c r="QU40" s="870"/>
      <c r="QV40" s="870"/>
      <c r="QW40" s="870"/>
      <c r="QX40" s="870"/>
      <c r="QY40" s="870"/>
      <c r="QZ40" s="870"/>
      <c r="RA40" s="870"/>
      <c r="RB40" s="870"/>
      <c r="RC40" s="870"/>
      <c r="RD40" s="870"/>
      <c r="RE40" s="870"/>
      <c r="RF40" s="870"/>
      <c r="RG40" s="870"/>
      <c r="RH40" s="870"/>
      <c r="RI40" s="870"/>
      <c r="RJ40" s="870"/>
      <c r="RK40" s="870"/>
      <c r="RL40" s="870"/>
      <c r="RM40" s="870"/>
      <c r="RN40" s="870"/>
      <c r="RO40" s="870"/>
      <c r="RP40" s="870"/>
      <c r="RQ40" s="870"/>
      <c r="RR40" s="870"/>
      <c r="RS40" s="870"/>
      <c r="RT40" s="870"/>
      <c r="RU40" s="870"/>
      <c r="RV40" s="870"/>
      <c r="RW40" s="870"/>
      <c r="RX40" s="870"/>
    </row>
    <row r="41" spans="1:492" s="165" customFormat="1" ht="60">
      <c r="A41" s="175" t="s">
        <v>142</v>
      </c>
      <c r="B41" s="185" t="s">
        <v>143</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871"/>
      <c r="AN41" s="871"/>
      <c r="AO41" s="871"/>
      <c r="AP41" s="871"/>
      <c r="AQ41" s="850"/>
      <c r="AR41" s="871"/>
      <c r="AS41" s="871"/>
      <c r="AT41" s="871"/>
      <c r="AU41" s="871"/>
      <c r="AV41" s="871"/>
      <c r="AW41" s="871"/>
      <c r="AX41" s="871"/>
      <c r="AY41" s="871"/>
      <c r="AZ41" s="871"/>
      <c r="BA41" s="871"/>
      <c r="BB41" s="871"/>
      <c r="BC41" s="871"/>
      <c r="BD41" s="871"/>
      <c r="BE41" s="171"/>
      <c r="BF41" s="850"/>
      <c r="BG41" s="871"/>
      <c r="BH41" s="871"/>
      <c r="BI41" s="541"/>
      <c r="BJ41" s="542"/>
      <c r="BK41" s="850"/>
      <c r="BL41" s="871"/>
      <c r="BM41" s="871"/>
      <c r="BN41" s="541"/>
      <c r="BO41" s="542"/>
      <c r="BP41" s="850"/>
      <c r="BQ41" s="871"/>
      <c r="BR41" s="871"/>
      <c r="BS41" s="541"/>
      <c r="BT41" s="542"/>
      <c r="BU41" s="850"/>
      <c r="BV41" s="865"/>
      <c r="BW41" s="865"/>
      <c r="BX41" s="865"/>
      <c r="BY41" s="865"/>
      <c r="BZ41" s="865"/>
      <c r="CA41" s="865"/>
      <c r="CB41" s="865"/>
      <c r="CC41" s="865"/>
      <c r="CD41" s="865"/>
      <c r="CE41" s="865"/>
      <c r="CF41" s="865"/>
      <c r="CG41" s="865"/>
      <c r="CH41" s="865"/>
      <c r="CI41" s="865"/>
      <c r="CJ41" s="865"/>
      <c r="CK41" s="865"/>
      <c r="CL41" s="865"/>
      <c r="CM41" s="865"/>
      <c r="CN41" s="865"/>
      <c r="CO41" s="865"/>
      <c r="CP41" s="865"/>
      <c r="CQ41" s="865"/>
      <c r="CR41" s="865"/>
      <c r="CS41" s="865"/>
      <c r="CT41" s="865"/>
      <c r="CU41" s="865"/>
      <c r="CV41" s="865"/>
      <c r="CW41" s="865"/>
      <c r="CX41" s="865"/>
      <c r="CY41" s="865"/>
      <c r="CZ41" s="865"/>
      <c r="DA41" s="865"/>
      <c r="DB41" s="865"/>
      <c r="DC41" s="865"/>
      <c r="DD41" s="865"/>
      <c r="DE41" s="865"/>
      <c r="DF41" s="865"/>
      <c r="DG41" s="865"/>
      <c r="DH41" s="865"/>
      <c r="DI41" s="865"/>
      <c r="DJ41" s="865"/>
      <c r="DK41" s="865"/>
      <c r="DL41" s="865"/>
      <c r="DM41" s="865"/>
      <c r="DN41" s="865"/>
      <c r="DO41" s="865"/>
      <c r="DP41" s="865"/>
      <c r="DQ41" s="865"/>
      <c r="DR41" s="865"/>
      <c r="DS41" s="865"/>
      <c r="DT41" s="865"/>
      <c r="DU41" s="865"/>
      <c r="DV41" s="865"/>
      <c r="DW41" s="865"/>
      <c r="DX41" s="865"/>
      <c r="DY41" s="865"/>
      <c r="DZ41" s="865"/>
      <c r="EA41" s="865"/>
      <c r="EB41" s="865"/>
      <c r="EC41" s="865"/>
      <c r="ED41" s="865"/>
      <c r="EE41" s="865"/>
      <c r="EF41" s="865"/>
      <c r="EG41" s="865"/>
      <c r="EH41" s="865"/>
      <c r="EI41" s="865"/>
      <c r="EJ41" s="865"/>
      <c r="EK41" s="865"/>
      <c r="EL41" s="865"/>
      <c r="EM41" s="865"/>
      <c r="EN41" s="865"/>
      <c r="EO41" s="865"/>
      <c r="EP41" s="865"/>
      <c r="EQ41" s="865"/>
      <c r="ER41" s="865"/>
      <c r="ES41" s="865"/>
      <c r="ET41" s="865"/>
      <c r="EU41" s="865"/>
      <c r="EV41" s="865"/>
      <c r="EW41" s="865"/>
      <c r="EX41" s="865"/>
      <c r="EY41" s="865"/>
      <c r="EZ41" s="865"/>
      <c r="FA41" s="865"/>
      <c r="FB41" s="865"/>
      <c r="FC41" s="865"/>
      <c r="FD41" s="865"/>
      <c r="FE41" s="865"/>
      <c r="FF41" s="865"/>
      <c r="FG41" s="865"/>
      <c r="FH41" s="865"/>
      <c r="FI41" s="865"/>
      <c r="FJ41" s="865"/>
      <c r="FK41" s="865"/>
      <c r="FL41" s="865"/>
      <c r="FM41" s="865"/>
      <c r="FN41" s="865"/>
      <c r="FO41" s="865"/>
      <c r="FP41" s="865"/>
      <c r="FQ41" s="865"/>
      <c r="FR41" s="865"/>
      <c r="FS41" s="865"/>
      <c r="FT41" s="865"/>
      <c r="FU41" s="865"/>
      <c r="FV41" s="865"/>
      <c r="FW41" s="865"/>
      <c r="FX41" s="865"/>
      <c r="FY41" s="865"/>
      <c r="FZ41" s="865"/>
      <c r="GA41" s="865"/>
      <c r="GB41" s="865"/>
      <c r="GC41" s="865"/>
      <c r="GD41" s="865"/>
      <c r="GE41" s="865"/>
      <c r="GF41" s="865"/>
      <c r="GG41" s="865"/>
      <c r="GH41" s="865"/>
      <c r="GI41" s="865"/>
      <c r="GJ41" s="865"/>
      <c r="GK41" s="865"/>
      <c r="GL41" s="865"/>
      <c r="GM41" s="865"/>
      <c r="GN41" s="865"/>
      <c r="GO41" s="865"/>
      <c r="GP41" s="865"/>
      <c r="GQ41" s="865"/>
      <c r="GR41" s="865"/>
      <c r="GS41" s="865"/>
      <c r="GT41" s="865"/>
      <c r="GU41" s="865"/>
      <c r="GV41" s="865"/>
      <c r="GW41" s="865"/>
      <c r="GX41" s="865"/>
      <c r="GY41" s="865"/>
      <c r="GZ41" s="865"/>
      <c r="HA41" s="865"/>
      <c r="HB41" s="865"/>
      <c r="HC41" s="865"/>
      <c r="HD41" s="865"/>
      <c r="HE41" s="865"/>
      <c r="HF41" s="865"/>
      <c r="HG41" s="865"/>
      <c r="HH41" s="865"/>
      <c r="HI41" s="865"/>
      <c r="HJ41" s="865"/>
      <c r="HK41" s="865"/>
      <c r="HL41" s="865"/>
      <c r="HM41" s="865"/>
      <c r="HN41" s="865"/>
      <c r="HO41" s="865"/>
      <c r="HP41" s="865"/>
      <c r="HQ41" s="865"/>
      <c r="HR41" s="865"/>
      <c r="HS41" s="865"/>
      <c r="HT41" s="865"/>
      <c r="HU41" s="865"/>
      <c r="HV41" s="865"/>
      <c r="HW41" s="865"/>
      <c r="HX41" s="865"/>
      <c r="HY41" s="865"/>
      <c r="HZ41" s="865"/>
      <c r="IA41" s="865"/>
      <c r="IB41" s="865"/>
      <c r="IC41" s="865"/>
      <c r="ID41" s="865"/>
      <c r="IE41" s="865"/>
      <c r="IF41" s="865"/>
      <c r="IG41" s="865"/>
      <c r="IH41" s="865"/>
      <c r="II41" s="865"/>
      <c r="IJ41" s="865"/>
      <c r="IK41" s="865"/>
      <c r="IL41" s="865"/>
      <c r="IM41" s="865"/>
      <c r="IN41" s="865"/>
      <c r="IO41" s="865"/>
      <c r="IP41" s="865"/>
      <c r="IQ41" s="865"/>
      <c r="IR41" s="865"/>
      <c r="IS41" s="865"/>
      <c r="IT41" s="865"/>
      <c r="IU41" s="865"/>
      <c r="IV41" s="865"/>
      <c r="IW41" s="865"/>
      <c r="IX41" s="865"/>
      <c r="IY41" s="865"/>
      <c r="IZ41" s="865"/>
      <c r="JA41" s="865"/>
      <c r="JB41" s="865"/>
      <c r="JC41" s="865"/>
      <c r="JD41" s="865"/>
      <c r="JE41" s="865"/>
      <c r="JF41" s="865"/>
      <c r="JG41" s="865"/>
      <c r="JH41" s="865"/>
      <c r="JI41" s="865"/>
      <c r="JJ41" s="865"/>
      <c r="JK41" s="865"/>
      <c r="JL41" s="865"/>
      <c r="JM41" s="865"/>
      <c r="JN41" s="865"/>
      <c r="JO41" s="865"/>
      <c r="JP41" s="865"/>
      <c r="JQ41" s="865"/>
      <c r="JR41" s="865"/>
      <c r="JS41" s="865"/>
      <c r="JT41" s="865"/>
      <c r="JU41" s="865"/>
      <c r="JV41" s="865"/>
      <c r="JW41" s="865"/>
      <c r="JX41" s="865"/>
      <c r="JY41" s="865"/>
      <c r="JZ41" s="865"/>
      <c r="KA41" s="865"/>
      <c r="KB41" s="865"/>
      <c r="KC41" s="865"/>
      <c r="KD41" s="865"/>
      <c r="KE41" s="865"/>
      <c r="KF41" s="865"/>
      <c r="KG41" s="865"/>
      <c r="KH41" s="865"/>
      <c r="KI41" s="865"/>
      <c r="KJ41" s="865"/>
      <c r="KK41" s="865"/>
      <c r="KL41" s="865"/>
      <c r="KM41" s="865"/>
      <c r="KN41" s="865"/>
      <c r="KO41" s="865"/>
      <c r="KP41" s="865"/>
      <c r="KQ41" s="865"/>
      <c r="KR41" s="865"/>
      <c r="KS41" s="865"/>
      <c r="KT41" s="865"/>
      <c r="KU41" s="865"/>
      <c r="KV41" s="865"/>
      <c r="KW41" s="865"/>
      <c r="KX41" s="865"/>
      <c r="KY41" s="865"/>
      <c r="KZ41" s="865"/>
      <c r="LA41" s="865"/>
      <c r="LB41" s="865"/>
      <c r="LC41" s="865"/>
      <c r="LD41" s="865"/>
      <c r="LE41" s="865"/>
      <c r="LF41" s="865"/>
      <c r="LG41" s="865"/>
      <c r="LH41" s="865"/>
      <c r="LI41" s="865"/>
      <c r="LJ41" s="865"/>
      <c r="LK41" s="865"/>
      <c r="LL41" s="865"/>
      <c r="LM41" s="865"/>
      <c r="LN41" s="865"/>
      <c r="LO41" s="865"/>
      <c r="LP41" s="865"/>
      <c r="LQ41" s="865"/>
      <c r="LR41" s="865"/>
      <c r="LS41" s="865"/>
      <c r="LT41" s="865"/>
      <c r="LU41" s="865"/>
      <c r="LV41" s="865"/>
      <c r="LW41" s="865"/>
      <c r="LX41" s="865"/>
      <c r="LY41" s="865"/>
      <c r="LZ41" s="865"/>
      <c r="MA41" s="865"/>
      <c r="MB41" s="865"/>
      <c r="MC41" s="865"/>
      <c r="MD41" s="865"/>
      <c r="ME41" s="865"/>
      <c r="MF41" s="865"/>
      <c r="MG41" s="865"/>
      <c r="MH41" s="865"/>
      <c r="MI41" s="865"/>
      <c r="MJ41" s="865"/>
      <c r="MK41" s="865"/>
      <c r="ML41" s="865"/>
      <c r="MM41" s="865"/>
      <c r="MN41" s="865"/>
      <c r="MO41" s="865"/>
      <c r="MP41" s="865"/>
      <c r="MQ41" s="865"/>
      <c r="MR41" s="865"/>
      <c r="MS41" s="865"/>
      <c r="MT41" s="865"/>
      <c r="MU41" s="865"/>
      <c r="MV41" s="865"/>
      <c r="MW41" s="865"/>
      <c r="MX41" s="865"/>
      <c r="MY41" s="865"/>
      <c r="MZ41" s="865"/>
      <c r="NA41" s="865"/>
      <c r="NB41" s="865"/>
      <c r="NC41" s="865"/>
      <c r="ND41" s="865"/>
      <c r="NE41" s="865"/>
      <c r="NF41" s="865"/>
      <c r="NG41" s="865"/>
      <c r="NH41" s="865"/>
      <c r="NI41" s="865"/>
      <c r="NJ41" s="865"/>
      <c r="NK41" s="865"/>
      <c r="NL41" s="865"/>
      <c r="NM41" s="865"/>
      <c r="NN41" s="865"/>
      <c r="NO41" s="865"/>
      <c r="NP41" s="865"/>
      <c r="NQ41" s="865"/>
      <c r="NR41" s="865"/>
      <c r="NS41" s="865"/>
      <c r="NT41" s="865"/>
      <c r="NU41" s="865"/>
      <c r="NV41" s="865"/>
      <c r="NW41" s="865"/>
      <c r="NX41" s="865"/>
      <c r="NY41" s="865"/>
      <c r="NZ41" s="865"/>
      <c r="OA41" s="865"/>
      <c r="OB41" s="865"/>
      <c r="OC41" s="865"/>
      <c r="OD41" s="865"/>
      <c r="OE41" s="865"/>
      <c r="OF41" s="865"/>
      <c r="OG41" s="865"/>
      <c r="OH41" s="865"/>
      <c r="OI41" s="865"/>
      <c r="OJ41" s="865"/>
      <c r="OK41" s="865"/>
      <c r="OL41" s="865"/>
      <c r="OM41" s="865"/>
      <c r="ON41" s="865"/>
      <c r="OO41" s="865"/>
      <c r="OP41" s="865"/>
      <c r="OQ41" s="865"/>
      <c r="OR41" s="865"/>
      <c r="OS41" s="865"/>
      <c r="OT41" s="865"/>
      <c r="OU41" s="865"/>
      <c r="OV41" s="865"/>
      <c r="OW41" s="865"/>
      <c r="OX41" s="865"/>
      <c r="OY41" s="865"/>
      <c r="OZ41" s="865"/>
      <c r="PA41" s="865"/>
      <c r="PB41" s="865"/>
      <c r="PC41" s="865"/>
      <c r="PD41" s="865"/>
      <c r="PE41" s="865"/>
      <c r="PF41" s="865"/>
      <c r="PG41" s="865"/>
      <c r="PH41" s="865"/>
      <c r="PI41" s="865"/>
      <c r="PJ41" s="865"/>
      <c r="PK41" s="865"/>
      <c r="PL41" s="865"/>
      <c r="PM41" s="865"/>
      <c r="PN41" s="865"/>
      <c r="PO41" s="865"/>
      <c r="PP41" s="865"/>
      <c r="PQ41" s="865"/>
      <c r="PR41" s="865"/>
      <c r="PS41" s="865"/>
      <c r="PT41" s="865"/>
      <c r="PU41" s="865"/>
      <c r="PV41" s="865"/>
      <c r="PW41" s="865"/>
      <c r="PX41" s="865"/>
      <c r="PY41" s="865"/>
      <c r="PZ41" s="865"/>
      <c r="QA41" s="865"/>
      <c r="QB41" s="865"/>
      <c r="QC41" s="865"/>
      <c r="QD41" s="865"/>
      <c r="QE41" s="865"/>
      <c r="QF41" s="865"/>
      <c r="QG41" s="865"/>
      <c r="QH41" s="865"/>
      <c r="QI41" s="865"/>
      <c r="QJ41" s="865"/>
      <c r="QK41" s="865"/>
      <c r="QL41" s="865"/>
      <c r="QM41" s="865"/>
      <c r="QN41" s="865"/>
      <c r="QO41" s="865"/>
      <c r="QP41" s="865"/>
      <c r="QQ41" s="865"/>
      <c r="QR41" s="865"/>
      <c r="QS41" s="865"/>
      <c r="QT41" s="865"/>
      <c r="QU41" s="865"/>
      <c r="QV41" s="865"/>
      <c r="QW41" s="865"/>
      <c r="QX41" s="865"/>
      <c r="QY41" s="865"/>
      <c r="QZ41" s="865"/>
      <c r="RA41" s="865"/>
      <c r="RB41" s="865"/>
      <c r="RC41" s="865"/>
      <c r="RD41" s="865"/>
      <c r="RE41" s="865"/>
      <c r="RF41" s="865"/>
      <c r="RG41" s="865"/>
      <c r="RH41" s="865"/>
      <c r="RI41" s="865"/>
      <c r="RJ41" s="865"/>
      <c r="RK41" s="865"/>
      <c r="RL41" s="865"/>
      <c r="RM41" s="865"/>
      <c r="RN41" s="865"/>
      <c r="RO41" s="865"/>
      <c r="RP41" s="865"/>
      <c r="RQ41" s="865"/>
      <c r="RR41" s="865"/>
      <c r="RS41" s="865"/>
      <c r="RT41" s="865"/>
      <c r="RU41" s="865"/>
      <c r="RV41" s="865"/>
      <c r="RW41" s="865"/>
      <c r="RX41" s="865"/>
    </row>
    <row r="42" spans="1:492" s="165" customFormat="1">
      <c r="A42" s="148"/>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850"/>
      <c r="AN42" s="850"/>
      <c r="AO42" s="850"/>
      <c r="AP42" s="850"/>
      <c r="AQ42" s="850"/>
      <c r="AR42" s="850"/>
      <c r="AS42" s="850"/>
      <c r="AT42" s="850"/>
      <c r="AU42" s="850"/>
      <c r="AV42" s="850"/>
      <c r="AW42" s="850"/>
      <c r="AX42" s="850"/>
      <c r="AY42" s="850"/>
      <c r="AZ42" s="850"/>
      <c r="BA42" s="850"/>
      <c r="BB42" s="850"/>
      <c r="BC42" s="871"/>
      <c r="BD42" s="871"/>
      <c r="BE42" s="171"/>
      <c r="BF42" s="850"/>
      <c r="BG42" s="850"/>
      <c r="BH42" s="871"/>
      <c r="BI42" s="541"/>
      <c r="BJ42" s="171"/>
      <c r="BK42" s="850"/>
      <c r="BL42" s="850"/>
      <c r="BM42" s="871"/>
      <c r="BN42" s="541"/>
      <c r="BO42" s="171"/>
      <c r="BP42" s="850"/>
      <c r="BQ42" s="850"/>
      <c r="BR42" s="871"/>
      <c r="BS42" s="541"/>
      <c r="BT42" s="171"/>
      <c r="BU42" s="850"/>
      <c r="BV42" s="865"/>
      <c r="BW42" s="865"/>
      <c r="BX42" s="865"/>
      <c r="BY42" s="865"/>
      <c r="BZ42" s="865"/>
      <c r="CA42" s="865"/>
      <c r="CB42" s="865"/>
      <c r="CC42" s="865"/>
      <c r="CD42" s="865"/>
      <c r="CE42" s="865"/>
      <c r="CF42" s="865"/>
      <c r="CG42" s="865"/>
      <c r="CH42" s="865"/>
      <c r="CI42" s="865"/>
      <c r="CJ42" s="865"/>
      <c r="CK42" s="865"/>
      <c r="CL42" s="865"/>
      <c r="CM42" s="865"/>
      <c r="CN42" s="865"/>
      <c r="CO42" s="865"/>
      <c r="CP42" s="865"/>
      <c r="CQ42" s="865"/>
      <c r="CR42" s="865"/>
      <c r="CS42" s="865"/>
      <c r="CT42" s="865"/>
      <c r="CU42" s="865"/>
      <c r="CV42" s="865"/>
      <c r="CW42" s="865"/>
      <c r="CX42" s="865"/>
      <c r="CY42" s="865"/>
      <c r="CZ42" s="865"/>
      <c r="DA42" s="865"/>
      <c r="DB42" s="865"/>
      <c r="DC42" s="865"/>
      <c r="DD42" s="865"/>
      <c r="DE42" s="865"/>
      <c r="DF42" s="865"/>
      <c r="DG42" s="865"/>
      <c r="DH42" s="865"/>
      <c r="DI42" s="865"/>
      <c r="DJ42" s="865"/>
      <c r="DK42" s="865"/>
      <c r="DL42" s="865"/>
      <c r="DM42" s="865"/>
      <c r="DN42" s="865"/>
      <c r="DO42" s="865"/>
      <c r="DP42" s="865"/>
      <c r="DQ42" s="865"/>
      <c r="DR42" s="865"/>
      <c r="DS42" s="865"/>
      <c r="DT42" s="865"/>
      <c r="DU42" s="865"/>
      <c r="DV42" s="865"/>
      <c r="DW42" s="865"/>
      <c r="DX42" s="865"/>
      <c r="DY42" s="865"/>
      <c r="DZ42" s="865"/>
      <c r="EA42" s="865"/>
      <c r="EB42" s="865"/>
      <c r="EC42" s="865"/>
      <c r="ED42" s="865"/>
      <c r="EE42" s="865"/>
      <c r="EF42" s="865"/>
      <c r="EG42" s="865"/>
      <c r="EH42" s="865"/>
      <c r="EI42" s="865"/>
      <c r="EJ42" s="865"/>
      <c r="EK42" s="865"/>
      <c r="EL42" s="865"/>
      <c r="EM42" s="865"/>
      <c r="EN42" s="865"/>
      <c r="EO42" s="865"/>
      <c r="EP42" s="865"/>
      <c r="EQ42" s="865"/>
      <c r="ER42" s="865"/>
      <c r="ES42" s="865"/>
      <c r="ET42" s="865"/>
      <c r="EU42" s="865"/>
      <c r="EV42" s="865"/>
      <c r="EW42" s="865"/>
      <c r="EX42" s="865"/>
      <c r="EY42" s="865"/>
      <c r="EZ42" s="865"/>
      <c r="FA42" s="865"/>
      <c r="FB42" s="865"/>
      <c r="FC42" s="865"/>
      <c r="FD42" s="865"/>
      <c r="FE42" s="865"/>
      <c r="FF42" s="865"/>
      <c r="FG42" s="865"/>
      <c r="FH42" s="865"/>
      <c r="FI42" s="865"/>
      <c r="FJ42" s="865"/>
      <c r="FK42" s="865"/>
      <c r="FL42" s="865"/>
      <c r="FM42" s="865"/>
      <c r="FN42" s="865"/>
      <c r="FO42" s="865"/>
      <c r="FP42" s="865"/>
      <c r="FQ42" s="865"/>
      <c r="FR42" s="865"/>
      <c r="FS42" s="865"/>
      <c r="FT42" s="865"/>
      <c r="FU42" s="865"/>
      <c r="FV42" s="865"/>
      <c r="FW42" s="865"/>
      <c r="FX42" s="865"/>
      <c r="FY42" s="865"/>
      <c r="FZ42" s="865"/>
      <c r="GA42" s="865"/>
      <c r="GB42" s="865"/>
      <c r="GC42" s="865"/>
      <c r="GD42" s="865"/>
      <c r="GE42" s="865"/>
      <c r="GF42" s="865"/>
      <c r="GG42" s="865"/>
      <c r="GH42" s="865"/>
      <c r="GI42" s="865"/>
      <c r="GJ42" s="865"/>
      <c r="GK42" s="865"/>
      <c r="GL42" s="865"/>
      <c r="GM42" s="865"/>
      <c r="GN42" s="865"/>
      <c r="GO42" s="865"/>
      <c r="GP42" s="865"/>
      <c r="GQ42" s="865"/>
      <c r="GR42" s="865"/>
      <c r="GS42" s="865"/>
      <c r="GT42" s="865"/>
      <c r="GU42" s="865"/>
      <c r="GV42" s="865"/>
      <c r="GW42" s="865"/>
      <c r="GX42" s="865"/>
      <c r="GY42" s="865"/>
      <c r="GZ42" s="865"/>
      <c r="HA42" s="865"/>
      <c r="HB42" s="865"/>
      <c r="HC42" s="865"/>
      <c r="HD42" s="865"/>
      <c r="HE42" s="865"/>
      <c r="HF42" s="865"/>
      <c r="HG42" s="865"/>
      <c r="HH42" s="865"/>
      <c r="HI42" s="865"/>
      <c r="HJ42" s="865"/>
      <c r="HK42" s="865"/>
      <c r="HL42" s="865"/>
      <c r="HM42" s="865"/>
      <c r="HN42" s="865"/>
      <c r="HO42" s="865"/>
      <c r="HP42" s="865"/>
      <c r="HQ42" s="865"/>
      <c r="HR42" s="865"/>
      <c r="HS42" s="865"/>
      <c r="HT42" s="865"/>
      <c r="HU42" s="865"/>
      <c r="HV42" s="865"/>
      <c r="HW42" s="865"/>
      <c r="HX42" s="865"/>
      <c r="HY42" s="865"/>
      <c r="HZ42" s="865"/>
      <c r="IA42" s="865"/>
      <c r="IB42" s="865"/>
      <c r="IC42" s="865"/>
      <c r="ID42" s="865"/>
      <c r="IE42" s="865"/>
      <c r="IF42" s="865"/>
      <c r="IG42" s="865"/>
      <c r="IH42" s="865"/>
      <c r="II42" s="865"/>
      <c r="IJ42" s="865"/>
      <c r="IK42" s="865"/>
      <c r="IL42" s="865"/>
      <c r="IM42" s="865"/>
      <c r="IN42" s="865"/>
      <c r="IO42" s="865"/>
      <c r="IP42" s="865"/>
      <c r="IQ42" s="865"/>
      <c r="IR42" s="865"/>
      <c r="IS42" s="865"/>
      <c r="IT42" s="865"/>
      <c r="IU42" s="865"/>
      <c r="IV42" s="865"/>
      <c r="IW42" s="865"/>
      <c r="IX42" s="865"/>
      <c r="IY42" s="865"/>
      <c r="IZ42" s="865"/>
      <c r="JA42" s="865"/>
      <c r="JB42" s="865"/>
      <c r="JC42" s="865"/>
      <c r="JD42" s="865"/>
      <c r="JE42" s="865"/>
      <c r="JF42" s="865"/>
      <c r="JG42" s="865"/>
      <c r="JH42" s="865"/>
      <c r="JI42" s="865"/>
      <c r="JJ42" s="865"/>
      <c r="JK42" s="865"/>
      <c r="JL42" s="865"/>
      <c r="JM42" s="865"/>
      <c r="JN42" s="865"/>
      <c r="JO42" s="865"/>
      <c r="JP42" s="865"/>
      <c r="JQ42" s="865"/>
      <c r="JR42" s="865"/>
      <c r="JS42" s="865"/>
      <c r="JT42" s="865"/>
      <c r="JU42" s="865"/>
      <c r="JV42" s="865"/>
      <c r="JW42" s="865"/>
      <c r="JX42" s="865"/>
      <c r="JY42" s="865"/>
      <c r="JZ42" s="865"/>
      <c r="KA42" s="865"/>
      <c r="KB42" s="865"/>
      <c r="KC42" s="865"/>
      <c r="KD42" s="865"/>
      <c r="KE42" s="865"/>
      <c r="KF42" s="865"/>
      <c r="KG42" s="865"/>
      <c r="KH42" s="865"/>
      <c r="KI42" s="865"/>
      <c r="KJ42" s="865"/>
      <c r="KK42" s="865"/>
      <c r="KL42" s="865"/>
      <c r="KM42" s="865"/>
      <c r="KN42" s="865"/>
      <c r="KO42" s="865"/>
      <c r="KP42" s="865"/>
      <c r="KQ42" s="865"/>
      <c r="KR42" s="865"/>
      <c r="KS42" s="865"/>
      <c r="KT42" s="865"/>
      <c r="KU42" s="865"/>
      <c r="KV42" s="865"/>
      <c r="KW42" s="865"/>
      <c r="KX42" s="865"/>
      <c r="KY42" s="865"/>
      <c r="KZ42" s="865"/>
      <c r="LA42" s="865"/>
      <c r="LB42" s="865"/>
      <c r="LC42" s="865"/>
      <c r="LD42" s="865"/>
      <c r="LE42" s="865"/>
      <c r="LF42" s="865"/>
      <c r="LG42" s="865"/>
      <c r="LH42" s="865"/>
      <c r="LI42" s="865"/>
      <c r="LJ42" s="865"/>
      <c r="LK42" s="865"/>
      <c r="LL42" s="865"/>
      <c r="LM42" s="865"/>
      <c r="LN42" s="865"/>
      <c r="LO42" s="865"/>
      <c r="LP42" s="865"/>
      <c r="LQ42" s="865"/>
      <c r="LR42" s="865"/>
      <c r="LS42" s="865"/>
      <c r="LT42" s="865"/>
      <c r="LU42" s="865"/>
      <c r="LV42" s="865"/>
      <c r="LW42" s="865"/>
      <c r="LX42" s="865"/>
      <c r="LY42" s="865"/>
      <c r="LZ42" s="865"/>
      <c r="MA42" s="865"/>
      <c r="MB42" s="865"/>
      <c r="MC42" s="865"/>
      <c r="MD42" s="865"/>
      <c r="ME42" s="865"/>
      <c r="MF42" s="865"/>
      <c r="MG42" s="865"/>
      <c r="MH42" s="865"/>
      <c r="MI42" s="865"/>
      <c r="MJ42" s="865"/>
      <c r="MK42" s="865"/>
      <c r="ML42" s="865"/>
      <c r="MM42" s="865"/>
      <c r="MN42" s="865"/>
      <c r="MO42" s="865"/>
      <c r="MP42" s="865"/>
      <c r="MQ42" s="865"/>
      <c r="MR42" s="865"/>
      <c r="MS42" s="865"/>
      <c r="MT42" s="865"/>
      <c r="MU42" s="865"/>
      <c r="MV42" s="865"/>
      <c r="MW42" s="865"/>
      <c r="MX42" s="865"/>
      <c r="MY42" s="865"/>
      <c r="MZ42" s="865"/>
      <c r="NA42" s="865"/>
      <c r="NB42" s="865"/>
      <c r="NC42" s="865"/>
      <c r="ND42" s="865"/>
      <c r="NE42" s="865"/>
      <c r="NF42" s="865"/>
      <c r="NG42" s="865"/>
      <c r="NH42" s="865"/>
      <c r="NI42" s="865"/>
      <c r="NJ42" s="865"/>
      <c r="NK42" s="865"/>
      <c r="NL42" s="865"/>
      <c r="NM42" s="865"/>
      <c r="NN42" s="865"/>
      <c r="NO42" s="865"/>
      <c r="NP42" s="865"/>
      <c r="NQ42" s="865"/>
      <c r="NR42" s="865"/>
      <c r="NS42" s="865"/>
      <c r="NT42" s="865"/>
      <c r="NU42" s="865"/>
      <c r="NV42" s="865"/>
      <c r="NW42" s="865"/>
      <c r="NX42" s="865"/>
      <c r="NY42" s="865"/>
      <c r="NZ42" s="865"/>
      <c r="OA42" s="865"/>
      <c r="OB42" s="865"/>
      <c r="OC42" s="865"/>
      <c r="OD42" s="865"/>
      <c r="OE42" s="865"/>
      <c r="OF42" s="865"/>
      <c r="OG42" s="865"/>
      <c r="OH42" s="865"/>
      <c r="OI42" s="865"/>
      <c r="OJ42" s="865"/>
      <c r="OK42" s="865"/>
      <c r="OL42" s="865"/>
      <c r="OM42" s="865"/>
      <c r="ON42" s="865"/>
      <c r="OO42" s="865"/>
      <c r="OP42" s="865"/>
      <c r="OQ42" s="865"/>
      <c r="OR42" s="865"/>
      <c r="OS42" s="865"/>
      <c r="OT42" s="865"/>
      <c r="OU42" s="865"/>
      <c r="OV42" s="865"/>
      <c r="OW42" s="865"/>
      <c r="OX42" s="865"/>
      <c r="OY42" s="865"/>
      <c r="OZ42" s="865"/>
      <c r="PA42" s="865"/>
      <c r="PB42" s="865"/>
      <c r="PC42" s="865"/>
      <c r="PD42" s="865"/>
      <c r="PE42" s="865"/>
      <c r="PF42" s="865"/>
      <c r="PG42" s="865"/>
      <c r="PH42" s="865"/>
      <c r="PI42" s="865"/>
      <c r="PJ42" s="865"/>
      <c r="PK42" s="865"/>
      <c r="PL42" s="865"/>
      <c r="PM42" s="865"/>
      <c r="PN42" s="865"/>
      <c r="PO42" s="865"/>
      <c r="PP42" s="865"/>
      <c r="PQ42" s="865"/>
      <c r="PR42" s="865"/>
      <c r="PS42" s="865"/>
      <c r="PT42" s="865"/>
      <c r="PU42" s="865"/>
      <c r="PV42" s="865"/>
      <c r="PW42" s="865"/>
      <c r="PX42" s="865"/>
      <c r="PY42" s="865"/>
      <c r="PZ42" s="865"/>
      <c r="QA42" s="865"/>
      <c r="QB42" s="865"/>
      <c r="QC42" s="865"/>
      <c r="QD42" s="865"/>
      <c r="QE42" s="865"/>
      <c r="QF42" s="865"/>
      <c r="QG42" s="865"/>
      <c r="QH42" s="865"/>
      <c r="QI42" s="865"/>
      <c r="QJ42" s="865"/>
      <c r="QK42" s="865"/>
      <c r="QL42" s="865"/>
      <c r="QM42" s="865"/>
      <c r="QN42" s="865"/>
      <c r="QO42" s="865"/>
      <c r="QP42" s="865"/>
      <c r="QQ42" s="865"/>
      <c r="QR42" s="865"/>
      <c r="QS42" s="865"/>
      <c r="QT42" s="865"/>
      <c r="QU42" s="865"/>
      <c r="QV42" s="865"/>
      <c r="QW42" s="865"/>
      <c r="QX42" s="865"/>
      <c r="QY42" s="865"/>
      <c r="QZ42" s="865"/>
      <c r="RA42" s="865"/>
      <c r="RB42" s="865"/>
      <c r="RC42" s="865"/>
      <c r="RD42" s="865"/>
      <c r="RE42" s="865"/>
      <c r="RF42" s="865"/>
      <c r="RG42" s="865"/>
      <c r="RH42" s="865"/>
      <c r="RI42" s="865"/>
      <c r="RJ42" s="865"/>
      <c r="RK42" s="865"/>
      <c r="RL42" s="865"/>
      <c r="RM42" s="865"/>
      <c r="RN42" s="865"/>
      <c r="RO42" s="865"/>
      <c r="RP42" s="865"/>
      <c r="RQ42" s="865"/>
      <c r="RR42" s="865"/>
      <c r="RS42" s="865"/>
      <c r="RT42" s="865"/>
      <c r="RU42" s="865"/>
      <c r="RV42" s="865"/>
      <c r="RW42" s="865"/>
      <c r="RX42" s="865"/>
    </row>
    <row r="43" spans="1:492" s="165" customFormat="1">
      <c r="A43" s="865"/>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71"/>
      <c r="AN43" s="871"/>
      <c r="AO43" s="871"/>
      <c r="AP43" s="172"/>
      <c r="AQ43" s="850"/>
      <c r="AR43" s="850"/>
      <c r="AS43" s="850"/>
      <c r="AT43" s="850"/>
      <c r="AU43" s="850"/>
      <c r="AV43" s="850"/>
      <c r="AW43" s="871"/>
      <c r="AX43" s="871"/>
      <c r="AY43" s="871"/>
      <c r="AZ43" s="871"/>
      <c r="BA43" s="850"/>
      <c r="BB43" s="850"/>
      <c r="BC43" s="850"/>
      <c r="BD43" s="850"/>
      <c r="BE43" s="850"/>
      <c r="BF43" s="850"/>
      <c r="BG43" s="850"/>
      <c r="BH43" s="850"/>
      <c r="BI43" s="850"/>
      <c r="BJ43" s="850"/>
      <c r="BK43" s="850"/>
      <c r="BL43" s="850"/>
      <c r="BM43" s="850"/>
      <c r="BN43" s="850"/>
      <c r="BO43" s="850"/>
      <c r="BP43" s="850"/>
      <c r="BQ43" s="850"/>
      <c r="BR43" s="850"/>
      <c r="BS43" s="850"/>
      <c r="BT43" s="850"/>
      <c r="BU43" s="850"/>
      <c r="BV43" s="865"/>
      <c r="BW43" s="865"/>
      <c r="BX43" s="865"/>
      <c r="BY43" s="865"/>
      <c r="BZ43" s="865"/>
      <c r="CA43" s="865"/>
      <c r="CB43" s="865"/>
      <c r="CC43" s="865"/>
      <c r="CD43" s="865"/>
      <c r="CE43" s="865"/>
      <c r="CF43" s="865"/>
      <c r="CG43" s="865"/>
      <c r="CH43" s="865"/>
      <c r="CI43" s="865"/>
      <c r="CJ43" s="865"/>
      <c r="CK43" s="865"/>
      <c r="CL43" s="865"/>
      <c r="CM43" s="865"/>
      <c r="CN43" s="865"/>
      <c r="CO43" s="865"/>
      <c r="CP43" s="865"/>
      <c r="CQ43" s="865"/>
      <c r="CR43" s="865"/>
      <c r="CS43" s="865"/>
      <c r="CT43" s="865"/>
      <c r="CU43" s="865"/>
      <c r="CV43" s="865"/>
      <c r="CW43" s="865"/>
      <c r="CX43" s="865"/>
      <c r="CY43" s="865"/>
      <c r="CZ43" s="865"/>
      <c r="DA43" s="865"/>
      <c r="DB43" s="865"/>
      <c r="DC43" s="865"/>
      <c r="DD43" s="865"/>
      <c r="DE43" s="865"/>
      <c r="DF43" s="865"/>
      <c r="DG43" s="865"/>
      <c r="DH43" s="865"/>
      <c r="DI43" s="865"/>
      <c r="DJ43" s="865"/>
      <c r="DK43" s="865"/>
      <c r="DL43" s="865"/>
      <c r="DM43" s="865"/>
      <c r="DN43" s="865"/>
      <c r="DO43" s="865"/>
      <c r="DP43" s="865"/>
      <c r="DQ43" s="865"/>
      <c r="DR43" s="865"/>
      <c r="DS43" s="865"/>
      <c r="DT43" s="865"/>
      <c r="DU43" s="865"/>
      <c r="DV43" s="865"/>
      <c r="DW43" s="865"/>
      <c r="DX43" s="865"/>
      <c r="DY43" s="865"/>
      <c r="DZ43" s="865"/>
      <c r="EA43" s="865"/>
      <c r="EB43" s="865"/>
      <c r="EC43" s="865"/>
      <c r="ED43" s="865"/>
      <c r="EE43" s="865"/>
      <c r="EF43" s="865"/>
      <c r="EG43" s="865"/>
      <c r="EH43" s="865"/>
      <c r="EI43" s="865"/>
      <c r="EJ43" s="865"/>
      <c r="EK43" s="865"/>
      <c r="EL43" s="865"/>
      <c r="EM43" s="865"/>
      <c r="EN43" s="865"/>
      <c r="EO43" s="865"/>
      <c r="EP43" s="865"/>
      <c r="EQ43" s="865"/>
      <c r="ER43" s="865"/>
      <c r="ES43" s="865"/>
      <c r="ET43" s="865"/>
      <c r="EU43" s="865"/>
      <c r="EV43" s="865"/>
      <c r="EW43" s="865"/>
      <c r="EX43" s="865"/>
      <c r="EY43" s="865"/>
      <c r="EZ43" s="865"/>
      <c r="FA43" s="865"/>
      <c r="FB43" s="865"/>
      <c r="FC43" s="865"/>
      <c r="FD43" s="865"/>
      <c r="FE43" s="865"/>
      <c r="FF43" s="865"/>
      <c r="FG43" s="865"/>
      <c r="FH43" s="865"/>
      <c r="FI43" s="865"/>
      <c r="FJ43" s="865"/>
      <c r="FK43" s="865"/>
      <c r="FL43" s="865"/>
      <c r="FM43" s="865"/>
      <c r="FN43" s="865"/>
      <c r="FO43" s="865"/>
      <c r="FP43" s="865"/>
      <c r="FQ43" s="865"/>
      <c r="FR43" s="865"/>
      <c r="FS43" s="865"/>
      <c r="FT43" s="865"/>
      <c r="FU43" s="865"/>
      <c r="FV43" s="865"/>
      <c r="FW43" s="865"/>
      <c r="FX43" s="865"/>
      <c r="FY43" s="865"/>
      <c r="FZ43" s="865"/>
      <c r="GA43" s="865"/>
      <c r="GB43" s="865"/>
      <c r="GC43" s="865"/>
      <c r="GD43" s="865"/>
      <c r="GE43" s="865"/>
      <c r="GF43" s="865"/>
      <c r="GG43" s="865"/>
      <c r="GH43" s="865"/>
      <c r="GI43" s="865"/>
      <c r="GJ43" s="865"/>
      <c r="GK43" s="865"/>
      <c r="GL43" s="865"/>
      <c r="GM43" s="865"/>
      <c r="GN43" s="865"/>
      <c r="GO43" s="865"/>
      <c r="GP43" s="865"/>
      <c r="GQ43" s="865"/>
      <c r="GR43" s="865"/>
      <c r="GS43" s="865"/>
      <c r="GT43" s="865"/>
      <c r="GU43" s="865"/>
      <c r="GV43" s="865"/>
      <c r="GW43" s="865"/>
      <c r="GX43" s="865"/>
      <c r="GY43" s="865"/>
      <c r="GZ43" s="865"/>
      <c r="HA43" s="865"/>
      <c r="HB43" s="865"/>
      <c r="HC43" s="865"/>
      <c r="HD43" s="865"/>
      <c r="HE43" s="865"/>
      <c r="HF43" s="865"/>
      <c r="HG43" s="865"/>
      <c r="HH43" s="865"/>
      <c r="HI43" s="865"/>
      <c r="HJ43" s="865"/>
      <c r="HK43" s="865"/>
      <c r="HL43" s="865"/>
      <c r="HM43" s="865"/>
      <c r="HN43" s="865"/>
      <c r="HO43" s="865"/>
      <c r="HP43" s="865"/>
      <c r="HQ43" s="865"/>
      <c r="HR43" s="865"/>
      <c r="HS43" s="865"/>
      <c r="HT43" s="865"/>
      <c r="HU43" s="865"/>
      <c r="HV43" s="865"/>
      <c r="HW43" s="865"/>
      <c r="HX43" s="865"/>
      <c r="HY43" s="865"/>
      <c r="HZ43" s="865"/>
      <c r="IA43" s="865"/>
      <c r="IB43" s="865"/>
      <c r="IC43" s="865"/>
      <c r="ID43" s="865"/>
      <c r="IE43" s="865"/>
      <c r="IF43" s="865"/>
      <c r="IG43" s="865"/>
      <c r="IH43" s="865"/>
      <c r="II43" s="865"/>
      <c r="IJ43" s="865"/>
      <c r="IK43" s="865"/>
      <c r="IL43" s="865"/>
      <c r="IM43" s="865"/>
      <c r="IN43" s="865"/>
      <c r="IO43" s="865"/>
      <c r="IP43" s="865"/>
      <c r="IQ43" s="865"/>
      <c r="IR43" s="865"/>
      <c r="IS43" s="865"/>
      <c r="IT43" s="865"/>
      <c r="IU43" s="865"/>
      <c r="IV43" s="865"/>
      <c r="IW43" s="865"/>
      <c r="IX43" s="865"/>
      <c r="IY43" s="865"/>
      <c r="IZ43" s="865"/>
      <c r="JA43" s="865"/>
      <c r="JB43" s="865"/>
      <c r="JC43" s="865"/>
      <c r="JD43" s="865"/>
      <c r="JE43" s="865"/>
      <c r="JF43" s="865"/>
      <c r="JG43" s="865"/>
      <c r="JH43" s="865"/>
      <c r="JI43" s="865"/>
      <c r="JJ43" s="865"/>
      <c r="JK43" s="865"/>
      <c r="JL43" s="865"/>
      <c r="JM43" s="865"/>
      <c r="JN43" s="865"/>
      <c r="JO43" s="865"/>
      <c r="JP43" s="865"/>
      <c r="JQ43" s="865"/>
      <c r="JR43" s="865"/>
      <c r="JS43" s="865"/>
      <c r="JT43" s="865"/>
      <c r="JU43" s="865"/>
      <c r="JV43" s="865"/>
      <c r="JW43" s="865"/>
      <c r="JX43" s="865"/>
      <c r="JY43" s="865"/>
      <c r="JZ43" s="865"/>
      <c r="KA43" s="865"/>
      <c r="KB43" s="865"/>
      <c r="KC43" s="865"/>
      <c r="KD43" s="865"/>
      <c r="KE43" s="865"/>
      <c r="KF43" s="865"/>
      <c r="KG43" s="865"/>
      <c r="KH43" s="865"/>
      <c r="KI43" s="865"/>
      <c r="KJ43" s="865"/>
      <c r="KK43" s="865"/>
      <c r="KL43" s="865"/>
      <c r="KM43" s="865"/>
      <c r="KN43" s="865"/>
      <c r="KO43" s="865"/>
      <c r="KP43" s="865"/>
      <c r="KQ43" s="865"/>
      <c r="KR43" s="865"/>
      <c r="KS43" s="865"/>
      <c r="KT43" s="865"/>
      <c r="KU43" s="865"/>
      <c r="KV43" s="865"/>
      <c r="KW43" s="865"/>
      <c r="KX43" s="865"/>
      <c r="KY43" s="865"/>
      <c r="KZ43" s="865"/>
      <c r="LA43" s="865"/>
      <c r="LB43" s="865"/>
      <c r="LC43" s="865"/>
      <c r="LD43" s="865"/>
      <c r="LE43" s="865"/>
      <c r="LF43" s="865"/>
      <c r="LG43" s="865"/>
      <c r="LH43" s="865"/>
      <c r="LI43" s="865"/>
      <c r="LJ43" s="865"/>
      <c r="LK43" s="865"/>
      <c r="LL43" s="865"/>
      <c r="LM43" s="865"/>
      <c r="LN43" s="865"/>
      <c r="LO43" s="865"/>
      <c r="LP43" s="865"/>
      <c r="LQ43" s="865"/>
      <c r="LR43" s="865"/>
      <c r="LS43" s="865"/>
      <c r="LT43" s="865"/>
      <c r="LU43" s="865"/>
      <c r="LV43" s="865"/>
      <c r="LW43" s="865"/>
      <c r="LX43" s="865"/>
      <c r="LY43" s="865"/>
      <c r="LZ43" s="865"/>
      <c r="MA43" s="865"/>
      <c r="MB43" s="865"/>
      <c r="MC43" s="865"/>
      <c r="MD43" s="865"/>
      <c r="ME43" s="865"/>
      <c r="MF43" s="865"/>
      <c r="MG43" s="865"/>
      <c r="MH43" s="865"/>
      <c r="MI43" s="865"/>
      <c r="MJ43" s="865"/>
      <c r="MK43" s="865"/>
      <c r="ML43" s="865"/>
      <c r="MM43" s="865"/>
      <c r="MN43" s="865"/>
      <c r="MO43" s="865"/>
      <c r="MP43" s="865"/>
      <c r="MQ43" s="865"/>
      <c r="MR43" s="865"/>
      <c r="MS43" s="865"/>
      <c r="MT43" s="865"/>
      <c r="MU43" s="865"/>
      <c r="MV43" s="865"/>
      <c r="MW43" s="865"/>
      <c r="MX43" s="865"/>
      <c r="MY43" s="865"/>
      <c r="MZ43" s="865"/>
      <c r="NA43" s="865"/>
      <c r="NB43" s="865"/>
      <c r="NC43" s="865"/>
      <c r="ND43" s="865"/>
      <c r="NE43" s="865"/>
      <c r="NF43" s="865"/>
      <c r="NG43" s="865"/>
      <c r="NH43" s="865"/>
      <c r="NI43" s="865"/>
      <c r="NJ43" s="865"/>
      <c r="NK43" s="865"/>
      <c r="NL43" s="865"/>
      <c r="NM43" s="865"/>
      <c r="NN43" s="865"/>
      <c r="NO43" s="865"/>
      <c r="NP43" s="865"/>
      <c r="NQ43" s="865"/>
      <c r="NR43" s="865"/>
      <c r="NS43" s="865"/>
      <c r="NT43" s="865"/>
      <c r="NU43" s="865"/>
      <c r="NV43" s="865"/>
      <c r="NW43" s="865"/>
      <c r="NX43" s="865"/>
      <c r="NY43" s="865"/>
      <c r="NZ43" s="865"/>
      <c r="OA43" s="865"/>
      <c r="OB43" s="865"/>
      <c r="OC43" s="865"/>
      <c r="OD43" s="865"/>
      <c r="OE43" s="865"/>
      <c r="OF43" s="865"/>
      <c r="OG43" s="865"/>
      <c r="OH43" s="865"/>
      <c r="OI43" s="865"/>
      <c r="OJ43" s="865"/>
      <c r="OK43" s="865"/>
      <c r="OL43" s="865"/>
      <c r="OM43" s="865"/>
      <c r="ON43" s="865"/>
      <c r="OO43" s="865"/>
      <c r="OP43" s="865"/>
      <c r="OQ43" s="865"/>
      <c r="OR43" s="865"/>
      <c r="OS43" s="865"/>
      <c r="OT43" s="865"/>
      <c r="OU43" s="865"/>
      <c r="OV43" s="865"/>
      <c r="OW43" s="865"/>
      <c r="OX43" s="865"/>
      <c r="OY43" s="865"/>
      <c r="OZ43" s="865"/>
      <c r="PA43" s="865"/>
      <c r="PB43" s="865"/>
      <c r="PC43" s="865"/>
      <c r="PD43" s="865"/>
      <c r="PE43" s="865"/>
      <c r="PF43" s="865"/>
      <c r="PG43" s="865"/>
      <c r="PH43" s="865"/>
      <c r="PI43" s="865"/>
      <c r="PJ43" s="865"/>
      <c r="PK43" s="865"/>
      <c r="PL43" s="865"/>
      <c r="PM43" s="865"/>
      <c r="PN43" s="865"/>
      <c r="PO43" s="865"/>
      <c r="PP43" s="865"/>
      <c r="PQ43" s="865"/>
      <c r="PR43" s="865"/>
      <c r="PS43" s="865"/>
      <c r="PT43" s="865"/>
      <c r="PU43" s="865"/>
      <c r="PV43" s="865"/>
      <c r="PW43" s="865"/>
      <c r="PX43" s="865"/>
      <c r="PY43" s="865"/>
      <c r="PZ43" s="865"/>
      <c r="QA43" s="865"/>
      <c r="QB43" s="865"/>
      <c r="QC43" s="865"/>
      <c r="QD43" s="865"/>
      <c r="QE43" s="865"/>
      <c r="QF43" s="865"/>
      <c r="QG43" s="865"/>
      <c r="QH43" s="865"/>
      <c r="QI43" s="865"/>
      <c r="QJ43" s="865"/>
      <c r="QK43" s="865"/>
      <c r="QL43" s="865"/>
      <c r="QM43" s="865"/>
      <c r="QN43" s="865"/>
      <c r="QO43" s="865"/>
      <c r="QP43" s="865"/>
      <c r="QQ43" s="865"/>
      <c r="QR43" s="865"/>
      <c r="QS43" s="865"/>
      <c r="QT43" s="865"/>
      <c r="QU43" s="865"/>
      <c r="QV43" s="865"/>
      <c r="QW43" s="865"/>
      <c r="QX43" s="865"/>
      <c r="QY43" s="865"/>
      <c r="QZ43" s="865"/>
      <c r="RA43" s="865"/>
      <c r="RB43" s="865"/>
      <c r="RC43" s="865"/>
      <c r="RD43" s="865"/>
      <c r="RE43" s="865"/>
      <c r="RF43" s="865"/>
      <c r="RG43" s="865"/>
      <c r="RH43" s="865"/>
      <c r="RI43" s="865"/>
      <c r="RJ43" s="865"/>
      <c r="RK43" s="865"/>
      <c r="RL43" s="865"/>
      <c r="RM43" s="865"/>
      <c r="RN43" s="865"/>
      <c r="RO43" s="865"/>
      <c r="RP43" s="865"/>
      <c r="RQ43" s="865"/>
      <c r="RR43" s="865"/>
      <c r="RS43" s="865"/>
      <c r="RT43" s="865"/>
      <c r="RU43" s="865"/>
      <c r="RV43" s="865"/>
      <c r="RW43" s="865"/>
      <c r="RX43" s="865"/>
    </row>
    <row r="44" spans="1:492" s="165" customFormat="1">
      <c r="A44" s="865"/>
      <c r="B44" s="865"/>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5"/>
      <c r="AI44" s="865"/>
      <c r="AJ44" s="865"/>
      <c r="AK44" s="865"/>
      <c r="AL44" s="865"/>
      <c r="AM44" s="871"/>
      <c r="AN44" s="871"/>
      <c r="AO44" s="871"/>
      <c r="AP44" s="172"/>
      <c r="AQ44" s="850"/>
      <c r="AR44" s="850"/>
      <c r="AS44" s="850"/>
      <c r="AT44" s="850"/>
      <c r="AU44" s="850"/>
      <c r="AV44" s="850"/>
      <c r="AW44" s="871"/>
      <c r="AX44" s="871"/>
      <c r="AY44" s="871"/>
      <c r="AZ44" s="173"/>
      <c r="BA44" s="850"/>
      <c r="BB44" s="850"/>
      <c r="BC44" s="850"/>
      <c r="BD44" s="850"/>
      <c r="BE44" s="850"/>
      <c r="BF44" s="850"/>
      <c r="BG44" s="850"/>
      <c r="BH44" s="850"/>
      <c r="BI44" s="850"/>
      <c r="BJ44" s="850"/>
      <c r="BK44" s="850"/>
      <c r="BL44" s="850"/>
      <c r="BM44" s="850"/>
      <c r="BN44" s="850"/>
      <c r="BO44" s="850"/>
      <c r="BP44" s="850"/>
      <c r="BQ44" s="850"/>
      <c r="BR44" s="850"/>
      <c r="BS44" s="850"/>
      <c r="BT44" s="850"/>
      <c r="BU44" s="850"/>
      <c r="BV44" s="865"/>
      <c r="BW44" s="865"/>
      <c r="BX44" s="865"/>
      <c r="BY44" s="865"/>
      <c r="BZ44" s="865"/>
      <c r="CA44" s="865"/>
      <c r="CB44" s="865"/>
      <c r="CC44" s="865"/>
      <c r="CD44" s="865"/>
      <c r="CE44" s="865"/>
      <c r="CF44" s="865"/>
      <c r="CG44" s="865"/>
      <c r="CH44" s="865"/>
      <c r="CI44" s="865"/>
      <c r="CJ44" s="865"/>
      <c r="CK44" s="865"/>
      <c r="CL44" s="865"/>
      <c r="CM44" s="865"/>
      <c r="CN44" s="865"/>
      <c r="CO44" s="865"/>
      <c r="CP44" s="865"/>
      <c r="CQ44" s="865"/>
      <c r="CR44" s="865"/>
      <c r="CS44" s="865"/>
      <c r="CT44" s="865"/>
      <c r="CU44" s="865"/>
      <c r="CV44" s="865"/>
      <c r="CW44" s="865"/>
      <c r="CX44" s="865"/>
      <c r="CY44" s="865"/>
      <c r="CZ44" s="865"/>
      <c r="DA44" s="865"/>
      <c r="DB44" s="865"/>
      <c r="DC44" s="865"/>
      <c r="DD44" s="865"/>
      <c r="DE44" s="865"/>
      <c r="DF44" s="865"/>
      <c r="DG44" s="865"/>
      <c r="DH44" s="865"/>
      <c r="DI44" s="865"/>
      <c r="DJ44" s="865"/>
      <c r="DK44" s="865"/>
      <c r="DL44" s="865"/>
      <c r="DM44" s="865"/>
      <c r="DN44" s="865"/>
      <c r="DO44" s="865"/>
      <c r="DP44" s="865"/>
      <c r="DQ44" s="865"/>
      <c r="DR44" s="865"/>
      <c r="DS44" s="865"/>
      <c r="DT44" s="865"/>
      <c r="DU44" s="865"/>
      <c r="DV44" s="865"/>
      <c r="DW44" s="865"/>
      <c r="DX44" s="865"/>
      <c r="DY44" s="865"/>
      <c r="DZ44" s="865"/>
      <c r="EA44" s="865"/>
      <c r="EB44" s="865"/>
      <c r="EC44" s="865"/>
      <c r="ED44" s="865"/>
      <c r="EE44" s="865"/>
      <c r="EF44" s="865"/>
      <c r="EG44" s="865"/>
      <c r="EH44" s="865"/>
      <c r="EI44" s="865"/>
      <c r="EJ44" s="865"/>
      <c r="EK44" s="865"/>
      <c r="EL44" s="865"/>
      <c r="EM44" s="865"/>
      <c r="EN44" s="865"/>
      <c r="EO44" s="865"/>
      <c r="EP44" s="865"/>
      <c r="EQ44" s="865"/>
      <c r="ER44" s="865"/>
      <c r="ES44" s="865"/>
      <c r="ET44" s="865"/>
      <c r="EU44" s="865"/>
      <c r="EV44" s="865"/>
      <c r="EW44" s="865"/>
      <c r="EX44" s="865"/>
      <c r="EY44" s="865"/>
      <c r="EZ44" s="865"/>
      <c r="FA44" s="865"/>
      <c r="FB44" s="865"/>
      <c r="FC44" s="865"/>
      <c r="FD44" s="865"/>
      <c r="FE44" s="865"/>
      <c r="FF44" s="865"/>
      <c r="FG44" s="865"/>
      <c r="FH44" s="865"/>
      <c r="FI44" s="865"/>
      <c r="FJ44" s="865"/>
      <c r="FK44" s="865"/>
      <c r="FL44" s="865"/>
      <c r="FM44" s="865"/>
      <c r="FN44" s="865"/>
      <c r="FO44" s="865"/>
      <c r="FP44" s="865"/>
      <c r="FQ44" s="865"/>
      <c r="FR44" s="865"/>
      <c r="FS44" s="865"/>
      <c r="FT44" s="865"/>
      <c r="FU44" s="865"/>
      <c r="FV44" s="865"/>
      <c r="FW44" s="865"/>
      <c r="FX44" s="865"/>
      <c r="FY44" s="865"/>
      <c r="FZ44" s="865"/>
      <c r="GA44" s="865"/>
      <c r="GB44" s="865"/>
      <c r="GC44" s="865"/>
      <c r="GD44" s="865"/>
      <c r="GE44" s="865"/>
      <c r="GF44" s="865"/>
      <c r="GG44" s="865"/>
      <c r="GH44" s="865"/>
      <c r="GI44" s="865"/>
      <c r="GJ44" s="865"/>
      <c r="GK44" s="865"/>
      <c r="GL44" s="865"/>
      <c r="GM44" s="865"/>
      <c r="GN44" s="865"/>
      <c r="GO44" s="865"/>
      <c r="GP44" s="865"/>
      <c r="GQ44" s="865"/>
      <c r="GR44" s="865"/>
      <c r="GS44" s="865"/>
      <c r="GT44" s="865"/>
      <c r="GU44" s="865"/>
      <c r="GV44" s="865"/>
      <c r="GW44" s="865"/>
      <c r="GX44" s="865"/>
      <c r="GY44" s="865"/>
      <c r="GZ44" s="865"/>
      <c r="HA44" s="865"/>
      <c r="HB44" s="865"/>
      <c r="HC44" s="865"/>
      <c r="HD44" s="865"/>
      <c r="HE44" s="865"/>
      <c r="HF44" s="865"/>
      <c r="HG44" s="865"/>
      <c r="HH44" s="865"/>
      <c r="HI44" s="865"/>
      <c r="HJ44" s="865"/>
      <c r="HK44" s="865"/>
      <c r="HL44" s="865"/>
      <c r="HM44" s="865"/>
      <c r="HN44" s="865"/>
      <c r="HO44" s="865"/>
      <c r="HP44" s="865"/>
      <c r="HQ44" s="865"/>
      <c r="HR44" s="865"/>
      <c r="HS44" s="865"/>
      <c r="HT44" s="865"/>
      <c r="HU44" s="865"/>
      <c r="HV44" s="865"/>
      <c r="HW44" s="865"/>
      <c r="HX44" s="865"/>
      <c r="HY44" s="865"/>
      <c r="HZ44" s="865"/>
      <c r="IA44" s="865"/>
      <c r="IB44" s="865"/>
      <c r="IC44" s="865"/>
      <c r="ID44" s="865"/>
      <c r="IE44" s="865"/>
      <c r="IF44" s="865"/>
      <c r="IG44" s="865"/>
      <c r="IH44" s="865"/>
      <c r="II44" s="865"/>
      <c r="IJ44" s="865"/>
      <c r="IK44" s="865"/>
      <c r="IL44" s="865"/>
      <c r="IM44" s="865"/>
      <c r="IN44" s="865"/>
      <c r="IO44" s="865"/>
      <c r="IP44" s="865"/>
      <c r="IQ44" s="865"/>
      <c r="IR44" s="865"/>
      <c r="IS44" s="865"/>
      <c r="IT44" s="865"/>
      <c r="IU44" s="865"/>
      <c r="IV44" s="865"/>
      <c r="IW44" s="865"/>
      <c r="IX44" s="865"/>
      <c r="IY44" s="865"/>
      <c r="IZ44" s="865"/>
      <c r="JA44" s="865"/>
      <c r="JB44" s="865"/>
      <c r="JC44" s="865"/>
      <c r="JD44" s="865"/>
      <c r="JE44" s="865"/>
      <c r="JF44" s="865"/>
      <c r="JG44" s="865"/>
      <c r="JH44" s="865"/>
      <c r="JI44" s="865"/>
      <c r="JJ44" s="865"/>
      <c r="JK44" s="865"/>
      <c r="JL44" s="865"/>
      <c r="JM44" s="865"/>
      <c r="JN44" s="865"/>
      <c r="JO44" s="865"/>
      <c r="JP44" s="865"/>
      <c r="JQ44" s="865"/>
      <c r="JR44" s="865"/>
      <c r="JS44" s="865"/>
      <c r="JT44" s="865"/>
      <c r="JU44" s="865"/>
      <c r="JV44" s="865"/>
      <c r="JW44" s="865"/>
      <c r="JX44" s="865"/>
      <c r="JY44" s="865"/>
      <c r="JZ44" s="865"/>
      <c r="KA44" s="865"/>
      <c r="KB44" s="865"/>
      <c r="KC44" s="865"/>
      <c r="KD44" s="865"/>
      <c r="KE44" s="865"/>
      <c r="KF44" s="865"/>
      <c r="KG44" s="865"/>
      <c r="KH44" s="865"/>
      <c r="KI44" s="865"/>
      <c r="KJ44" s="865"/>
      <c r="KK44" s="865"/>
      <c r="KL44" s="865"/>
      <c r="KM44" s="865"/>
      <c r="KN44" s="865"/>
      <c r="KO44" s="865"/>
      <c r="KP44" s="865"/>
      <c r="KQ44" s="865"/>
      <c r="KR44" s="865"/>
      <c r="KS44" s="865"/>
      <c r="KT44" s="865"/>
      <c r="KU44" s="865"/>
      <c r="KV44" s="865"/>
      <c r="KW44" s="865"/>
      <c r="KX44" s="865"/>
      <c r="KY44" s="865"/>
      <c r="KZ44" s="865"/>
      <c r="LA44" s="865"/>
      <c r="LB44" s="865"/>
      <c r="LC44" s="865"/>
      <c r="LD44" s="865"/>
      <c r="LE44" s="865"/>
      <c r="LF44" s="865"/>
      <c r="LG44" s="865"/>
      <c r="LH44" s="865"/>
      <c r="LI44" s="865"/>
      <c r="LJ44" s="865"/>
      <c r="LK44" s="865"/>
      <c r="LL44" s="865"/>
      <c r="LM44" s="865"/>
      <c r="LN44" s="865"/>
      <c r="LO44" s="865"/>
      <c r="LP44" s="865"/>
      <c r="LQ44" s="865"/>
      <c r="LR44" s="865"/>
      <c r="LS44" s="865"/>
      <c r="LT44" s="865"/>
      <c r="LU44" s="865"/>
      <c r="LV44" s="865"/>
      <c r="LW44" s="865"/>
      <c r="LX44" s="865"/>
      <c r="LY44" s="865"/>
      <c r="LZ44" s="865"/>
      <c r="MA44" s="865"/>
      <c r="MB44" s="865"/>
      <c r="MC44" s="865"/>
      <c r="MD44" s="865"/>
      <c r="ME44" s="865"/>
      <c r="MF44" s="865"/>
      <c r="MG44" s="865"/>
      <c r="MH44" s="865"/>
      <c r="MI44" s="865"/>
      <c r="MJ44" s="865"/>
      <c r="MK44" s="865"/>
      <c r="ML44" s="865"/>
      <c r="MM44" s="865"/>
      <c r="MN44" s="865"/>
      <c r="MO44" s="865"/>
      <c r="MP44" s="865"/>
      <c r="MQ44" s="865"/>
      <c r="MR44" s="865"/>
      <c r="MS44" s="865"/>
      <c r="MT44" s="865"/>
      <c r="MU44" s="865"/>
      <c r="MV44" s="865"/>
      <c r="MW44" s="865"/>
      <c r="MX44" s="865"/>
      <c r="MY44" s="865"/>
      <c r="MZ44" s="865"/>
      <c r="NA44" s="865"/>
      <c r="NB44" s="865"/>
      <c r="NC44" s="865"/>
      <c r="ND44" s="865"/>
      <c r="NE44" s="865"/>
      <c r="NF44" s="865"/>
      <c r="NG44" s="865"/>
      <c r="NH44" s="865"/>
      <c r="NI44" s="865"/>
      <c r="NJ44" s="865"/>
      <c r="NK44" s="865"/>
      <c r="NL44" s="865"/>
      <c r="NM44" s="865"/>
      <c r="NN44" s="865"/>
      <c r="NO44" s="865"/>
      <c r="NP44" s="865"/>
      <c r="NQ44" s="865"/>
      <c r="NR44" s="865"/>
      <c r="NS44" s="865"/>
      <c r="NT44" s="865"/>
      <c r="NU44" s="865"/>
      <c r="NV44" s="865"/>
      <c r="NW44" s="865"/>
      <c r="NX44" s="865"/>
      <c r="NY44" s="865"/>
      <c r="NZ44" s="865"/>
      <c r="OA44" s="865"/>
      <c r="OB44" s="865"/>
      <c r="OC44" s="865"/>
      <c r="OD44" s="865"/>
      <c r="OE44" s="865"/>
      <c r="OF44" s="865"/>
      <c r="OG44" s="865"/>
      <c r="OH44" s="865"/>
      <c r="OI44" s="865"/>
      <c r="OJ44" s="865"/>
      <c r="OK44" s="865"/>
      <c r="OL44" s="865"/>
      <c r="OM44" s="865"/>
      <c r="ON44" s="865"/>
      <c r="OO44" s="865"/>
      <c r="OP44" s="865"/>
      <c r="OQ44" s="865"/>
      <c r="OR44" s="865"/>
      <c r="OS44" s="865"/>
      <c r="OT44" s="865"/>
      <c r="OU44" s="865"/>
      <c r="OV44" s="865"/>
      <c r="OW44" s="865"/>
      <c r="OX44" s="865"/>
      <c r="OY44" s="865"/>
      <c r="OZ44" s="865"/>
      <c r="PA44" s="865"/>
      <c r="PB44" s="865"/>
      <c r="PC44" s="865"/>
      <c r="PD44" s="865"/>
      <c r="PE44" s="865"/>
      <c r="PF44" s="865"/>
      <c r="PG44" s="865"/>
      <c r="PH44" s="865"/>
      <c r="PI44" s="865"/>
      <c r="PJ44" s="865"/>
      <c r="PK44" s="865"/>
      <c r="PL44" s="865"/>
      <c r="PM44" s="865"/>
      <c r="PN44" s="865"/>
      <c r="PO44" s="865"/>
      <c r="PP44" s="865"/>
      <c r="PQ44" s="865"/>
      <c r="PR44" s="865"/>
      <c r="PS44" s="865"/>
      <c r="PT44" s="865"/>
      <c r="PU44" s="865"/>
      <c r="PV44" s="865"/>
      <c r="PW44" s="865"/>
      <c r="PX44" s="865"/>
      <c r="PY44" s="865"/>
      <c r="PZ44" s="865"/>
      <c r="QA44" s="865"/>
      <c r="QB44" s="865"/>
      <c r="QC44" s="865"/>
      <c r="QD44" s="865"/>
      <c r="QE44" s="865"/>
      <c r="QF44" s="865"/>
      <c r="QG44" s="865"/>
      <c r="QH44" s="865"/>
      <c r="QI44" s="865"/>
      <c r="QJ44" s="865"/>
      <c r="QK44" s="865"/>
      <c r="QL44" s="865"/>
      <c r="QM44" s="865"/>
      <c r="QN44" s="865"/>
      <c r="QO44" s="865"/>
      <c r="QP44" s="865"/>
      <c r="QQ44" s="865"/>
      <c r="QR44" s="865"/>
      <c r="QS44" s="865"/>
      <c r="QT44" s="865"/>
      <c r="QU44" s="865"/>
      <c r="QV44" s="865"/>
      <c r="QW44" s="865"/>
      <c r="QX44" s="865"/>
      <c r="QY44" s="865"/>
      <c r="QZ44" s="865"/>
      <c r="RA44" s="865"/>
      <c r="RB44" s="865"/>
      <c r="RC44" s="865"/>
      <c r="RD44" s="865"/>
      <c r="RE44" s="865"/>
      <c r="RF44" s="865"/>
      <c r="RG44" s="865"/>
      <c r="RH44" s="865"/>
      <c r="RI44" s="865"/>
      <c r="RJ44" s="865"/>
      <c r="RK44" s="865"/>
      <c r="RL44" s="865"/>
      <c r="RM44" s="865"/>
      <c r="RN44" s="865"/>
      <c r="RO44" s="865"/>
      <c r="RP44" s="865"/>
      <c r="RQ44" s="865"/>
      <c r="RR44" s="865"/>
      <c r="RS44" s="865"/>
      <c r="RT44" s="865"/>
      <c r="RU44" s="865"/>
      <c r="RV44" s="865"/>
      <c r="RW44" s="865"/>
      <c r="RX44" s="865"/>
    </row>
    <row r="45" spans="1:492" s="165" customFormat="1">
      <c r="A45" s="865"/>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c r="AI45" s="865"/>
      <c r="AJ45" s="865"/>
      <c r="AK45" s="865"/>
      <c r="AL45" s="865"/>
      <c r="AM45" s="871"/>
      <c r="AN45" s="871"/>
      <c r="AO45" s="871"/>
      <c r="AP45" s="172"/>
      <c r="AQ45" s="850"/>
      <c r="AR45" s="850"/>
      <c r="AS45" s="850"/>
      <c r="AT45" s="850"/>
      <c r="AU45" s="850"/>
      <c r="AV45" s="850"/>
      <c r="AW45" s="871"/>
      <c r="AX45" s="871"/>
      <c r="AY45" s="871"/>
      <c r="AZ45" s="173"/>
      <c r="BA45" s="850"/>
      <c r="BB45" s="871"/>
      <c r="BC45" s="871"/>
      <c r="BD45" s="174"/>
      <c r="BE45" s="174"/>
      <c r="BF45" s="850"/>
      <c r="BG45" s="871"/>
      <c r="BH45" s="871"/>
      <c r="BI45" s="174"/>
      <c r="BJ45" s="174"/>
      <c r="BK45" s="850"/>
      <c r="BL45" s="871"/>
      <c r="BM45" s="871"/>
      <c r="BN45" s="174"/>
      <c r="BO45" s="174"/>
      <c r="BP45" s="850"/>
      <c r="BQ45" s="871"/>
      <c r="BR45" s="871"/>
      <c r="BS45" s="174"/>
      <c r="BT45" s="174"/>
      <c r="BU45" s="850"/>
      <c r="BV45" s="865"/>
      <c r="BW45" s="865"/>
      <c r="BX45" s="865"/>
      <c r="BY45" s="865"/>
      <c r="BZ45" s="865"/>
      <c r="CA45" s="865"/>
      <c r="CB45" s="865"/>
      <c r="CC45" s="865"/>
      <c r="CD45" s="865"/>
      <c r="CE45" s="865"/>
      <c r="CF45" s="865"/>
      <c r="CG45" s="865"/>
      <c r="CH45" s="865"/>
      <c r="CI45" s="865"/>
      <c r="CJ45" s="865"/>
      <c r="CK45" s="865"/>
      <c r="CL45" s="865"/>
      <c r="CM45" s="865"/>
      <c r="CN45" s="865"/>
      <c r="CO45" s="865"/>
      <c r="CP45" s="865"/>
      <c r="CQ45" s="865"/>
      <c r="CR45" s="865"/>
      <c r="CS45" s="865"/>
      <c r="CT45" s="865"/>
      <c r="CU45" s="865"/>
      <c r="CV45" s="865"/>
      <c r="CW45" s="865"/>
      <c r="CX45" s="865"/>
      <c r="CY45" s="865"/>
      <c r="CZ45" s="865"/>
      <c r="DA45" s="865"/>
      <c r="DB45" s="865"/>
      <c r="DC45" s="865"/>
      <c r="DD45" s="865"/>
      <c r="DE45" s="865"/>
      <c r="DF45" s="865"/>
      <c r="DG45" s="865"/>
      <c r="DH45" s="865"/>
      <c r="DI45" s="865"/>
      <c r="DJ45" s="865"/>
      <c r="DK45" s="865"/>
      <c r="DL45" s="865"/>
      <c r="DM45" s="865"/>
      <c r="DN45" s="865"/>
      <c r="DO45" s="865"/>
      <c r="DP45" s="865"/>
      <c r="DQ45" s="865"/>
      <c r="DR45" s="865"/>
      <c r="DS45" s="865"/>
      <c r="DT45" s="865"/>
      <c r="DU45" s="865"/>
      <c r="DV45" s="865"/>
      <c r="DW45" s="865"/>
      <c r="DX45" s="865"/>
      <c r="DY45" s="865"/>
      <c r="DZ45" s="865"/>
      <c r="EA45" s="865"/>
      <c r="EB45" s="865"/>
      <c r="EC45" s="865"/>
      <c r="ED45" s="865"/>
      <c r="EE45" s="865"/>
      <c r="EF45" s="865"/>
      <c r="EG45" s="865"/>
      <c r="EH45" s="865"/>
      <c r="EI45" s="865"/>
      <c r="EJ45" s="865"/>
      <c r="EK45" s="865"/>
      <c r="EL45" s="865"/>
      <c r="EM45" s="865"/>
      <c r="EN45" s="865"/>
      <c r="EO45" s="865"/>
      <c r="EP45" s="865"/>
      <c r="EQ45" s="865"/>
      <c r="ER45" s="865"/>
      <c r="ES45" s="865"/>
      <c r="ET45" s="865"/>
      <c r="EU45" s="865"/>
      <c r="EV45" s="865"/>
      <c r="EW45" s="865"/>
      <c r="EX45" s="865"/>
      <c r="EY45" s="865"/>
      <c r="EZ45" s="865"/>
      <c r="FA45" s="865"/>
      <c r="FB45" s="865"/>
      <c r="FC45" s="865"/>
      <c r="FD45" s="865"/>
      <c r="FE45" s="865"/>
      <c r="FF45" s="865"/>
      <c r="FG45" s="865"/>
      <c r="FH45" s="865"/>
      <c r="FI45" s="865"/>
      <c r="FJ45" s="865"/>
      <c r="FK45" s="865"/>
      <c r="FL45" s="865"/>
      <c r="FM45" s="865"/>
      <c r="FN45" s="865"/>
      <c r="FO45" s="865"/>
      <c r="FP45" s="865"/>
      <c r="FQ45" s="865"/>
      <c r="FR45" s="865"/>
      <c r="FS45" s="865"/>
      <c r="FT45" s="865"/>
      <c r="FU45" s="865"/>
      <c r="FV45" s="865"/>
      <c r="FW45" s="865"/>
      <c r="FX45" s="865"/>
      <c r="FY45" s="865"/>
      <c r="FZ45" s="865"/>
      <c r="GA45" s="865"/>
      <c r="GB45" s="865"/>
      <c r="GC45" s="865"/>
      <c r="GD45" s="865"/>
      <c r="GE45" s="865"/>
      <c r="GF45" s="865"/>
      <c r="GG45" s="865"/>
      <c r="GH45" s="865"/>
      <c r="GI45" s="865"/>
      <c r="GJ45" s="865"/>
      <c r="GK45" s="865"/>
      <c r="GL45" s="865"/>
      <c r="GM45" s="865"/>
      <c r="GN45" s="865"/>
      <c r="GO45" s="865"/>
      <c r="GP45" s="865"/>
      <c r="GQ45" s="865"/>
      <c r="GR45" s="865"/>
      <c r="GS45" s="865"/>
      <c r="GT45" s="865"/>
      <c r="GU45" s="865"/>
      <c r="GV45" s="865"/>
      <c r="GW45" s="865"/>
      <c r="GX45" s="865"/>
      <c r="GY45" s="865"/>
      <c r="GZ45" s="865"/>
      <c r="HA45" s="865"/>
      <c r="HB45" s="865"/>
      <c r="HC45" s="865"/>
      <c r="HD45" s="865"/>
      <c r="HE45" s="865"/>
      <c r="HF45" s="865"/>
      <c r="HG45" s="865"/>
      <c r="HH45" s="865"/>
      <c r="HI45" s="865"/>
      <c r="HJ45" s="865"/>
      <c r="HK45" s="865"/>
      <c r="HL45" s="865"/>
      <c r="HM45" s="865"/>
      <c r="HN45" s="865"/>
      <c r="HO45" s="865"/>
      <c r="HP45" s="865"/>
      <c r="HQ45" s="865"/>
      <c r="HR45" s="865"/>
      <c r="HS45" s="865"/>
      <c r="HT45" s="865"/>
      <c r="HU45" s="865"/>
      <c r="HV45" s="865"/>
      <c r="HW45" s="865"/>
      <c r="HX45" s="865"/>
      <c r="HY45" s="865"/>
      <c r="HZ45" s="865"/>
      <c r="IA45" s="865"/>
      <c r="IB45" s="865"/>
      <c r="IC45" s="865"/>
      <c r="ID45" s="865"/>
      <c r="IE45" s="865"/>
      <c r="IF45" s="865"/>
      <c r="IG45" s="865"/>
      <c r="IH45" s="865"/>
      <c r="II45" s="865"/>
      <c r="IJ45" s="865"/>
      <c r="IK45" s="865"/>
      <c r="IL45" s="865"/>
      <c r="IM45" s="865"/>
      <c r="IN45" s="865"/>
      <c r="IO45" s="865"/>
      <c r="IP45" s="865"/>
      <c r="IQ45" s="865"/>
      <c r="IR45" s="865"/>
      <c r="IS45" s="865"/>
      <c r="IT45" s="865"/>
      <c r="IU45" s="865"/>
      <c r="IV45" s="865"/>
      <c r="IW45" s="865"/>
      <c r="IX45" s="865"/>
      <c r="IY45" s="865"/>
      <c r="IZ45" s="865"/>
      <c r="JA45" s="865"/>
      <c r="JB45" s="865"/>
      <c r="JC45" s="865"/>
      <c r="JD45" s="865"/>
      <c r="JE45" s="865"/>
      <c r="JF45" s="865"/>
      <c r="JG45" s="865"/>
      <c r="JH45" s="865"/>
      <c r="JI45" s="865"/>
      <c r="JJ45" s="865"/>
      <c r="JK45" s="865"/>
      <c r="JL45" s="865"/>
      <c r="JM45" s="865"/>
      <c r="JN45" s="865"/>
      <c r="JO45" s="865"/>
      <c r="JP45" s="865"/>
      <c r="JQ45" s="865"/>
      <c r="JR45" s="865"/>
      <c r="JS45" s="865"/>
      <c r="JT45" s="865"/>
      <c r="JU45" s="865"/>
      <c r="JV45" s="865"/>
      <c r="JW45" s="865"/>
      <c r="JX45" s="865"/>
      <c r="JY45" s="865"/>
      <c r="JZ45" s="865"/>
      <c r="KA45" s="865"/>
      <c r="KB45" s="865"/>
      <c r="KC45" s="865"/>
      <c r="KD45" s="865"/>
      <c r="KE45" s="865"/>
      <c r="KF45" s="865"/>
      <c r="KG45" s="865"/>
      <c r="KH45" s="865"/>
      <c r="KI45" s="865"/>
      <c r="KJ45" s="865"/>
      <c r="KK45" s="865"/>
      <c r="KL45" s="865"/>
      <c r="KM45" s="865"/>
      <c r="KN45" s="865"/>
      <c r="KO45" s="865"/>
      <c r="KP45" s="865"/>
      <c r="KQ45" s="865"/>
      <c r="KR45" s="865"/>
      <c r="KS45" s="865"/>
      <c r="KT45" s="865"/>
      <c r="KU45" s="865"/>
      <c r="KV45" s="865"/>
      <c r="KW45" s="865"/>
      <c r="KX45" s="865"/>
      <c r="KY45" s="865"/>
      <c r="KZ45" s="865"/>
      <c r="LA45" s="865"/>
      <c r="LB45" s="865"/>
      <c r="LC45" s="865"/>
      <c r="LD45" s="865"/>
      <c r="LE45" s="865"/>
      <c r="LF45" s="865"/>
      <c r="LG45" s="865"/>
      <c r="LH45" s="865"/>
      <c r="LI45" s="865"/>
      <c r="LJ45" s="865"/>
      <c r="LK45" s="865"/>
      <c r="LL45" s="865"/>
      <c r="LM45" s="865"/>
      <c r="LN45" s="865"/>
      <c r="LO45" s="865"/>
      <c r="LP45" s="865"/>
      <c r="LQ45" s="865"/>
      <c r="LR45" s="865"/>
      <c r="LS45" s="865"/>
      <c r="LT45" s="865"/>
      <c r="LU45" s="865"/>
      <c r="LV45" s="865"/>
      <c r="LW45" s="865"/>
      <c r="LX45" s="865"/>
      <c r="LY45" s="865"/>
      <c r="LZ45" s="865"/>
      <c r="MA45" s="865"/>
      <c r="MB45" s="865"/>
      <c r="MC45" s="865"/>
      <c r="MD45" s="865"/>
      <c r="ME45" s="865"/>
      <c r="MF45" s="865"/>
      <c r="MG45" s="865"/>
      <c r="MH45" s="865"/>
      <c r="MI45" s="865"/>
      <c r="MJ45" s="865"/>
      <c r="MK45" s="865"/>
      <c r="ML45" s="865"/>
      <c r="MM45" s="865"/>
      <c r="MN45" s="865"/>
      <c r="MO45" s="865"/>
      <c r="MP45" s="865"/>
      <c r="MQ45" s="865"/>
      <c r="MR45" s="865"/>
      <c r="MS45" s="865"/>
      <c r="MT45" s="865"/>
      <c r="MU45" s="865"/>
      <c r="MV45" s="865"/>
      <c r="MW45" s="865"/>
      <c r="MX45" s="865"/>
      <c r="MY45" s="865"/>
      <c r="MZ45" s="865"/>
      <c r="NA45" s="865"/>
      <c r="NB45" s="865"/>
      <c r="NC45" s="865"/>
      <c r="ND45" s="865"/>
      <c r="NE45" s="865"/>
      <c r="NF45" s="865"/>
      <c r="NG45" s="865"/>
      <c r="NH45" s="865"/>
      <c r="NI45" s="865"/>
      <c r="NJ45" s="865"/>
      <c r="NK45" s="865"/>
      <c r="NL45" s="865"/>
      <c r="NM45" s="865"/>
      <c r="NN45" s="865"/>
      <c r="NO45" s="865"/>
      <c r="NP45" s="865"/>
      <c r="NQ45" s="865"/>
      <c r="NR45" s="865"/>
      <c r="NS45" s="865"/>
      <c r="NT45" s="865"/>
      <c r="NU45" s="865"/>
      <c r="NV45" s="865"/>
      <c r="NW45" s="865"/>
      <c r="NX45" s="865"/>
      <c r="NY45" s="865"/>
      <c r="NZ45" s="865"/>
      <c r="OA45" s="865"/>
      <c r="OB45" s="865"/>
      <c r="OC45" s="865"/>
      <c r="OD45" s="865"/>
      <c r="OE45" s="865"/>
      <c r="OF45" s="865"/>
      <c r="OG45" s="865"/>
      <c r="OH45" s="865"/>
      <c r="OI45" s="865"/>
      <c r="OJ45" s="865"/>
      <c r="OK45" s="865"/>
      <c r="OL45" s="865"/>
      <c r="OM45" s="865"/>
      <c r="ON45" s="865"/>
      <c r="OO45" s="865"/>
      <c r="OP45" s="865"/>
      <c r="OQ45" s="865"/>
      <c r="OR45" s="865"/>
      <c r="OS45" s="865"/>
      <c r="OT45" s="865"/>
      <c r="OU45" s="865"/>
      <c r="OV45" s="865"/>
      <c r="OW45" s="865"/>
      <c r="OX45" s="865"/>
      <c r="OY45" s="865"/>
      <c r="OZ45" s="865"/>
      <c r="PA45" s="865"/>
      <c r="PB45" s="865"/>
      <c r="PC45" s="865"/>
      <c r="PD45" s="865"/>
      <c r="PE45" s="865"/>
      <c r="PF45" s="865"/>
      <c r="PG45" s="865"/>
      <c r="PH45" s="865"/>
      <c r="PI45" s="865"/>
      <c r="PJ45" s="865"/>
      <c r="PK45" s="865"/>
      <c r="PL45" s="865"/>
      <c r="PM45" s="865"/>
      <c r="PN45" s="865"/>
      <c r="PO45" s="865"/>
      <c r="PP45" s="865"/>
      <c r="PQ45" s="865"/>
      <c r="PR45" s="865"/>
      <c r="PS45" s="865"/>
      <c r="PT45" s="865"/>
      <c r="PU45" s="865"/>
      <c r="PV45" s="865"/>
      <c r="PW45" s="865"/>
      <c r="PX45" s="865"/>
      <c r="PY45" s="865"/>
      <c r="PZ45" s="865"/>
      <c r="QA45" s="865"/>
      <c r="QB45" s="865"/>
      <c r="QC45" s="865"/>
      <c r="QD45" s="865"/>
      <c r="QE45" s="865"/>
      <c r="QF45" s="865"/>
      <c r="QG45" s="865"/>
      <c r="QH45" s="865"/>
      <c r="QI45" s="865"/>
      <c r="QJ45" s="865"/>
      <c r="QK45" s="865"/>
      <c r="QL45" s="865"/>
      <c r="QM45" s="865"/>
      <c r="QN45" s="865"/>
      <c r="QO45" s="865"/>
      <c r="QP45" s="865"/>
      <c r="QQ45" s="865"/>
      <c r="QR45" s="865"/>
      <c r="QS45" s="865"/>
      <c r="QT45" s="865"/>
      <c r="QU45" s="865"/>
      <c r="QV45" s="865"/>
      <c r="QW45" s="865"/>
      <c r="QX45" s="865"/>
      <c r="QY45" s="865"/>
      <c r="QZ45" s="865"/>
      <c r="RA45" s="865"/>
      <c r="RB45" s="865"/>
      <c r="RC45" s="865"/>
      <c r="RD45" s="865"/>
      <c r="RE45" s="865"/>
      <c r="RF45" s="865"/>
      <c r="RG45" s="865"/>
      <c r="RH45" s="865"/>
      <c r="RI45" s="865"/>
      <c r="RJ45" s="865"/>
      <c r="RK45" s="865"/>
      <c r="RL45" s="865"/>
      <c r="RM45" s="865"/>
      <c r="RN45" s="865"/>
      <c r="RO45" s="865"/>
      <c r="RP45" s="865"/>
      <c r="RQ45" s="865"/>
      <c r="RR45" s="865"/>
      <c r="RS45" s="865"/>
      <c r="RT45" s="865"/>
      <c r="RU45" s="865"/>
      <c r="RV45" s="865"/>
      <c r="RW45" s="865"/>
      <c r="RX45" s="865"/>
    </row>
    <row r="46" spans="1:492" s="165" customFormat="1">
      <c r="A46" s="865"/>
      <c r="B46" s="865"/>
      <c r="C46" s="865"/>
      <c r="D46" s="865"/>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c r="AD46" s="865"/>
      <c r="AE46" s="865"/>
      <c r="AF46" s="865"/>
      <c r="AG46" s="865"/>
      <c r="AH46" s="865"/>
      <c r="AI46" s="865"/>
      <c r="AJ46" s="865"/>
      <c r="AK46" s="865"/>
      <c r="AL46" s="865"/>
      <c r="AM46" s="871"/>
      <c r="AN46" s="871"/>
      <c r="AO46" s="871"/>
      <c r="AP46" s="871"/>
      <c r="AQ46" s="850"/>
      <c r="AR46" s="850"/>
      <c r="AS46" s="850"/>
      <c r="AT46" s="850"/>
      <c r="AU46" s="850"/>
      <c r="AV46" s="850"/>
      <c r="AW46" s="871"/>
      <c r="AX46" s="871"/>
      <c r="AY46" s="871"/>
      <c r="AZ46" s="871"/>
      <c r="BA46" s="850"/>
      <c r="BB46" s="850"/>
      <c r="BC46" s="872"/>
      <c r="BD46" s="871"/>
      <c r="BE46" s="871"/>
      <c r="BF46" s="850"/>
      <c r="BG46" s="850"/>
      <c r="BH46" s="872"/>
      <c r="BI46" s="871"/>
      <c r="BJ46" s="871"/>
      <c r="BK46" s="850"/>
      <c r="BL46" s="850"/>
      <c r="BM46" s="872"/>
      <c r="BN46" s="871"/>
      <c r="BO46" s="871"/>
      <c r="BP46" s="850"/>
      <c r="BQ46" s="850"/>
      <c r="BR46" s="872"/>
      <c r="BS46" s="871"/>
      <c r="BT46" s="871"/>
      <c r="BU46" s="850"/>
      <c r="BV46" s="865"/>
      <c r="BW46" s="865"/>
      <c r="BX46" s="865"/>
      <c r="BY46" s="865"/>
      <c r="BZ46" s="865"/>
      <c r="CA46" s="865"/>
      <c r="CB46" s="865"/>
      <c r="CC46" s="865"/>
      <c r="CD46" s="865"/>
      <c r="CE46" s="865"/>
      <c r="CF46" s="865"/>
      <c r="CG46" s="865"/>
      <c r="CH46" s="865"/>
      <c r="CI46" s="865"/>
      <c r="CJ46" s="865"/>
      <c r="CK46" s="865"/>
      <c r="CL46" s="865"/>
      <c r="CM46" s="865"/>
      <c r="CN46" s="865"/>
      <c r="CO46" s="865"/>
      <c r="CP46" s="865"/>
      <c r="CQ46" s="865"/>
      <c r="CR46" s="865"/>
      <c r="CS46" s="865"/>
      <c r="CT46" s="865"/>
      <c r="CU46" s="865"/>
      <c r="CV46" s="865"/>
      <c r="CW46" s="865"/>
      <c r="CX46" s="865"/>
      <c r="CY46" s="865"/>
      <c r="CZ46" s="865"/>
      <c r="DA46" s="865"/>
      <c r="DB46" s="865"/>
      <c r="DC46" s="865"/>
      <c r="DD46" s="865"/>
      <c r="DE46" s="865"/>
      <c r="DF46" s="865"/>
      <c r="DG46" s="865"/>
      <c r="DH46" s="865"/>
      <c r="DI46" s="865"/>
      <c r="DJ46" s="865"/>
      <c r="DK46" s="865"/>
      <c r="DL46" s="865"/>
      <c r="DM46" s="865"/>
      <c r="DN46" s="865"/>
      <c r="DO46" s="865"/>
      <c r="DP46" s="865"/>
      <c r="DQ46" s="865"/>
      <c r="DR46" s="865"/>
      <c r="DS46" s="865"/>
      <c r="DT46" s="865"/>
      <c r="DU46" s="865"/>
      <c r="DV46" s="865"/>
      <c r="DW46" s="865"/>
      <c r="DX46" s="865"/>
      <c r="DY46" s="865"/>
      <c r="DZ46" s="865"/>
      <c r="EA46" s="865"/>
      <c r="EB46" s="865"/>
      <c r="EC46" s="865"/>
      <c r="ED46" s="865"/>
      <c r="EE46" s="865"/>
      <c r="EF46" s="865"/>
      <c r="EG46" s="865"/>
      <c r="EH46" s="865"/>
      <c r="EI46" s="865"/>
      <c r="EJ46" s="865"/>
      <c r="EK46" s="865"/>
      <c r="EL46" s="865"/>
      <c r="EM46" s="865"/>
      <c r="EN46" s="865"/>
      <c r="EO46" s="865"/>
      <c r="EP46" s="865"/>
      <c r="EQ46" s="865"/>
      <c r="ER46" s="865"/>
      <c r="ES46" s="865"/>
      <c r="ET46" s="865"/>
      <c r="EU46" s="865"/>
      <c r="EV46" s="865"/>
      <c r="EW46" s="865"/>
      <c r="EX46" s="865"/>
      <c r="EY46" s="865"/>
      <c r="EZ46" s="865"/>
      <c r="FA46" s="865"/>
      <c r="FB46" s="865"/>
      <c r="FC46" s="865"/>
      <c r="FD46" s="865"/>
      <c r="FE46" s="865"/>
      <c r="FF46" s="865"/>
      <c r="FG46" s="865"/>
      <c r="FH46" s="865"/>
      <c r="FI46" s="865"/>
      <c r="FJ46" s="865"/>
      <c r="FK46" s="865"/>
      <c r="FL46" s="865"/>
      <c r="FM46" s="865"/>
      <c r="FN46" s="865"/>
      <c r="FO46" s="865"/>
      <c r="FP46" s="865"/>
      <c r="FQ46" s="865"/>
      <c r="FR46" s="865"/>
      <c r="FS46" s="865"/>
      <c r="FT46" s="865"/>
      <c r="FU46" s="865"/>
      <c r="FV46" s="865"/>
      <c r="FW46" s="865"/>
      <c r="FX46" s="865"/>
      <c r="FY46" s="865"/>
      <c r="FZ46" s="865"/>
      <c r="GA46" s="865"/>
      <c r="GB46" s="865"/>
      <c r="GC46" s="865"/>
      <c r="GD46" s="865"/>
      <c r="GE46" s="865"/>
      <c r="GF46" s="865"/>
      <c r="GG46" s="865"/>
      <c r="GH46" s="865"/>
      <c r="GI46" s="865"/>
      <c r="GJ46" s="865"/>
      <c r="GK46" s="865"/>
      <c r="GL46" s="865"/>
      <c r="GM46" s="865"/>
      <c r="GN46" s="865"/>
      <c r="GO46" s="865"/>
      <c r="GP46" s="865"/>
      <c r="GQ46" s="865"/>
      <c r="GR46" s="865"/>
      <c r="GS46" s="865"/>
      <c r="GT46" s="865"/>
      <c r="GU46" s="865"/>
      <c r="GV46" s="865"/>
      <c r="GW46" s="865"/>
      <c r="GX46" s="865"/>
      <c r="GY46" s="865"/>
      <c r="GZ46" s="865"/>
      <c r="HA46" s="865"/>
      <c r="HB46" s="865"/>
      <c r="HC46" s="865"/>
      <c r="HD46" s="865"/>
      <c r="HE46" s="865"/>
      <c r="HF46" s="865"/>
      <c r="HG46" s="865"/>
      <c r="HH46" s="865"/>
      <c r="HI46" s="865"/>
      <c r="HJ46" s="865"/>
      <c r="HK46" s="865"/>
      <c r="HL46" s="865"/>
      <c r="HM46" s="865"/>
      <c r="HN46" s="865"/>
      <c r="HO46" s="865"/>
      <c r="HP46" s="865"/>
      <c r="HQ46" s="865"/>
      <c r="HR46" s="865"/>
      <c r="HS46" s="865"/>
      <c r="HT46" s="865"/>
      <c r="HU46" s="865"/>
      <c r="HV46" s="865"/>
      <c r="HW46" s="865"/>
      <c r="HX46" s="865"/>
      <c r="HY46" s="865"/>
      <c r="HZ46" s="865"/>
      <c r="IA46" s="865"/>
      <c r="IB46" s="865"/>
      <c r="IC46" s="865"/>
      <c r="ID46" s="865"/>
      <c r="IE46" s="865"/>
      <c r="IF46" s="865"/>
      <c r="IG46" s="865"/>
      <c r="IH46" s="865"/>
      <c r="II46" s="865"/>
      <c r="IJ46" s="865"/>
      <c r="IK46" s="865"/>
      <c r="IL46" s="865"/>
      <c r="IM46" s="865"/>
      <c r="IN46" s="865"/>
      <c r="IO46" s="865"/>
      <c r="IP46" s="865"/>
      <c r="IQ46" s="865"/>
      <c r="IR46" s="865"/>
      <c r="IS46" s="865"/>
      <c r="IT46" s="865"/>
      <c r="IU46" s="865"/>
      <c r="IV46" s="865"/>
      <c r="IW46" s="865"/>
      <c r="IX46" s="865"/>
      <c r="IY46" s="865"/>
      <c r="IZ46" s="865"/>
      <c r="JA46" s="865"/>
      <c r="JB46" s="865"/>
      <c r="JC46" s="865"/>
      <c r="JD46" s="865"/>
      <c r="JE46" s="865"/>
      <c r="JF46" s="865"/>
      <c r="JG46" s="865"/>
      <c r="JH46" s="865"/>
      <c r="JI46" s="865"/>
      <c r="JJ46" s="865"/>
      <c r="JK46" s="865"/>
      <c r="JL46" s="865"/>
      <c r="JM46" s="865"/>
      <c r="JN46" s="865"/>
      <c r="JO46" s="865"/>
      <c r="JP46" s="865"/>
      <c r="JQ46" s="865"/>
      <c r="JR46" s="865"/>
      <c r="JS46" s="865"/>
      <c r="JT46" s="865"/>
      <c r="JU46" s="865"/>
      <c r="JV46" s="865"/>
      <c r="JW46" s="865"/>
      <c r="JX46" s="865"/>
      <c r="JY46" s="865"/>
      <c r="JZ46" s="865"/>
      <c r="KA46" s="865"/>
      <c r="KB46" s="865"/>
      <c r="KC46" s="865"/>
      <c r="KD46" s="865"/>
      <c r="KE46" s="865"/>
      <c r="KF46" s="865"/>
      <c r="KG46" s="865"/>
      <c r="KH46" s="865"/>
      <c r="KI46" s="865"/>
      <c r="KJ46" s="865"/>
      <c r="KK46" s="865"/>
      <c r="KL46" s="865"/>
      <c r="KM46" s="865"/>
      <c r="KN46" s="865"/>
      <c r="KO46" s="865"/>
      <c r="KP46" s="865"/>
      <c r="KQ46" s="865"/>
      <c r="KR46" s="865"/>
      <c r="KS46" s="865"/>
      <c r="KT46" s="865"/>
      <c r="KU46" s="865"/>
      <c r="KV46" s="865"/>
      <c r="KW46" s="865"/>
      <c r="KX46" s="865"/>
      <c r="KY46" s="865"/>
      <c r="KZ46" s="865"/>
      <c r="LA46" s="865"/>
      <c r="LB46" s="865"/>
      <c r="LC46" s="865"/>
      <c r="LD46" s="865"/>
      <c r="LE46" s="865"/>
      <c r="LF46" s="865"/>
      <c r="LG46" s="865"/>
      <c r="LH46" s="865"/>
      <c r="LI46" s="865"/>
      <c r="LJ46" s="865"/>
      <c r="LK46" s="865"/>
      <c r="LL46" s="865"/>
      <c r="LM46" s="865"/>
      <c r="LN46" s="865"/>
      <c r="LO46" s="865"/>
      <c r="LP46" s="865"/>
      <c r="LQ46" s="865"/>
      <c r="LR46" s="865"/>
      <c r="LS46" s="865"/>
      <c r="LT46" s="865"/>
      <c r="LU46" s="865"/>
      <c r="LV46" s="865"/>
      <c r="LW46" s="865"/>
      <c r="LX46" s="865"/>
      <c r="LY46" s="865"/>
      <c r="LZ46" s="865"/>
      <c r="MA46" s="865"/>
      <c r="MB46" s="865"/>
      <c r="MC46" s="865"/>
      <c r="MD46" s="865"/>
      <c r="ME46" s="865"/>
      <c r="MF46" s="865"/>
      <c r="MG46" s="865"/>
      <c r="MH46" s="865"/>
      <c r="MI46" s="865"/>
      <c r="MJ46" s="865"/>
      <c r="MK46" s="865"/>
      <c r="ML46" s="865"/>
      <c r="MM46" s="865"/>
      <c r="MN46" s="865"/>
      <c r="MO46" s="865"/>
      <c r="MP46" s="865"/>
      <c r="MQ46" s="865"/>
      <c r="MR46" s="865"/>
      <c r="MS46" s="865"/>
      <c r="MT46" s="865"/>
      <c r="MU46" s="865"/>
      <c r="MV46" s="865"/>
      <c r="MW46" s="865"/>
      <c r="MX46" s="865"/>
      <c r="MY46" s="865"/>
      <c r="MZ46" s="865"/>
      <c r="NA46" s="865"/>
      <c r="NB46" s="865"/>
      <c r="NC46" s="865"/>
      <c r="ND46" s="865"/>
      <c r="NE46" s="865"/>
      <c r="NF46" s="865"/>
      <c r="NG46" s="865"/>
      <c r="NH46" s="865"/>
      <c r="NI46" s="865"/>
      <c r="NJ46" s="865"/>
      <c r="NK46" s="865"/>
      <c r="NL46" s="865"/>
      <c r="NM46" s="865"/>
      <c r="NN46" s="865"/>
      <c r="NO46" s="865"/>
      <c r="NP46" s="865"/>
      <c r="NQ46" s="865"/>
      <c r="NR46" s="865"/>
      <c r="NS46" s="865"/>
      <c r="NT46" s="865"/>
      <c r="NU46" s="865"/>
      <c r="NV46" s="865"/>
      <c r="NW46" s="865"/>
      <c r="NX46" s="865"/>
      <c r="NY46" s="865"/>
      <c r="NZ46" s="865"/>
      <c r="OA46" s="865"/>
      <c r="OB46" s="865"/>
      <c r="OC46" s="865"/>
      <c r="OD46" s="865"/>
      <c r="OE46" s="865"/>
      <c r="OF46" s="865"/>
      <c r="OG46" s="865"/>
      <c r="OH46" s="865"/>
      <c r="OI46" s="865"/>
      <c r="OJ46" s="865"/>
      <c r="OK46" s="865"/>
      <c r="OL46" s="865"/>
      <c r="OM46" s="865"/>
      <c r="ON46" s="865"/>
      <c r="OO46" s="865"/>
      <c r="OP46" s="865"/>
      <c r="OQ46" s="865"/>
      <c r="OR46" s="865"/>
      <c r="OS46" s="865"/>
      <c r="OT46" s="865"/>
      <c r="OU46" s="865"/>
      <c r="OV46" s="865"/>
      <c r="OW46" s="865"/>
      <c r="OX46" s="865"/>
      <c r="OY46" s="865"/>
      <c r="OZ46" s="865"/>
      <c r="PA46" s="865"/>
      <c r="PB46" s="865"/>
      <c r="PC46" s="865"/>
      <c r="PD46" s="865"/>
      <c r="PE46" s="865"/>
      <c r="PF46" s="865"/>
      <c r="PG46" s="865"/>
      <c r="PH46" s="865"/>
      <c r="PI46" s="865"/>
      <c r="PJ46" s="865"/>
      <c r="PK46" s="865"/>
      <c r="PL46" s="865"/>
      <c r="PM46" s="865"/>
      <c r="PN46" s="865"/>
      <c r="PO46" s="865"/>
      <c r="PP46" s="865"/>
      <c r="PQ46" s="865"/>
      <c r="PR46" s="865"/>
      <c r="PS46" s="865"/>
      <c r="PT46" s="865"/>
      <c r="PU46" s="865"/>
      <c r="PV46" s="865"/>
      <c r="PW46" s="865"/>
      <c r="PX46" s="865"/>
      <c r="PY46" s="865"/>
      <c r="PZ46" s="865"/>
      <c r="QA46" s="865"/>
      <c r="QB46" s="865"/>
      <c r="QC46" s="865"/>
      <c r="QD46" s="865"/>
      <c r="QE46" s="865"/>
      <c r="QF46" s="865"/>
      <c r="QG46" s="865"/>
      <c r="QH46" s="865"/>
      <c r="QI46" s="865"/>
      <c r="QJ46" s="865"/>
      <c r="QK46" s="865"/>
      <c r="QL46" s="865"/>
      <c r="QM46" s="865"/>
      <c r="QN46" s="865"/>
      <c r="QO46" s="865"/>
      <c r="QP46" s="865"/>
      <c r="QQ46" s="865"/>
      <c r="QR46" s="865"/>
      <c r="QS46" s="865"/>
      <c r="QT46" s="865"/>
      <c r="QU46" s="865"/>
      <c r="QV46" s="865"/>
      <c r="QW46" s="865"/>
      <c r="QX46" s="865"/>
      <c r="QY46" s="865"/>
      <c r="QZ46" s="865"/>
      <c r="RA46" s="865"/>
      <c r="RB46" s="865"/>
      <c r="RC46" s="865"/>
      <c r="RD46" s="865"/>
      <c r="RE46" s="865"/>
      <c r="RF46" s="865"/>
      <c r="RG46" s="865"/>
      <c r="RH46" s="865"/>
      <c r="RI46" s="865"/>
      <c r="RJ46" s="865"/>
      <c r="RK46" s="865"/>
      <c r="RL46" s="865"/>
      <c r="RM46" s="865"/>
      <c r="RN46" s="865"/>
      <c r="RO46" s="865"/>
      <c r="RP46" s="865"/>
      <c r="RQ46" s="865"/>
      <c r="RR46" s="865"/>
      <c r="RS46" s="865"/>
      <c r="RT46" s="865"/>
      <c r="RU46" s="865"/>
      <c r="RV46" s="865"/>
      <c r="RW46" s="865"/>
      <c r="RX46" s="865"/>
    </row>
    <row r="47" spans="1:492" s="165" customFormat="1">
      <c r="A47" s="865"/>
      <c r="B47" s="865"/>
      <c r="C47" s="865"/>
      <c r="D47" s="865"/>
      <c r="E47" s="865"/>
      <c r="F47" s="865"/>
      <c r="G47" s="865"/>
      <c r="H47" s="865"/>
      <c r="I47" s="865"/>
      <c r="J47" s="865"/>
      <c r="K47" s="865"/>
      <c r="L47" s="865"/>
      <c r="M47" s="865"/>
      <c r="N47" s="865"/>
      <c r="O47" s="865"/>
      <c r="P47" s="865"/>
      <c r="Q47" s="865"/>
      <c r="R47" s="865"/>
      <c r="S47" s="865"/>
      <c r="T47" s="865"/>
      <c r="U47" s="865"/>
      <c r="V47" s="865"/>
      <c r="W47" s="865"/>
      <c r="X47" s="865"/>
      <c r="Y47" s="865"/>
      <c r="Z47" s="865"/>
      <c r="AA47" s="865"/>
      <c r="AB47" s="865"/>
      <c r="AC47" s="865"/>
      <c r="AD47" s="865"/>
      <c r="AE47" s="865"/>
      <c r="AF47" s="865"/>
      <c r="AG47" s="865"/>
      <c r="AH47" s="865"/>
      <c r="AI47" s="865"/>
      <c r="AJ47" s="865"/>
      <c r="AK47" s="865"/>
      <c r="AL47" s="865"/>
      <c r="AM47" s="871"/>
      <c r="AN47" s="871"/>
      <c r="AO47" s="871"/>
      <c r="AP47" s="871"/>
      <c r="AQ47" s="850"/>
      <c r="AR47" s="850"/>
      <c r="AS47" s="850"/>
      <c r="AT47" s="850"/>
      <c r="AU47" s="850"/>
      <c r="AV47" s="850"/>
      <c r="AW47" s="871"/>
      <c r="AX47" s="871"/>
      <c r="AY47" s="871"/>
      <c r="AZ47" s="871"/>
      <c r="BA47" s="850"/>
      <c r="BB47" s="850"/>
      <c r="BC47" s="850"/>
      <c r="BD47" s="871"/>
      <c r="BE47" s="850"/>
      <c r="BF47" s="171"/>
      <c r="BG47" s="850"/>
      <c r="BH47" s="850"/>
      <c r="BI47" s="871"/>
      <c r="BJ47" s="850"/>
      <c r="BK47" s="171"/>
      <c r="BL47" s="850"/>
      <c r="BM47" s="850"/>
      <c r="BN47" s="871"/>
      <c r="BO47" s="850"/>
      <c r="BP47" s="171"/>
      <c r="BQ47" s="850"/>
      <c r="BR47" s="850"/>
      <c r="BS47" s="871"/>
      <c r="BT47" s="850"/>
      <c r="BU47" s="171"/>
      <c r="BV47" s="865"/>
      <c r="BW47" s="865"/>
      <c r="BX47" s="865"/>
      <c r="BY47" s="865"/>
      <c r="BZ47" s="865"/>
      <c r="CA47" s="865"/>
      <c r="CB47" s="865"/>
      <c r="CC47" s="865"/>
      <c r="CD47" s="865"/>
      <c r="CE47" s="865"/>
      <c r="CF47" s="865"/>
      <c r="CG47" s="865"/>
      <c r="CH47" s="865"/>
      <c r="CI47" s="865"/>
      <c r="CJ47" s="865"/>
      <c r="CK47" s="865"/>
      <c r="CL47" s="865"/>
      <c r="CM47" s="865"/>
      <c r="CN47" s="865"/>
      <c r="CO47" s="865"/>
      <c r="CP47" s="865"/>
      <c r="CQ47" s="865"/>
      <c r="CR47" s="865"/>
      <c r="CS47" s="865"/>
      <c r="CT47" s="865"/>
      <c r="CU47" s="865"/>
      <c r="CV47" s="865"/>
      <c r="CW47" s="865"/>
      <c r="CX47" s="865"/>
      <c r="CY47" s="865"/>
      <c r="CZ47" s="865"/>
      <c r="DA47" s="865"/>
      <c r="DB47" s="865"/>
      <c r="DC47" s="865"/>
      <c r="DD47" s="865"/>
      <c r="DE47" s="865"/>
      <c r="DF47" s="865"/>
      <c r="DG47" s="865"/>
      <c r="DH47" s="865"/>
      <c r="DI47" s="865"/>
      <c r="DJ47" s="865"/>
      <c r="DK47" s="865"/>
      <c r="DL47" s="865"/>
      <c r="DM47" s="865"/>
      <c r="DN47" s="865"/>
      <c r="DO47" s="865"/>
      <c r="DP47" s="865"/>
      <c r="DQ47" s="865"/>
      <c r="DR47" s="865"/>
      <c r="DS47" s="865"/>
      <c r="DT47" s="865"/>
      <c r="DU47" s="865"/>
      <c r="DV47" s="865"/>
      <c r="DW47" s="865"/>
      <c r="DX47" s="865"/>
      <c r="DY47" s="865"/>
      <c r="DZ47" s="865"/>
      <c r="EA47" s="865"/>
      <c r="EB47" s="865"/>
      <c r="EC47" s="865"/>
      <c r="ED47" s="865"/>
      <c r="EE47" s="865"/>
      <c r="EF47" s="865"/>
      <c r="EG47" s="865"/>
      <c r="EH47" s="865"/>
      <c r="EI47" s="865"/>
      <c r="EJ47" s="865"/>
      <c r="EK47" s="865"/>
      <c r="EL47" s="865"/>
      <c r="EM47" s="865"/>
      <c r="EN47" s="865"/>
      <c r="EO47" s="865"/>
      <c r="EP47" s="865"/>
      <c r="EQ47" s="865"/>
      <c r="ER47" s="865"/>
      <c r="ES47" s="865"/>
      <c r="ET47" s="865"/>
      <c r="EU47" s="865"/>
      <c r="EV47" s="865"/>
      <c r="EW47" s="865"/>
      <c r="EX47" s="865"/>
      <c r="EY47" s="865"/>
      <c r="EZ47" s="865"/>
      <c r="FA47" s="865"/>
      <c r="FB47" s="865"/>
      <c r="FC47" s="865"/>
      <c r="FD47" s="865"/>
      <c r="FE47" s="865"/>
      <c r="FF47" s="865"/>
      <c r="FG47" s="865"/>
      <c r="FH47" s="865"/>
      <c r="FI47" s="865"/>
      <c r="FJ47" s="865"/>
      <c r="FK47" s="865"/>
      <c r="FL47" s="865"/>
      <c r="FM47" s="865"/>
      <c r="FN47" s="865"/>
      <c r="FO47" s="865"/>
      <c r="FP47" s="865"/>
      <c r="FQ47" s="865"/>
      <c r="FR47" s="865"/>
      <c r="FS47" s="865"/>
      <c r="FT47" s="865"/>
      <c r="FU47" s="865"/>
      <c r="FV47" s="865"/>
      <c r="FW47" s="865"/>
      <c r="FX47" s="865"/>
      <c r="FY47" s="865"/>
      <c r="FZ47" s="865"/>
      <c r="GA47" s="865"/>
      <c r="GB47" s="865"/>
      <c r="GC47" s="865"/>
      <c r="GD47" s="865"/>
      <c r="GE47" s="865"/>
      <c r="GF47" s="865"/>
      <c r="GG47" s="865"/>
      <c r="GH47" s="865"/>
      <c r="GI47" s="865"/>
      <c r="GJ47" s="865"/>
      <c r="GK47" s="865"/>
      <c r="GL47" s="865"/>
      <c r="GM47" s="865"/>
      <c r="GN47" s="865"/>
      <c r="GO47" s="865"/>
      <c r="GP47" s="865"/>
      <c r="GQ47" s="865"/>
      <c r="GR47" s="865"/>
      <c r="GS47" s="865"/>
      <c r="GT47" s="865"/>
      <c r="GU47" s="865"/>
      <c r="GV47" s="865"/>
      <c r="GW47" s="865"/>
      <c r="GX47" s="865"/>
      <c r="GY47" s="865"/>
      <c r="GZ47" s="865"/>
      <c r="HA47" s="865"/>
      <c r="HB47" s="865"/>
      <c r="HC47" s="865"/>
      <c r="HD47" s="865"/>
      <c r="HE47" s="865"/>
      <c r="HF47" s="865"/>
      <c r="HG47" s="865"/>
      <c r="HH47" s="865"/>
      <c r="HI47" s="865"/>
      <c r="HJ47" s="865"/>
      <c r="HK47" s="865"/>
      <c r="HL47" s="865"/>
      <c r="HM47" s="865"/>
      <c r="HN47" s="865"/>
      <c r="HO47" s="865"/>
      <c r="HP47" s="865"/>
      <c r="HQ47" s="865"/>
      <c r="HR47" s="865"/>
      <c r="HS47" s="865"/>
      <c r="HT47" s="865"/>
      <c r="HU47" s="865"/>
      <c r="HV47" s="865"/>
      <c r="HW47" s="865"/>
      <c r="HX47" s="865"/>
      <c r="HY47" s="865"/>
      <c r="HZ47" s="865"/>
      <c r="IA47" s="865"/>
      <c r="IB47" s="865"/>
      <c r="IC47" s="865"/>
      <c r="ID47" s="865"/>
      <c r="IE47" s="865"/>
      <c r="IF47" s="865"/>
      <c r="IG47" s="865"/>
      <c r="IH47" s="865"/>
      <c r="II47" s="865"/>
      <c r="IJ47" s="865"/>
      <c r="IK47" s="865"/>
      <c r="IL47" s="865"/>
      <c r="IM47" s="865"/>
      <c r="IN47" s="865"/>
      <c r="IO47" s="865"/>
      <c r="IP47" s="865"/>
      <c r="IQ47" s="865"/>
      <c r="IR47" s="865"/>
      <c r="IS47" s="865"/>
      <c r="IT47" s="865"/>
      <c r="IU47" s="865"/>
      <c r="IV47" s="865"/>
      <c r="IW47" s="865"/>
      <c r="IX47" s="865"/>
      <c r="IY47" s="865"/>
      <c r="IZ47" s="865"/>
      <c r="JA47" s="865"/>
      <c r="JB47" s="865"/>
      <c r="JC47" s="865"/>
      <c r="JD47" s="865"/>
      <c r="JE47" s="865"/>
      <c r="JF47" s="865"/>
      <c r="JG47" s="865"/>
      <c r="JH47" s="865"/>
      <c r="JI47" s="865"/>
      <c r="JJ47" s="865"/>
      <c r="JK47" s="865"/>
      <c r="JL47" s="865"/>
      <c r="JM47" s="865"/>
      <c r="JN47" s="865"/>
      <c r="JO47" s="865"/>
      <c r="JP47" s="865"/>
      <c r="JQ47" s="865"/>
      <c r="JR47" s="865"/>
      <c r="JS47" s="865"/>
      <c r="JT47" s="865"/>
      <c r="JU47" s="865"/>
      <c r="JV47" s="865"/>
      <c r="JW47" s="865"/>
      <c r="JX47" s="865"/>
      <c r="JY47" s="865"/>
      <c r="JZ47" s="865"/>
      <c r="KA47" s="865"/>
      <c r="KB47" s="865"/>
      <c r="KC47" s="865"/>
      <c r="KD47" s="865"/>
      <c r="KE47" s="865"/>
      <c r="KF47" s="865"/>
      <c r="KG47" s="865"/>
      <c r="KH47" s="865"/>
      <c r="KI47" s="865"/>
      <c r="KJ47" s="865"/>
      <c r="KK47" s="865"/>
      <c r="KL47" s="865"/>
      <c r="KM47" s="865"/>
      <c r="KN47" s="865"/>
      <c r="KO47" s="865"/>
      <c r="KP47" s="865"/>
      <c r="KQ47" s="865"/>
      <c r="KR47" s="865"/>
      <c r="KS47" s="865"/>
      <c r="KT47" s="865"/>
      <c r="KU47" s="865"/>
      <c r="KV47" s="865"/>
      <c r="KW47" s="865"/>
      <c r="KX47" s="865"/>
      <c r="KY47" s="865"/>
      <c r="KZ47" s="865"/>
      <c r="LA47" s="865"/>
      <c r="LB47" s="865"/>
      <c r="LC47" s="865"/>
      <c r="LD47" s="865"/>
      <c r="LE47" s="865"/>
      <c r="LF47" s="865"/>
      <c r="LG47" s="865"/>
      <c r="LH47" s="865"/>
      <c r="LI47" s="865"/>
      <c r="LJ47" s="865"/>
      <c r="LK47" s="865"/>
      <c r="LL47" s="865"/>
      <c r="LM47" s="865"/>
      <c r="LN47" s="865"/>
      <c r="LO47" s="865"/>
      <c r="LP47" s="865"/>
      <c r="LQ47" s="865"/>
      <c r="LR47" s="865"/>
      <c r="LS47" s="865"/>
      <c r="LT47" s="865"/>
      <c r="LU47" s="865"/>
      <c r="LV47" s="865"/>
      <c r="LW47" s="865"/>
      <c r="LX47" s="865"/>
      <c r="LY47" s="865"/>
      <c r="LZ47" s="865"/>
      <c r="MA47" s="865"/>
      <c r="MB47" s="865"/>
      <c r="MC47" s="865"/>
      <c r="MD47" s="865"/>
      <c r="ME47" s="865"/>
      <c r="MF47" s="865"/>
      <c r="MG47" s="865"/>
      <c r="MH47" s="865"/>
      <c r="MI47" s="865"/>
      <c r="MJ47" s="865"/>
      <c r="MK47" s="865"/>
      <c r="ML47" s="865"/>
      <c r="MM47" s="865"/>
      <c r="MN47" s="865"/>
      <c r="MO47" s="865"/>
      <c r="MP47" s="865"/>
      <c r="MQ47" s="865"/>
      <c r="MR47" s="865"/>
      <c r="MS47" s="865"/>
      <c r="MT47" s="865"/>
      <c r="MU47" s="865"/>
      <c r="MV47" s="865"/>
      <c r="MW47" s="865"/>
      <c r="MX47" s="865"/>
      <c r="MY47" s="865"/>
      <c r="MZ47" s="865"/>
      <c r="NA47" s="865"/>
      <c r="NB47" s="865"/>
      <c r="NC47" s="865"/>
      <c r="ND47" s="865"/>
      <c r="NE47" s="865"/>
      <c r="NF47" s="865"/>
      <c r="NG47" s="865"/>
      <c r="NH47" s="865"/>
      <c r="NI47" s="865"/>
      <c r="NJ47" s="865"/>
      <c r="NK47" s="865"/>
      <c r="NL47" s="865"/>
      <c r="NM47" s="865"/>
      <c r="NN47" s="865"/>
      <c r="NO47" s="865"/>
      <c r="NP47" s="865"/>
      <c r="NQ47" s="865"/>
      <c r="NR47" s="865"/>
      <c r="NS47" s="865"/>
      <c r="NT47" s="865"/>
      <c r="NU47" s="865"/>
      <c r="NV47" s="865"/>
      <c r="NW47" s="865"/>
      <c r="NX47" s="865"/>
      <c r="NY47" s="865"/>
      <c r="NZ47" s="865"/>
      <c r="OA47" s="865"/>
      <c r="OB47" s="865"/>
      <c r="OC47" s="865"/>
      <c r="OD47" s="865"/>
      <c r="OE47" s="865"/>
      <c r="OF47" s="865"/>
      <c r="OG47" s="865"/>
      <c r="OH47" s="865"/>
      <c r="OI47" s="865"/>
      <c r="OJ47" s="865"/>
      <c r="OK47" s="865"/>
      <c r="OL47" s="865"/>
      <c r="OM47" s="865"/>
      <c r="ON47" s="865"/>
      <c r="OO47" s="865"/>
      <c r="OP47" s="865"/>
      <c r="OQ47" s="865"/>
      <c r="OR47" s="865"/>
      <c r="OS47" s="865"/>
      <c r="OT47" s="865"/>
      <c r="OU47" s="865"/>
      <c r="OV47" s="865"/>
      <c r="OW47" s="865"/>
      <c r="OX47" s="865"/>
      <c r="OY47" s="865"/>
      <c r="OZ47" s="865"/>
      <c r="PA47" s="865"/>
      <c r="PB47" s="865"/>
      <c r="PC47" s="865"/>
      <c r="PD47" s="865"/>
      <c r="PE47" s="865"/>
      <c r="PF47" s="865"/>
      <c r="PG47" s="865"/>
      <c r="PH47" s="865"/>
      <c r="PI47" s="865"/>
      <c r="PJ47" s="865"/>
      <c r="PK47" s="865"/>
      <c r="PL47" s="865"/>
      <c r="PM47" s="865"/>
      <c r="PN47" s="865"/>
      <c r="PO47" s="865"/>
      <c r="PP47" s="865"/>
      <c r="PQ47" s="865"/>
      <c r="PR47" s="865"/>
      <c r="PS47" s="865"/>
      <c r="PT47" s="865"/>
      <c r="PU47" s="865"/>
      <c r="PV47" s="865"/>
      <c r="PW47" s="865"/>
      <c r="PX47" s="865"/>
      <c r="PY47" s="865"/>
      <c r="PZ47" s="865"/>
      <c r="QA47" s="865"/>
      <c r="QB47" s="865"/>
      <c r="QC47" s="865"/>
      <c r="QD47" s="865"/>
      <c r="QE47" s="865"/>
      <c r="QF47" s="865"/>
      <c r="QG47" s="865"/>
      <c r="QH47" s="865"/>
      <c r="QI47" s="865"/>
      <c r="QJ47" s="865"/>
      <c r="QK47" s="865"/>
      <c r="QL47" s="865"/>
      <c r="QM47" s="865"/>
      <c r="QN47" s="865"/>
      <c r="QO47" s="865"/>
      <c r="QP47" s="865"/>
      <c r="QQ47" s="865"/>
      <c r="QR47" s="865"/>
      <c r="QS47" s="865"/>
      <c r="QT47" s="865"/>
      <c r="QU47" s="865"/>
      <c r="QV47" s="865"/>
      <c r="QW47" s="865"/>
      <c r="QX47" s="865"/>
      <c r="QY47" s="865"/>
      <c r="QZ47" s="865"/>
      <c r="RA47" s="865"/>
      <c r="RB47" s="865"/>
      <c r="RC47" s="865"/>
      <c r="RD47" s="865"/>
      <c r="RE47" s="865"/>
      <c r="RF47" s="865"/>
      <c r="RG47" s="865"/>
      <c r="RH47" s="865"/>
      <c r="RI47" s="865"/>
      <c r="RJ47" s="865"/>
      <c r="RK47" s="865"/>
      <c r="RL47" s="865"/>
      <c r="RM47" s="865"/>
      <c r="RN47" s="865"/>
      <c r="RO47" s="865"/>
      <c r="RP47" s="865"/>
      <c r="RQ47" s="865"/>
      <c r="RR47" s="865"/>
      <c r="RS47" s="865"/>
      <c r="RT47" s="865"/>
      <c r="RU47" s="865"/>
      <c r="RV47" s="865"/>
      <c r="RW47" s="865"/>
      <c r="RX47" s="865"/>
    </row>
    <row r="48" spans="1:492" s="165" customFormat="1">
      <c r="A48" s="865"/>
      <c r="B48" s="865"/>
      <c r="C48" s="865"/>
      <c r="D48" s="865"/>
      <c r="E48" s="865"/>
      <c r="F48" s="865"/>
      <c r="G48" s="865"/>
      <c r="H48" s="865"/>
      <c r="I48" s="865"/>
      <c r="J48" s="865"/>
      <c r="K48" s="865"/>
      <c r="L48" s="865"/>
      <c r="M48" s="865"/>
      <c r="N48" s="865"/>
      <c r="O48" s="865"/>
      <c r="P48" s="865"/>
      <c r="Q48" s="865"/>
      <c r="R48" s="865"/>
      <c r="S48" s="865"/>
      <c r="T48" s="865"/>
      <c r="U48" s="865"/>
      <c r="V48" s="865"/>
      <c r="W48" s="865"/>
      <c r="X48" s="865"/>
      <c r="Y48" s="865"/>
      <c r="Z48" s="865"/>
      <c r="AA48" s="865"/>
      <c r="AB48" s="865"/>
      <c r="AC48" s="865"/>
      <c r="AD48" s="865"/>
      <c r="AE48" s="865"/>
      <c r="AF48" s="865"/>
      <c r="AG48" s="865"/>
      <c r="AH48" s="865"/>
      <c r="AI48" s="865"/>
      <c r="AJ48" s="865"/>
      <c r="AK48" s="865"/>
      <c r="AL48" s="865"/>
      <c r="AM48" s="871"/>
      <c r="AN48" s="871"/>
      <c r="AO48" s="871"/>
      <c r="AP48" s="871"/>
      <c r="AQ48" s="850"/>
      <c r="AR48" s="850"/>
      <c r="AS48" s="850"/>
      <c r="AT48" s="850"/>
      <c r="AU48" s="850"/>
      <c r="AV48" s="850"/>
      <c r="AW48" s="871"/>
      <c r="AX48" s="871"/>
      <c r="AY48" s="871"/>
      <c r="AZ48" s="871"/>
      <c r="BA48" s="850"/>
      <c r="BB48" s="850"/>
      <c r="BC48" s="850"/>
      <c r="BD48" s="173"/>
      <c r="BE48" s="171"/>
      <c r="BF48" s="850"/>
      <c r="BG48" s="850"/>
      <c r="BH48" s="850"/>
      <c r="BI48" s="173"/>
      <c r="BJ48" s="171"/>
      <c r="BK48" s="850"/>
      <c r="BL48" s="850"/>
      <c r="BM48" s="850"/>
      <c r="BN48" s="173"/>
      <c r="BO48" s="171"/>
      <c r="BP48" s="850"/>
      <c r="BQ48" s="850"/>
      <c r="BR48" s="850"/>
      <c r="BS48" s="173"/>
      <c r="BT48" s="171"/>
      <c r="BU48" s="850"/>
      <c r="BV48" s="865"/>
      <c r="BW48" s="865"/>
      <c r="BX48" s="865"/>
      <c r="BY48" s="865"/>
      <c r="BZ48" s="865"/>
      <c r="CA48" s="865"/>
      <c r="CB48" s="865"/>
      <c r="CC48" s="865"/>
      <c r="CD48" s="865"/>
      <c r="CE48" s="865"/>
      <c r="CF48" s="865"/>
      <c r="CG48" s="865"/>
      <c r="CH48" s="865"/>
      <c r="CI48" s="865"/>
      <c r="CJ48" s="865"/>
      <c r="CK48" s="865"/>
      <c r="CL48" s="865"/>
      <c r="CM48" s="865"/>
      <c r="CN48" s="865"/>
      <c r="CO48" s="865"/>
      <c r="CP48" s="865"/>
      <c r="CQ48" s="865"/>
      <c r="CR48" s="865"/>
      <c r="CS48" s="865"/>
      <c r="CT48" s="865"/>
      <c r="CU48" s="865"/>
      <c r="CV48" s="865"/>
      <c r="CW48" s="865"/>
      <c r="CX48" s="865"/>
      <c r="CY48" s="865"/>
      <c r="CZ48" s="865"/>
      <c r="DA48" s="865"/>
      <c r="DB48" s="865"/>
      <c r="DC48" s="865"/>
      <c r="DD48" s="865"/>
      <c r="DE48" s="865"/>
      <c r="DF48" s="865"/>
      <c r="DG48" s="865"/>
      <c r="DH48" s="865"/>
      <c r="DI48" s="865"/>
      <c r="DJ48" s="865"/>
      <c r="DK48" s="865"/>
      <c r="DL48" s="865"/>
      <c r="DM48" s="865"/>
      <c r="DN48" s="865"/>
      <c r="DO48" s="865"/>
      <c r="DP48" s="865"/>
      <c r="DQ48" s="865"/>
      <c r="DR48" s="865"/>
      <c r="DS48" s="865"/>
      <c r="DT48" s="865"/>
      <c r="DU48" s="865"/>
      <c r="DV48" s="865"/>
      <c r="DW48" s="865"/>
      <c r="DX48" s="865"/>
      <c r="DY48" s="865"/>
      <c r="DZ48" s="865"/>
      <c r="EA48" s="865"/>
      <c r="EB48" s="865"/>
      <c r="EC48" s="865"/>
      <c r="ED48" s="865"/>
      <c r="EE48" s="865"/>
      <c r="EF48" s="865"/>
      <c r="EG48" s="865"/>
      <c r="EH48" s="865"/>
      <c r="EI48" s="865"/>
      <c r="EJ48" s="865"/>
      <c r="EK48" s="865"/>
      <c r="EL48" s="865"/>
      <c r="EM48" s="865"/>
      <c r="EN48" s="865"/>
      <c r="EO48" s="865"/>
      <c r="EP48" s="865"/>
      <c r="EQ48" s="865"/>
      <c r="ER48" s="865"/>
      <c r="ES48" s="865"/>
      <c r="ET48" s="865"/>
      <c r="EU48" s="865"/>
      <c r="EV48" s="865"/>
      <c r="EW48" s="865"/>
      <c r="EX48" s="865"/>
      <c r="EY48" s="865"/>
      <c r="EZ48" s="865"/>
      <c r="FA48" s="865"/>
      <c r="FB48" s="865"/>
      <c r="FC48" s="865"/>
      <c r="FD48" s="865"/>
      <c r="FE48" s="865"/>
      <c r="FF48" s="865"/>
      <c r="FG48" s="865"/>
      <c r="FH48" s="865"/>
      <c r="FI48" s="865"/>
      <c r="FJ48" s="865"/>
      <c r="FK48" s="865"/>
      <c r="FL48" s="865"/>
      <c r="FM48" s="865"/>
      <c r="FN48" s="865"/>
      <c r="FO48" s="865"/>
      <c r="FP48" s="865"/>
      <c r="FQ48" s="865"/>
      <c r="FR48" s="865"/>
      <c r="FS48" s="865"/>
      <c r="FT48" s="865"/>
      <c r="FU48" s="865"/>
      <c r="FV48" s="865"/>
      <c r="FW48" s="865"/>
      <c r="FX48" s="865"/>
      <c r="FY48" s="865"/>
      <c r="FZ48" s="865"/>
      <c r="GA48" s="865"/>
      <c r="GB48" s="865"/>
      <c r="GC48" s="865"/>
      <c r="GD48" s="865"/>
      <c r="GE48" s="865"/>
      <c r="GF48" s="865"/>
      <c r="GG48" s="865"/>
      <c r="GH48" s="865"/>
      <c r="GI48" s="865"/>
      <c r="GJ48" s="865"/>
      <c r="GK48" s="865"/>
      <c r="GL48" s="865"/>
      <c r="GM48" s="865"/>
      <c r="GN48" s="865"/>
      <c r="GO48" s="865"/>
      <c r="GP48" s="865"/>
      <c r="GQ48" s="865"/>
      <c r="GR48" s="865"/>
      <c r="GS48" s="865"/>
      <c r="GT48" s="865"/>
      <c r="GU48" s="865"/>
      <c r="GV48" s="865"/>
      <c r="GW48" s="865"/>
      <c r="GX48" s="865"/>
      <c r="GY48" s="865"/>
      <c r="GZ48" s="865"/>
      <c r="HA48" s="865"/>
      <c r="HB48" s="865"/>
      <c r="HC48" s="865"/>
      <c r="HD48" s="865"/>
      <c r="HE48" s="865"/>
      <c r="HF48" s="865"/>
      <c r="HG48" s="865"/>
      <c r="HH48" s="865"/>
      <c r="HI48" s="865"/>
      <c r="HJ48" s="865"/>
      <c r="HK48" s="865"/>
      <c r="HL48" s="865"/>
      <c r="HM48" s="865"/>
      <c r="HN48" s="865"/>
      <c r="HO48" s="865"/>
      <c r="HP48" s="865"/>
      <c r="HQ48" s="865"/>
      <c r="HR48" s="865"/>
      <c r="HS48" s="865"/>
      <c r="HT48" s="865"/>
      <c r="HU48" s="865"/>
      <c r="HV48" s="865"/>
      <c r="HW48" s="865"/>
      <c r="HX48" s="865"/>
      <c r="HY48" s="865"/>
      <c r="HZ48" s="865"/>
      <c r="IA48" s="865"/>
      <c r="IB48" s="865"/>
      <c r="IC48" s="865"/>
      <c r="ID48" s="865"/>
      <c r="IE48" s="865"/>
      <c r="IF48" s="865"/>
      <c r="IG48" s="865"/>
      <c r="IH48" s="865"/>
      <c r="II48" s="865"/>
      <c r="IJ48" s="865"/>
      <c r="IK48" s="865"/>
      <c r="IL48" s="865"/>
      <c r="IM48" s="865"/>
      <c r="IN48" s="865"/>
      <c r="IO48" s="865"/>
      <c r="IP48" s="865"/>
      <c r="IQ48" s="865"/>
      <c r="IR48" s="865"/>
      <c r="IS48" s="865"/>
      <c r="IT48" s="865"/>
      <c r="IU48" s="865"/>
      <c r="IV48" s="865"/>
      <c r="IW48" s="865"/>
      <c r="IX48" s="865"/>
      <c r="IY48" s="865"/>
      <c r="IZ48" s="865"/>
      <c r="JA48" s="865"/>
      <c r="JB48" s="865"/>
      <c r="JC48" s="865"/>
      <c r="JD48" s="865"/>
      <c r="JE48" s="865"/>
      <c r="JF48" s="865"/>
      <c r="JG48" s="865"/>
      <c r="JH48" s="865"/>
      <c r="JI48" s="865"/>
      <c r="JJ48" s="865"/>
      <c r="JK48" s="865"/>
      <c r="JL48" s="865"/>
      <c r="JM48" s="865"/>
      <c r="JN48" s="865"/>
      <c r="JO48" s="865"/>
      <c r="JP48" s="865"/>
      <c r="JQ48" s="865"/>
      <c r="JR48" s="865"/>
      <c r="JS48" s="865"/>
      <c r="JT48" s="865"/>
      <c r="JU48" s="865"/>
      <c r="JV48" s="865"/>
      <c r="JW48" s="865"/>
      <c r="JX48" s="865"/>
      <c r="JY48" s="865"/>
      <c r="JZ48" s="865"/>
      <c r="KA48" s="865"/>
      <c r="KB48" s="865"/>
      <c r="KC48" s="865"/>
      <c r="KD48" s="865"/>
      <c r="KE48" s="865"/>
      <c r="KF48" s="865"/>
      <c r="KG48" s="865"/>
      <c r="KH48" s="865"/>
      <c r="KI48" s="865"/>
      <c r="KJ48" s="865"/>
      <c r="KK48" s="865"/>
      <c r="KL48" s="865"/>
      <c r="KM48" s="865"/>
      <c r="KN48" s="865"/>
      <c r="KO48" s="865"/>
      <c r="KP48" s="865"/>
      <c r="KQ48" s="865"/>
      <c r="KR48" s="865"/>
      <c r="KS48" s="865"/>
      <c r="KT48" s="865"/>
      <c r="KU48" s="865"/>
      <c r="KV48" s="865"/>
      <c r="KW48" s="865"/>
      <c r="KX48" s="865"/>
      <c r="KY48" s="865"/>
      <c r="KZ48" s="865"/>
      <c r="LA48" s="865"/>
      <c r="LB48" s="865"/>
      <c r="LC48" s="865"/>
      <c r="LD48" s="865"/>
      <c r="LE48" s="865"/>
      <c r="LF48" s="865"/>
      <c r="LG48" s="865"/>
      <c r="LH48" s="865"/>
      <c r="LI48" s="865"/>
      <c r="LJ48" s="865"/>
      <c r="LK48" s="865"/>
      <c r="LL48" s="865"/>
      <c r="LM48" s="865"/>
      <c r="LN48" s="865"/>
      <c r="LO48" s="865"/>
      <c r="LP48" s="865"/>
      <c r="LQ48" s="865"/>
      <c r="LR48" s="865"/>
      <c r="LS48" s="865"/>
      <c r="LT48" s="865"/>
      <c r="LU48" s="865"/>
      <c r="LV48" s="865"/>
      <c r="LW48" s="865"/>
      <c r="LX48" s="865"/>
      <c r="LY48" s="865"/>
      <c r="LZ48" s="865"/>
      <c r="MA48" s="865"/>
      <c r="MB48" s="865"/>
      <c r="MC48" s="865"/>
      <c r="MD48" s="865"/>
      <c r="ME48" s="865"/>
      <c r="MF48" s="865"/>
      <c r="MG48" s="865"/>
      <c r="MH48" s="865"/>
      <c r="MI48" s="865"/>
      <c r="MJ48" s="865"/>
      <c r="MK48" s="865"/>
      <c r="ML48" s="865"/>
      <c r="MM48" s="865"/>
      <c r="MN48" s="865"/>
      <c r="MO48" s="865"/>
      <c r="MP48" s="865"/>
      <c r="MQ48" s="865"/>
      <c r="MR48" s="865"/>
      <c r="MS48" s="865"/>
      <c r="MT48" s="865"/>
      <c r="MU48" s="865"/>
      <c r="MV48" s="865"/>
      <c r="MW48" s="865"/>
      <c r="MX48" s="865"/>
      <c r="MY48" s="865"/>
      <c r="MZ48" s="865"/>
      <c r="NA48" s="865"/>
      <c r="NB48" s="865"/>
      <c r="NC48" s="865"/>
      <c r="ND48" s="865"/>
      <c r="NE48" s="865"/>
      <c r="NF48" s="865"/>
      <c r="NG48" s="865"/>
      <c r="NH48" s="865"/>
      <c r="NI48" s="865"/>
      <c r="NJ48" s="865"/>
      <c r="NK48" s="865"/>
      <c r="NL48" s="865"/>
      <c r="NM48" s="865"/>
      <c r="NN48" s="865"/>
      <c r="NO48" s="865"/>
      <c r="NP48" s="865"/>
      <c r="NQ48" s="865"/>
      <c r="NR48" s="865"/>
      <c r="NS48" s="865"/>
      <c r="NT48" s="865"/>
      <c r="NU48" s="865"/>
      <c r="NV48" s="865"/>
      <c r="NW48" s="865"/>
      <c r="NX48" s="865"/>
      <c r="NY48" s="865"/>
      <c r="NZ48" s="865"/>
      <c r="OA48" s="865"/>
      <c r="OB48" s="865"/>
      <c r="OC48" s="865"/>
      <c r="OD48" s="865"/>
      <c r="OE48" s="865"/>
      <c r="OF48" s="865"/>
      <c r="OG48" s="865"/>
      <c r="OH48" s="865"/>
      <c r="OI48" s="865"/>
      <c r="OJ48" s="865"/>
      <c r="OK48" s="865"/>
      <c r="OL48" s="865"/>
      <c r="OM48" s="865"/>
      <c r="ON48" s="865"/>
      <c r="OO48" s="865"/>
      <c r="OP48" s="865"/>
      <c r="OQ48" s="865"/>
      <c r="OR48" s="865"/>
      <c r="OS48" s="865"/>
      <c r="OT48" s="865"/>
      <c r="OU48" s="865"/>
      <c r="OV48" s="865"/>
      <c r="OW48" s="865"/>
      <c r="OX48" s="865"/>
      <c r="OY48" s="865"/>
      <c r="OZ48" s="865"/>
      <c r="PA48" s="865"/>
      <c r="PB48" s="865"/>
      <c r="PC48" s="865"/>
      <c r="PD48" s="865"/>
      <c r="PE48" s="865"/>
      <c r="PF48" s="865"/>
      <c r="PG48" s="865"/>
      <c r="PH48" s="865"/>
      <c r="PI48" s="865"/>
      <c r="PJ48" s="865"/>
      <c r="PK48" s="865"/>
      <c r="PL48" s="865"/>
      <c r="PM48" s="865"/>
      <c r="PN48" s="865"/>
      <c r="PO48" s="865"/>
      <c r="PP48" s="865"/>
      <c r="PQ48" s="865"/>
      <c r="PR48" s="865"/>
      <c r="PS48" s="865"/>
      <c r="PT48" s="865"/>
      <c r="PU48" s="865"/>
      <c r="PV48" s="865"/>
      <c r="PW48" s="865"/>
      <c r="PX48" s="865"/>
      <c r="PY48" s="865"/>
      <c r="PZ48" s="865"/>
      <c r="QA48" s="865"/>
      <c r="QB48" s="865"/>
      <c r="QC48" s="865"/>
      <c r="QD48" s="865"/>
      <c r="QE48" s="865"/>
      <c r="QF48" s="865"/>
      <c r="QG48" s="865"/>
      <c r="QH48" s="865"/>
      <c r="QI48" s="865"/>
      <c r="QJ48" s="865"/>
      <c r="QK48" s="865"/>
      <c r="QL48" s="865"/>
      <c r="QM48" s="865"/>
      <c r="QN48" s="865"/>
      <c r="QO48" s="865"/>
      <c r="QP48" s="865"/>
      <c r="QQ48" s="865"/>
      <c r="QR48" s="865"/>
      <c r="QS48" s="865"/>
      <c r="QT48" s="865"/>
      <c r="QU48" s="865"/>
      <c r="QV48" s="865"/>
      <c r="QW48" s="865"/>
      <c r="QX48" s="865"/>
      <c r="QY48" s="865"/>
      <c r="QZ48" s="865"/>
      <c r="RA48" s="865"/>
      <c r="RB48" s="865"/>
      <c r="RC48" s="865"/>
      <c r="RD48" s="865"/>
      <c r="RE48" s="865"/>
      <c r="RF48" s="865"/>
      <c r="RG48" s="865"/>
      <c r="RH48" s="865"/>
      <c r="RI48" s="865"/>
      <c r="RJ48" s="865"/>
      <c r="RK48" s="865"/>
      <c r="RL48" s="865"/>
      <c r="RM48" s="865"/>
      <c r="RN48" s="865"/>
      <c r="RO48" s="865"/>
      <c r="RP48" s="865"/>
      <c r="RQ48" s="865"/>
      <c r="RR48" s="865"/>
      <c r="RS48" s="865"/>
      <c r="RT48" s="865"/>
      <c r="RU48" s="865"/>
      <c r="RV48" s="865"/>
      <c r="RW48" s="865"/>
      <c r="RX48" s="865"/>
    </row>
    <row r="49" spans="1:492" s="165" customFormat="1">
      <c r="A49" s="865"/>
      <c r="B49" s="865"/>
      <c r="C49" s="865"/>
      <c r="D49" s="865"/>
      <c r="E49" s="865"/>
      <c r="F49" s="865"/>
      <c r="G49" s="865"/>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50"/>
      <c r="AN49" s="850"/>
      <c r="AO49" s="850"/>
      <c r="AP49" s="850"/>
      <c r="AQ49" s="850"/>
      <c r="AR49" s="850"/>
      <c r="AS49" s="850"/>
      <c r="AT49" s="850"/>
      <c r="AU49" s="850"/>
      <c r="AV49" s="850"/>
      <c r="AW49" s="850"/>
      <c r="AX49" s="850"/>
      <c r="AY49" s="850"/>
      <c r="AZ49" s="850"/>
      <c r="BA49" s="850"/>
      <c r="BB49" s="850"/>
      <c r="BC49" s="850"/>
      <c r="BD49" s="850"/>
      <c r="BE49" s="850"/>
      <c r="BF49" s="850"/>
      <c r="BG49" s="850"/>
      <c r="BH49" s="850"/>
      <c r="BI49" s="850"/>
      <c r="BJ49" s="850"/>
      <c r="BK49" s="850"/>
      <c r="BL49" s="850"/>
      <c r="BM49" s="850"/>
      <c r="BN49" s="850"/>
      <c r="BO49" s="850"/>
      <c r="BP49" s="850"/>
      <c r="BQ49" s="850"/>
      <c r="BR49" s="850"/>
      <c r="BS49" s="850"/>
      <c r="BT49" s="850"/>
      <c r="BU49" s="850"/>
      <c r="BV49" s="865"/>
      <c r="BW49" s="865"/>
      <c r="BX49" s="865"/>
      <c r="BY49" s="865"/>
      <c r="BZ49" s="865"/>
      <c r="CA49" s="865"/>
      <c r="CB49" s="865"/>
      <c r="CC49" s="865"/>
      <c r="CD49" s="865"/>
      <c r="CE49" s="865"/>
      <c r="CF49" s="865"/>
      <c r="CG49" s="865"/>
      <c r="CH49" s="865"/>
      <c r="CI49" s="865"/>
      <c r="CJ49" s="865"/>
      <c r="CK49" s="865"/>
      <c r="CL49" s="865"/>
      <c r="CM49" s="865"/>
      <c r="CN49" s="865"/>
      <c r="CO49" s="865"/>
      <c r="CP49" s="865"/>
      <c r="CQ49" s="865"/>
      <c r="CR49" s="865"/>
      <c r="CS49" s="865"/>
      <c r="CT49" s="865"/>
      <c r="CU49" s="865"/>
      <c r="CV49" s="865"/>
      <c r="CW49" s="865"/>
      <c r="CX49" s="865"/>
      <c r="CY49" s="865"/>
      <c r="CZ49" s="865"/>
      <c r="DA49" s="865"/>
      <c r="DB49" s="865"/>
      <c r="DC49" s="865"/>
      <c r="DD49" s="865"/>
      <c r="DE49" s="865"/>
      <c r="DF49" s="865"/>
      <c r="DG49" s="865"/>
      <c r="DH49" s="865"/>
      <c r="DI49" s="865"/>
      <c r="DJ49" s="865"/>
      <c r="DK49" s="865"/>
      <c r="DL49" s="865"/>
      <c r="DM49" s="865"/>
      <c r="DN49" s="865"/>
      <c r="DO49" s="865"/>
      <c r="DP49" s="865"/>
      <c r="DQ49" s="865"/>
      <c r="DR49" s="865"/>
      <c r="DS49" s="865"/>
      <c r="DT49" s="865"/>
      <c r="DU49" s="865"/>
      <c r="DV49" s="865"/>
      <c r="DW49" s="865"/>
      <c r="DX49" s="865"/>
      <c r="DY49" s="865"/>
      <c r="DZ49" s="865"/>
      <c r="EA49" s="865"/>
      <c r="EB49" s="865"/>
      <c r="EC49" s="865"/>
      <c r="ED49" s="865"/>
      <c r="EE49" s="865"/>
      <c r="EF49" s="865"/>
      <c r="EG49" s="865"/>
      <c r="EH49" s="865"/>
      <c r="EI49" s="865"/>
      <c r="EJ49" s="865"/>
      <c r="EK49" s="865"/>
      <c r="EL49" s="865"/>
      <c r="EM49" s="865"/>
      <c r="EN49" s="865"/>
      <c r="EO49" s="865"/>
      <c r="EP49" s="865"/>
      <c r="EQ49" s="865"/>
      <c r="ER49" s="865"/>
      <c r="ES49" s="865"/>
      <c r="ET49" s="865"/>
      <c r="EU49" s="865"/>
      <c r="EV49" s="865"/>
      <c r="EW49" s="865"/>
      <c r="EX49" s="865"/>
      <c r="EY49" s="865"/>
      <c r="EZ49" s="865"/>
      <c r="FA49" s="865"/>
      <c r="FB49" s="865"/>
      <c r="FC49" s="865"/>
      <c r="FD49" s="865"/>
      <c r="FE49" s="865"/>
      <c r="FF49" s="865"/>
      <c r="FG49" s="865"/>
      <c r="FH49" s="865"/>
      <c r="FI49" s="865"/>
      <c r="FJ49" s="865"/>
      <c r="FK49" s="865"/>
      <c r="FL49" s="865"/>
      <c r="FM49" s="865"/>
      <c r="FN49" s="865"/>
      <c r="FO49" s="865"/>
      <c r="FP49" s="865"/>
      <c r="FQ49" s="865"/>
      <c r="FR49" s="865"/>
      <c r="FS49" s="865"/>
      <c r="FT49" s="865"/>
      <c r="FU49" s="865"/>
      <c r="FV49" s="865"/>
      <c r="FW49" s="865"/>
      <c r="FX49" s="865"/>
      <c r="FY49" s="865"/>
      <c r="FZ49" s="865"/>
      <c r="GA49" s="865"/>
      <c r="GB49" s="865"/>
      <c r="GC49" s="865"/>
      <c r="GD49" s="865"/>
      <c r="GE49" s="865"/>
      <c r="GF49" s="865"/>
      <c r="GG49" s="865"/>
      <c r="GH49" s="865"/>
      <c r="GI49" s="865"/>
      <c r="GJ49" s="865"/>
      <c r="GK49" s="865"/>
      <c r="GL49" s="865"/>
      <c r="GM49" s="865"/>
      <c r="GN49" s="865"/>
      <c r="GO49" s="865"/>
      <c r="GP49" s="865"/>
      <c r="GQ49" s="865"/>
      <c r="GR49" s="865"/>
      <c r="GS49" s="865"/>
      <c r="GT49" s="865"/>
      <c r="GU49" s="865"/>
      <c r="GV49" s="865"/>
      <c r="GW49" s="865"/>
      <c r="GX49" s="865"/>
      <c r="GY49" s="865"/>
      <c r="GZ49" s="865"/>
      <c r="HA49" s="865"/>
      <c r="HB49" s="865"/>
      <c r="HC49" s="865"/>
      <c r="HD49" s="865"/>
      <c r="HE49" s="865"/>
      <c r="HF49" s="865"/>
      <c r="HG49" s="865"/>
      <c r="HH49" s="865"/>
      <c r="HI49" s="865"/>
      <c r="HJ49" s="865"/>
      <c r="HK49" s="865"/>
      <c r="HL49" s="865"/>
      <c r="HM49" s="865"/>
      <c r="HN49" s="865"/>
      <c r="HO49" s="865"/>
      <c r="HP49" s="865"/>
      <c r="HQ49" s="865"/>
      <c r="HR49" s="865"/>
      <c r="HS49" s="865"/>
      <c r="HT49" s="865"/>
      <c r="HU49" s="865"/>
      <c r="HV49" s="865"/>
      <c r="HW49" s="865"/>
      <c r="HX49" s="865"/>
      <c r="HY49" s="865"/>
      <c r="HZ49" s="865"/>
      <c r="IA49" s="865"/>
      <c r="IB49" s="865"/>
      <c r="IC49" s="865"/>
      <c r="ID49" s="865"/>
      <c r="IE49" s="865"/>
      <c r="IF49" s="865"/>
      <c r="IG49" s="865"/>
      <c r="IH49" s="865"/>
      <c r="II49" s="865"/>
      <c r="IJ49" s="865"/>
      <c r="IK49" s="865"/>
      <c r="IL49" s="865"/>
      <c r="IM49" s="865"/>
      <c r="IN49" s="865"/>
      <c r="IO49" s="865"/>
      <c r="IP49" s="865"/>
      <c r="IQ49" s="865"/>
      <c r="IR49" s="865"/>
      <c r="IS49" s="865"/>
      <c r="IT49" s="865"/>
      <c r="IU49" s="865"/>
      <c r="IV49" s="865"/>
      <c r="IW49" s="865"/>
      <c r="IX49" s="865"/>
      <c r="IY49" s="865"/>
      <c r="IZ49" s="865"/>
      <c r="JA49" s="865"/>
      <c r="JB49" s="865"/>
      <c r="JC49" s="865"/>
      <c r="JD49" s="865"/>
      <c r="JE49" s="865"/>
      <c r="JF49" s="865"/>
      <c r="JG49" s="865"/>
      <c r="JH49" s="865"/>
      <c r="JI49" s="865"/>
      <c r="JJ49" s="865"/>
      <c r="JK49" s="865"/>
      <c r="JL49" s="865"/>
      <c r="JM49" s="865"/>
      <c r="JN49" s="865"/>
      <c r="JO49" s="865"/>
      <c r="JP49" s="865"/>
      <c r="JQ49" s="865"/>
      <c r="JR49" s="865"/>
      <c r="JS49" s="865"/>
      <c r="JT49" s="865"/>
      <c r="JU49" s="865"/>
      <c r="JV49" s="865"/>
      <c r="JW49" s="865"/>
      <c r="JX49" s="865"/>
      <c r="JY49" s="865"/>
      <c r="JZ49" s="865"/>
      <c r="KA49" s="865"/>
      <c r="KB49" s="865"/>
      <c r="KC49" s="865"/>
      <c r="KD49" s="865"/>
      <c r="KE49" s="865"/>
      <c r="KF49" s="865"/>
      <c r="KG49" s="865"/>
      <c r="KH49" s="865"/>
      <c r="KI49" s="865"/>
      <c r="KJ49" s="865"/>
      <c r="KK49" s="865"/>
      <c r="KL49" s="865"/>
      <c r="KM49" s="865"/>
      <c r="KN49" s="865"/>
      <c r="KO49" s="865"/>
      <c r="KP49" s="865"/>
      <c r="KQ49" s="865"/>
      <c r="KR49" s="865"/>
      <c r="KS49" s="865"/>
      <c r="KT49" s="865"/>
      <c r="KU49" s="865"/>
      <c r="KV49" s="865"/>
      <c r="KW49" s="865"/>
      <c r="KX49" s="865"/>
      <c r="KY49" s="865"/>
      <c r="KZ49" s="865"/>
      <c r="LA49" s="865"/>
      <c r="LB49" s="865"/>
      <c r="LC49" s="865"/>
      <c r="LD49" s="865"/>
      <c r="LE49" s="865"/>
      <c r="LF49" s="865"/>
      <c r="LG49" s="865"/>
      <c r="LH49" s="865"/>
      <c r="LI49" s="865"/>
      <c r="LJ49" s="865"/>
      <c r="LK49" s="865"/>
      <c r="LL49" s="865"/>
      <c r="LM49" s="865"/>
      <c r="LN49" s="865"/>
      <c r="LO49" s="865"/>
      <c r="LP49" s="865"/>
      <c r="LQ49" s="865"/>
      <c r="LR49" s="865"/>
      <c r="LS49" s="865"/>
      <c r="LT49" s="865"/>
      <c r="LU49" s="865"/>
      <c r="LV49" s="865"/>
      <c r="LW49" s="865"/>
      <c r="LX49" s="865"/>
      <c r="LY49" s="865"/>
      <c r="LZ49" s="865"/>
      <c r="MA49" s="865"/>
      <c r="MB49" s="865"/>
      <c r="MC49" s="865"/>
      <c r="MD49" s="865"/>
      <c r="ME49" s="865"/>
      <c r="MF49" s="865"/>
      <c r="MG49" s="865"/>
      <c r="MH49" s="865"/>
      <c r="MI49" s="865"/>
      <c r="MJ49" s="865"/>
      <c r="MK49" s="865"/>
      <c r="ML49" s="865"/>
      <c r="MM49" s="865"/>
      <c r="MN49" s="865"/>
      <c r="MO49" s="865"/>
      <c r="MP49" s="865"/>
      <c r="MQ49" s="865"/>
      <c r="MR49" s="865"/>
      <c r="MS49" s="865"/>
      <c r="MT49" s="865"/>
      <c r="MU49" s="865"/>
      <c r="MV49" s="865"/>
      <c r="MW49" s="865"/>
      <c r="MX49" s="865"/>
      <c r="MY49" s="865"/>
      <c r="MZ49" s="865"/>
      <c r="NA49" s="865"/>
      <c r="NB49" s="865"/>
      <c r="NC49" s="865"/>
      <c r="ND49" s="865"/>
      <c r="NE49" s="865"/>
      <c r="NF49" s="865"/>
      <c r="NG49" s="865"/>
      <c r="NH49" s="865"/>
      <c r="NI49" s="865"/>
      <c r="NJ49" s="865"/>
      <c r="NK49" s="865"/>
      <c r="NL49" s="865"/>
      <c r="NM49" s="865"/>
      <c r="NN49" s="865"/>
      <c r="NO49" s="865"/>
      <c r="NP49" s="865"/>
      <c r="NQ49" s="865"/>
      <c r="NR49" s="865"/>
      <c r="NS49" s="865"/>
      <c r="NT49" s="865"/>
      <c r="NU49" s="865"/>
      <c r="NV49" s="865"/>
      <c r="NW49" s="865"/>
      <c r="NX49" s="865"/>
      <c r="NY49" s="865"/>
      <c r="NZ49" s="865"/>
      <c r="OA49" s="865"/>
      <c r="OB49" s="865"/>
      <c r="OC49" s="865"/>
      <c r="OD49" s="865"/>
      <c r="OE49" s="865"/>
      <c r="OF49" s="865"/>
      <c r="OG49" s="865"/>
      <c r="OH49" s="865"/>
      <c r="OI49" s="865"/>
      <c r="OJ49" s="865"/>
      <c r="OK49" s="865"/>
      <c r="OL49" s="865"/>
      <c r="OM49" s="865"/>
      <c r="ON49" s="865"/>
      <c r="OO49" s="865"/>
      <c r="OP49" s="865"/>
      <c r="OQ49" s="865"/>
      <c r="OR49" s="865"/>
      <c r="OS49" s="865"/>
      <c r="OT49" s="865"/>
      <c r="OU49" s="865"/>
      <c r="OV49" s="865"/>
      <c r="OW49" s="865"/>
      <c r="OX49" s="865"/>
      <c r="OY49" s="865"/>
      <c r="OZ49" s="865"/>
      <c r="PA49" s="865"/>
      <c r="PB49" s="865"/>
      <c r="PC49" s="865"/>
      <c r="PD49" s="865"/>
      <c r="PE49" s="865"/>
      <c r="PF49" s="865"/>
      <c r="PG49" s="865"/>
      <c r="PH49" s="865"/>
      <c r="PI49" s="865"/>
      <c r="PJ49" s="865"/>
      <c r="PK49" s="865"/>
      <c r="PL49" s="865"/>
      <c r="PM49" s="865"/>
      <c r="PN49" s="865"/>
      <c r="PO49" s="865"/>
      <c r="PP49" s="865"/>
      <c r="PQ49" s="865"/>
      <c r="PR49" s="865"/>
      <c r="PS49" s="865"/>
      <c r="PT49" s="865"/>
      <c r="PU49" s="865"/>
      <c r="PV49" s="865"/>
      <c r="PW49" s="865"/>
      <c r="PX49" s="865"/>
      <c r="PY49" s="865"/>
      <c r="PZ49" s="865"/>
      <c r="QA49" s="865"/>
      <c r="QB49" s="865"/>
      <c r="QC49" s="865"/>
      <c r="QD49" s="865"/>
      <c r="QE49" s="865"/>
      <c r="QF49" s="865"/>
      <c r="QG49" s="865"/>
      <c r="QH49" s="865"/>
      <c r="QI49" s="865"/>
      <c r="QJ49" s="865"/>
      <c r="QK49" s="865"/>
      <c r="QL49" s="865"/>
      <c r="QM49" s="865"/>
      <c r="QN49" s="865"/>
      <c r="QO49" s="865"/>
      <c r="QP49" s="865"/>
      <c r="QQ49" s="865"/>
      <c r="QR49" s="865"/>
      <c r="QS49" s="865"/>
      <c r="QT49" s="865"/>
      <c r="QU49" s="865"/>
      <c r="QV49" s="865"/>
      <c r="QW49" s="865"/>
      <c r="QX49" s="865"/>
      <c r="QY49" s="865"/>
      <c r="QZ49" s="865"/>
      <c r="RA49" s="865"/>
      <c r="RB49" s="865"/>
      <c r="RC49" s="865"/>
      <c r="RD49" s="865"/>
      <c r="RE49" s="865"/>
      <c r="RF49" s="865"/>
      <c r="RG49" s="865"/>
      <c r="RH49" s="865"/>
      <c r="RI49" s="865"/>
      <c r="RJ49" s="865"/>
      <c r="RK49" s="865"/>
      <c r="RL49" s="865"/>
      <c r="RM49" s="865"/>
      <c r="RN49" s="865"/>
      <c r="RO49" s="865"/>
      <c r="RP49" s="865"/>
      <c r="RQ49" s="865"/>
      <c r="RR49" s="865"/>
      <c r="RS49" s="865"/>
      <c r="RT49" s="865"/>
      <c r="RU49" s="865"/>
      <c r="RV49" s="865"/>
      <c r="RW49" s="865"/>
      <c r="RX49" s="865"/>
    </row>
    <row r="50" spans="1:492" s="165" customFormat="1">
      <c r="A50" s="865"/>
      <c r="B50" s="865"/>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50"/>
      <c r="AN50" s="850"/>
      <c r="AO50" s="850"/>
      <c r="AP50" s="850"/>
      <c r="AQ50" s="850"/>
      <c r="AR50" s="850"/>
      <c r="AS50" s="850"/>
      <c r="AT50" s="850"/>
      <c r="AU50" s="850"/>
      <c r="AV50" s="850"/>
      <c r="AW50" s="850"/>
      <c r="AX50" s="850"/>
      <c r="AY50" s="850"/>
      <c r="AZ50" s="850"/>
      <c r="BA50" s="850"/>
      <c r="BB50" s="850"/>
      <c r="BC50" s="850"/>
      <c r="BD50" s="850"/>
      <c r="BE50" s="850"/>
      <c r="BF50" s="850"/>
      <c r="BG50" s="850"/>
      <c r="BH50" s="850"/>
      <c r="BI50" s="850"/>
      <c r="BJ50" s="850"/>
      <c r="BK50" s="850"/>
      <c r="BL50" s="850"/>
      <c r="BM50" s="850"/>
      <c r="BN50" s="850"/>
      <c r="BO50" s="850"/>
      <c r="BP50" s="850"/>
      <c r="BQ50" s="850"/>
      <c r="BR50" s="850"/>
      <c r="BS50" s="850"/>
      <c r="BT50" s="850"/>
      <c r="BU50" s="850"/>
      <c r="BV50" s="865"/>
      <c r="BW50" s="865"/>
      <c r="BX50" s="865"/>
      <c r="BY50" s="865"/>
      <c r="BZ50" s="865"/>
      <c r="CA50" s="865"/>
      <c r="CB50" s="865"/>
      <c r="CC50" s="865"/>
      <c r="CD50" s="865"/>
      <c r="CE50" s="865"/>
      <c r="CF50" s="865"/>
      <c r="CG50" s="865"/>
      <c r="CH50" s="865"/>
      <c r="CI50" s="865"/>
      <c r="CJ50" s="865"/>
      <c r="CK50" s="865"/>
      <c r="CL50" s="865"/>
      <c r="CM50" s="865"/>
      <c r="CN50" s="865"/>
      <c r="CO50" s="865"/>
      <c r="CP50" s="865"/>
      <c r="CQ50" s="865"/>
      <c r="CR50" s="865"/>
      <c r="CS50" s="865"/>
      <c r="CT50" s="865"/>
      <c r="CU50" s="865"/>
      <c r="CV50" s="865"/>
      <c r="CW50" s="865"/>
      <c r="CX50" s="865"/>
      <c r="CY50" s="865"/>
      <c r="CZ50" s="865"/>
      <c r="DA50" s="865"/>
      <c r="DB50" s="865"/>
      <c r="DC50" s="865"/>
      <c r="DD50" s="865"/>
      <c r="DE50" s="865"/>
      <c r="DF50" s="865"/>
      <c r="DG50" s="865"/>
      <c r="DH50" s="865"/>
      <c r="DI50" s="865"/>
      <c r="DJ50" s="865"/>
      <c r="DK50" s="865"/>
      <c r="DL50" s="865"/>
      <c r="DM50" s="865"/>
      <c r="DN50" s="865"/>
      <c r="DO50" s="865"/>
      <c r="DP50" s="865"/>
      <c r="DQ50" s="865"/>
      <c r="DR50" s="865"/>
      <c r="DS50" s="865"/>
      <c r="DT50" s="865"/>
      <c r="DU50" s="865"/>
      <c r="DV50" s="865"/>
      <c r="DW50" s="865"/>
      <c r="DX50" s="865"/>
      <c r="DY50" s="865"/>
      <c r="DZ50" s="865"/>
      <c r="EA50" s="865"/>
      <c r="EB50" s="865"/>
      <c r="EC50" s="865"/>
      <c r="ED50" s="865"/>
      <c r="EE50" s="865"/>
      <c r="EF50" s="865"/>
      <c r="EG50" s="865"/>
      <c r="EH50" s="865"/>
      <c r="EI50" s="865"/>
      <c r="EJ50" s="865"/>
      <c r="EK50" s="865"/>
      <c r="EL50" s="865"/>
      <c r="EM50" s="865"/>
      <c r="EN50" s="865"/>
      <c r="EO50" s="865"/>
      <c r="EP50" s="865"/>
      <c r="EQ50" s="865"/>
      <c r="ER50" s="865"/>
      <c r="ES50" s="865"/>
      <c r="ET50" s="865"/>
      <c r="EU50" s="865"/>
      <c r="EV50" s="865"/>
      <c r="EW50" s="865"/>
      <c r="EX50" s="865"/>
      <c r="EY50" s="865"/>
      <c r="EZ50" s="865"/>
      <c r="FA50" s="865"/>
      <c r="FB50" s="865"/>
      <c r="FC50" s="865"/>
      <c r="FD50" s="865"/>
      <c r="FE50" s="865"/>
      <c r="FF50" s="865"/>
      <c r="FG50" s="865"/>
      <c r="FH50" s="865"/>
      <c r="FI50" s="865"/>
      <c r="FJ50" s="865"/>
      <c r="FK50" s="865"/>
      <c r="FL50" s="865"/>
      <c r="FM50" s="865"/>
      <c r="FN50" s="865"/>
      <c r="FO50" s="865"/>
      <c r="FP50" s="865"/>
      <c r="FQ50" s="865"/>
      <c r="FR50" s="865"/>
      <c r="FS50" s="865"/>
      <c r="FT50" s="865"/>
      <c r="FU50" s="865"/>
      <c r="FV50" s="865"/>
      <c r="FW50" s="865"/>
      <c r="FX50" s="865"/>
      <c r="FY50" s="865"/>
      <c r="FZ50" s="865"/>
      <c r="GA50" s="865"/>
      <c r="GB50" s="865"/>
      <c r="GC50" s="865"/>
      <c r="GD50" s="865"/>
      <c r="GE50" s="865"/>
      <c r="GF50" s="865"/>
      <c r="GG50" s="865"/>
      <c r="GH50" s="865"/>
      <c r="GI50" s="865"/>
      <c r="GJ50" s="865"/>
      <c r="GK50" s="865"/>
      <c r="GL50" s="865"/>
      <c r="GM50" s="865"/>
      <c r="GN50" s="865"/>
      <c r="GO50" s="865"/>
      <c r="GP50" s="865"/>
      <c r="GQ50" s="865"/>
      <c r="GR50" s="865"/>
      <c r="GS50" s="865"/>
      <c r="GT50" s="865"/>
      <c r="GU50" s="865"/>
      <c r="GV50" s="865"/>
      <c r="GW50" s="865"/>
      <c r="GX50" s="865"/>
      <c r="GY50" s="865"/>
      <c r="GZ50" s="865"/>
      <c r="HA50" s="865"/>
      <c r="HB50" s="865"/>
      <c r="HC50" s="865"/>
      <c r="HD50" s="865"/>
      <c r="HE50" s="865"/>
      <c r="HF50" s="865"/>
      <c r="HG50" s="865"/>
      <c r="HH50" s="865"/>
      <c r="HI50" s="865"/>
      <c r="HJ50" s="865"/>
      <c r="HK50" s="865"/>
      <c r="HL50" s="865"/>
      <c r="HM50" s="865"/>
      <c r="HN50" s="865"/>
      <c r="HO50" s="865"/>
      <c r="HP50" s="865"/>
      <c r="HQ50" s="865"/>
      <c r="HR50" s="865"/>
      <c r="HS50" s="865"/>
      <c r="HT50" s="865"/>
      <c r="HU50" s="865"/>
      <c r="HV50" s="865"/>
      <c r="HW50" s="865"/>
      <c r="HX50" s="865"/>
      <c r="HY50" s="865"/>
      <c r="HZ50" s="865"/>
      <c r="IA50" s="865"/>
      <c r="IB50" s="865"/>
      <c r="IC50" s="865"/>
      <c r="ID50" s="865"/>
      <c r="IE50" s="865"/>
      <c r="IF50" s="865"/>
      <c r="IG50" s="865"/>
      <c r="IH50" s="865"/>
      <c r="II50" s="865"/>
      <c r="IJ50" s="865"/>
      <c r="IK50" s="865"/>
      <c r="IL50" s="865"/>
      <c r="IM50" s="865"/>
      <c r="IN50" s="865"/>
      <c r="IO50" s="865"/>
      <c r="IP50" s="865"/>
      <c r="IQ50" s="865"/>
      <c r="IR50" s="865"/>
      <c r="IS50" s="865"/>
      <c r="IT50" s="865"/>
      <c r="IU50" s="865"/>
      <c r="IV50" s="865"/>
      <c r="IW50" s="865"/>
      <c r="IX50" s="865"/>
      <c r="IY50" s="865"/>
      <c r="IZ50" s="865"/>
      <c r="JA50" s="865"/>
      <c r="JB50" s="865"/>
      <c r="JC50" s="865"/>
      <c r="JD50" s="865"/>
      <c r="JE50" s="865"/>
      <c r="JF50" s="865"/>
      <c r="JG50" s="865"/>
      <c r="JH50" s="865"/>
      <c r="JI50" s="865"/>
      <c r="JJ50" s="865"/>
      <c r="JK50" s="865"/>
      <c r="JL50" s="865"/>
      <c r="JM50" s="865"/>
      <c r="JN50" s="865"/>
      <c r="JO50" s="865"/>
      <c r="JP50" s="865"/>
      <c r="JQ50" s="865"/>
      <c r="JR50" s="865"/>
      <c r="JS50" s="865"/>
      <c r="JT50" s="865"/>
      <c r="JU50" s="865"/>
      <c r="JV50" s="865"/>
      <c r="JW50" s="865"/>
      <c r="JX50" s="865"/>
      <c r="JY50" s="865"/>
      <c r="JZ50" s="865"/>
      <c r="KA50" s="865"/>
      <c r="KB50" s="865"/>
      <c r="KC50" s="865"/>
      <c r="KD50" s="865"/>
      <c r="KE50" s="865"/>
      <c r="KF50" s="865"/>
      <c r="KG50" s="865"/>
      <c r="KH50" s="865"/>
      <c r="KI50" s="865"/>
      <c r="KJ50" s="865"/>
      <c r="KK50" s="865"/>
      <c r="KL50" s="865"/>
      <c r="KM50" s="865"/>
      <c r="KN50" s="865"/>
      <c r="KO50" s="865"/>
      <c r="KP50" s="865"/>
      <c r="KQ50" s="865"/>
      <c r="KR50" s="865"/>
      <c r="KS50" s="865"/>
      <c r="KT50" s="865"/>
      <c r="KU50" s="865"/>
      <c r="KV50" s="865"/>
      <c r="KW50" s="865"/>
      <c r="KX50" s="865"/>
      <c r="KY50" s="865"/>
      <c r="KZ50" s="865"/>
      <c r="LA50" s="865"/>
      <c r="LB50" s="865"/>
      <c r="LC50" s="865"/>
      <c r="LD50" s="865"/>
      <c r="LE50" s="865"/>
      <c r="LF50" s="865"/>
      <c r="LG50" s="865"/>
      <c r="LH50" s="865"/>
      <c r="LI50" s="865"/>
      <c r="LJ50" s="865"/>
      <c r="LK50" s="865"/>
      <c r="LL50" s="865"/>
      <c r="LM50" s="865"/>
      <c r="LN50" s="865"/>
      <c r="LO50" s="865"/>
      <c r="LP50" s="865"/>
      <c r="LQ50" s="865"/>
      <c r="LR50" s="865"/>
      <c r="LS50" s="865"/>
      <c r="LT50" s="865"/>
      <c r="LU50" s="865"/>
      <c r="LV50" s="865"/>
      <c r="LW50" s="865"/>
      <c r="LX50" s="865"/>
      <c r="LY50" s="865"/>
      <c r="LZ50" s="865"/>
      <c r="MA50" s="865"/>
      <c r="MB50" s="865"/>
      <c r="MC50" s="865"/>
      <c r="MD50" s="865"/>
      <c r="ME50" s="865"/>
      <c r="MF50" s="865"/>
      <c r="MG50" s="865"/>
      <c r="MH50" s="865"/>
      <c r="MI50" s="865"/>
      <c r="MJ50" s="865"/>
      <c r="MK50" s="865"/>
      <c r="ML50" s="865"/>
      <c r="MM50" s="865"/>
      <c r="MN50" s="865"/>
      <c r="MO50" s="865"/>
      <c r="MP50" s="865"/>
      <c r="MQ50" s="865"/>
      <c r="MR50" s="865"/>
      <c r="MS50" s="865"/>
      <c r="MT50" s="865"/>
      <c r="MU50" s="865"/>
      <c r="MV50" s="865"/>
      <c r="MW50" s="865"/>
      <c r="MX50" s="865"/>
      <c r="MY50" s="865"/>
      <c r="MZ50" s="865"/>
      <c r="NA50" s="865"/>
      <c r="NB50" s="865"/>
      <c r="NC50" s="865"/>
      <c r="ND50" s="865"/>
      <c r="NE50" s="865"/>
      <c r="NF50" s="865"/>
      <c r="NG50" s="865"/>
      <c r="NH50" s="865"/>
      <c r="NI50" s="865"/>
      <c r="NJ50" s="865"/>
      <c r="NK50" s="865"/>
      <c r="NL50" s="865"/>
      <c r="NM50" s="865"/>
      <c r="NN50" s="865"/>
      <c r="NO50" s="865"/>
      <c r="NP50" s="865"/>
      <c r="NQ50" s="865"/>
      <c r="NR50" s="865"/>
      <c r="NS50" s="865"/>
      <c r="NT50" s="865"/>
      <c r="NU50" s="865"/>
      <c r="NV50" s="865"/>
      <c r="NW50" s="865"/>
      <c r="NX50" s="865"/>
      <c r="NY50" s="865"/>
      <c r="NZ50" s="865"/>
      <c r="OA50" s="865"/>
      <c r="OB50" s="865"/>
      <c r="OC50" s="865"/>
      <c r="OD50" s="865"/>
      <c r="OE50" s="865"/>
      <c r="OF50" s="865"/>
      <c r="OG50" s="865"/>
      <c r="OH50" s="865"/>
      <c r="OI50" s="865"/>
      <c r="OJ50" s="865"/>
      <c r="OK50" s="865"/>
      <c r="OL50" s="865"/>
      <c r="OM50" s="865"/>
      <c r="ON50" s="865"/>
      <c r="OO50" s="865"/>
      <c r="OP50" s="865"/>
      <c r="OQ50" s="865"/>
      <c r="OR50" s="865"/>
      <c r="OS50" s="865"/>
      <c r="OT50" s="865"/>
      <c r="OU50" s="865"/>
      <c r="OV50" s="865"/>
      <c r="OW50" s="865"/>
      <c r="OX50" s="865"/>
      <c r="OY50" s="865"/>
      <c r="OZ50" s="865"/>
      <c r="PA50" s="865"/>
      <c r="PB50" s="865"/>
      <c r="PC50" s="865"/>
      <c r="PD50" s="865"/>
      <c r="PE50" s="865"/>
      <c r="PF50" s="865"/>
      <c r="PG50" s="865"/>
      <c r="PH50" s="865"/>
      <c r="PI50" s="865"/>
      <c r="PJ50" s="865"/>
      <c r="PK50" s="865"/>
      <c r="PL50" s="865"/>
      <c r="PM50" s="865"/>
      <c r="PN50" s="865"/>
      <c r="PO50" s="865"/>
      <c r="PP50" s="865"/>
      <c r="PQ50" s="865"/>
      <c r="PR50" s="865"/>
      <c r="PS50" s="865"/>
      <c r="PT50" s="865"/>
      <c r="PU50" s="865"/>
      <c r="PV50" s="865"/>
      <c r="PW50" s="865"/>
      <c r="PX50" s="865"/>
      <c r="PY50" s="865"/>
      <c r="PZ50" s="865"/>
      <c r="QA50" s="865"/>
      <c r="QB50" s="865"/>
      <c r="QC50" s="865"/>
      <c r="QD50" s="865"/>
      <c r="QE50" s="865"/>
      <c r="QF50" s="865"/>
      <c r="QG50" s="865"/>
      <c r="QH50" s="865"/>
      <c r="QI50" s="865"/>
      <c r="QJ50" s="865"/>
      <c r="QK50" s="865"/>
      <c r="QL50" s="865"/>
      <c r="QM50" s="865"/>
      <c r="QN50" s="865"/>
      <c r="QO50" s="865"/>
      <c r="QP50" s="865"/>
      <c r="QQ50" s="865"/>
      <c r="QR50" s="865"/>
      <c r="QS50" s="865"/>
      <c r="QT50" s="865"/>
      <c r="QU50" s="865"/>
      <c r="QV50" s="865"/>
      <c r="QW50" s="865"/>
      <c r="QX50" s="865"/>
      <c r="QY50" s="865"/>
      <c r="QZ50" s="865"/>
      <c r="RA50" s="865"/>
      <c r="RB50" s="865"/>
      <c r="RC50" s="865"/>
      <c r="RD50" s="865"/>
      <c r="RE50" s="865"/>
      <c r="RF50" s="865"/>
      <c r="RG50" s="865"/>
      <c r="RH50" s="865"/>
      <c r="RI50" s="865"/>
      <c r="RJ50" s="865"/>
      <c r="RK50" s="865"/>
      <c r="RL50" s="865"/>
      <c r="RM50" s="865"/>
      <c r="RN50" s="865"/>
      <c r="RO50" s="865"/>
      <c r="RP50" s="865"/>
      <c r="RQ50" s="865"/>
      <c r="RR50" s="865"/>
      <c r="RS50" s="865"/>
      <c r="RT50" s="865"/>
      <c r="RU50" s="865"/>
      <c r="RV50" s="865"/>
      <c r="RW50" s="865"/>
      <c r="RX50" s="865"/>
    </row>
    <row r="51" spans="1:492" s="165" customFormat="1">
      <c r="A51" s="865"/>
      <c r="B51" s="865"/>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c r="AI51" s="865"/>
      <c r="AJ51" s="865"/>
      <c r="AK51" s="865"/>
      <c r="AL51" s="865"/>
      <c r="AM51" s="850"/>
      <c r="AN51" s="850"/>
      <c r="AO51" s="850"/>
      <c r="AP51" s="850"/>
      <c r="AQ51" s="850"/>
      <c r="AR51" s="850"/>
      <c r="AS51" s="850"/>
      <c r="AT51" s="850"/>
      <c r="AU51" s="850"/>
      <c r="AV51" s="850"/>
      <c r="AW51" s="871"/>
      <c r="AX51" s="871"/>
      <c r="AY51" s="871"/>
      <c r="AZ51" s="871"/>
      <c r="BA51" s="850"/>
      <c r="BB51" s="850"/>
      <c r="BC51" s="850"/>
      <c r="BD51" s="850"/>
      <c r="BE51" s="850"/>
      <c r="BF51" s="850"/>
      <c r="BG51" s="850"/>
      <c r="BH51" s="850"/>
      <c r="BI51" s="850"/>
      <c r="BJ51" s="850"/>
      <c r="BK51" s="850"/>
      <c r="BL51" s="850"/>
      <c r="BM51" s="850"/>
      <c r="BN51" s="850"/>
      <c r="BO51" s="850"/>
      <c r="BP51" s="850"/>
      <c r="BQ51" s="850"/>
      <c r="BR51" s="850"/>
      <c r="BS51" s="850"/>
      <c r="BT51" s="850"/>
      <c r="BU51" s="850"/>
      <c r="BV51" s="865"/>
      <c r="BW51" s="865"/>
      <c r="BX51" s="865"/>
      <c r="BY51" s="865"/>
      <c r="BZ51" s="865"/>
      <c r="CA51" s="865"/>
      <c r="CB51" s="865"/>
      <c r="CC51" s="865"/>
      <c r="CD51" s="865"/>
      <c r="CE51" s="865"/>
      <c r="CF51" s="865"/>
      <c r="CG51" s="865"/>
      <c r="CH51" s="865"/>
      <c r="CI51" s="865"/>
      <c r="CJ51" s="865"/>
      <c r="CK51" s="865"/>
      <c r="CL51" s="865"/>
      <c r="CM51" s="865"/>
      <c r="CN51" s="865"/>
      <c r="CO51" s="865"/>
      <c r="CP51" s="865"/>
      <c r="CQ51" s="865"/>
      <c r="CR51" s="865"/>
      <c r="CS51" s="865"/>
      <c r="CT51" s="865"/>
      <c r="CU51" s="865"/>
      <c r="CV51" s="865"/>
      <c r="CW51" s="865"/>
      <c r="CX51" s="865"/>
      <c r="CY51" s="865"/>
      <c r="CZ51" s="865"/>
      <c r="DA51" s="865"/>
      <c r="DB51" s="865"/>
      <c r="DC51" s="865"/>
      <c r="DD51" s="865"/>
      <c r="DE51" s="865"/>
      <c r="DF51" s="865"/>
      <c r="DG51" s="865"/>
      <c r="DH51" s="865"/>
      <c r="DI51" s="865"/>
      <c r="DJ51" s="865"/>
      <c r="DK51" s="865"/>
      <c r="DL51" s="865"/>
      <c r="DM51" s="865"/>
      <c r="DN51" s="865"/>
      <c r="DO51" s="865"/>
      <c r="DP51" s="865"/>
      <c r="DQ51" s="865"/>
      <c r="DR51" s="865"/>
      <c r="DS51" s="865"/>
      <c r="DT51" s="865"/>
      <c r="DU51" s="865"/>
      <c r="DV51" s="865"/>
      <c r="DW51" s="865"/>
      <c r="DX51" s="865"/>
      <c r="DY51" s="865"/>
      <c r="DZ51" s="865"/>
      <c r="EA51" s="865"/>
      <c r="EB51" s="865"/>
      <c r="EC51" s="865"/>
      <c r="ED51" s="865"/>
      <c r="EE51" s="865"/>
      <c r="EF51" s="865"/>
      <c r="EG51" s="865"/>
      <c r="EH51" s="865"/>
      <c r="EI51" s="865"/>
      <c r="EJ51" s="865"/>
      <c r="EK51" s="865"/>
      <c r="EL51" s="865"/>
      <c r="EM51" s="865"/>
      <c r="EN51" s="865"/>
      <c r="EO51" s="865"/>
      <c r="EP51" s="865"/>
      <c r="EQ51" s="865"/>
      <c r="ER51" s="865"/>
      <c r="ES51" s="865"/>
      <c r="ET51" s="865"/>
      <c r="EU51" s="865"/>
      <c r="EV51" s="865"/>
      <c r="EW51" s="865"/>
      <c r="EX51" s="865"/>
      <c r="EY51" s="865"/>
      <c r="EZ51" s="865"/>
      <c r="FA51" s="865"/>
      <c r="FB51" s="865"/>
      <c r="FC51" s="865"/>
      <c r="FD51" s="865"/>
      <c r="FE51" s="865"/>
      <c r="FF51" s="865"/>
      <c r="FG51" s="865"/>
      <c r="FH51" s="865"/>
      <c r="FI51" s="865"/>
      <c r="FJ51" s="865"/>
      <c r="FK51" s="865"/>
      <c r="FL51" s="865"/>
      <c r="FM51" s="865"/>
      <c r="FN51" s="865"/>
      <c r="FO51" s="865"/>
      <c r="FP51" s="865"/>
      <c r="FQ51" s="865"/>
      <c r="FR51" s="865"/>
      <c r="FS51" s="865"/>
      <c r="FT51" s="865"/>
      <c r="FU51" s="865"/>
      <c r="FV51" s="865"/>
      <c r="FW51" s="865"/>
      <c r="FX51" s="865"/>
      <c r="FY51" s="865"/>
      <c r="FZ51" s="865"/>
      <c r="GA51" s="865"/>
      <c r="GB51" s="865"/>
      <c r="GC51" s="865"/>
      <c r="GD51" s="865"/>
      <c r="GE51" s="865"/>
      <c r="GF51" s="865"/>
      <c r="GG51" s="865"/>
      <c r="GH51" s="865"/>
      <c r="GI51" s="865"/>
      <c r="GJ51" s="865"/>
      <c r="GK51" s="865"/>
      <c r="GL51" s="865"/>
      <c r="GM51" s="865"/>
      <c r="GN51" s="865"/>
      <c r="GO51" s="865"/>
      <c r="GP51" s="865"/>
      <c r="GQ51" s="865"/>
      <c r="GR51" s="865"/>
      <c r="GS51" s="865"/>
      <c r="GT51" s="865"/>
      <c r="GU51" s="865"/>
      <c r="GV51" s="865"/>
      <c r="GW51" s="865"/>
      <c r="GX51" s="865"/>
      <c r="GY51" s="865"/>
      <c r="GZ51" s="865"/>
      <c r="HA51" s="865"/>
      <c r="HB51" s="865"/>
      <c r="HC51" s="865"/>
      <c r="HD51" s="865"/>
      <c r="HE51" s="865"/>
      <c r="HF51" s="865"/>
      <c r="HG51" s="865"/>
      <c r="HH51" s="865"/>
      <c r="HI51" s="865"/>
      <c r="HJ51" s="865"/>
      <c r="HK51" s="865"/>
      <c r="HL51" s="865"/>
      <c r="HM51" s="865"/>
      <c r="HN51" s="865"/>
      <c r="HO51" s="865"/>
      <c r="HP51" s="865"/>
      <c r="HQ51" s="865"/>
      <c r="HR51" s="865"/>
      <c r="HS51" s="865"/>
      <c r="HT51" s="865"/>
      <c r="HU51" s="865"/>
      <c r="HV51" s="865"/>
      <c r="HW51" s="865"/>
      <c r="HX51" s="865"/>
      <c r="HY51" s="865"/>
      <c r="HZ51" s="865"/>
      <c r="IA51" s="865"/>
      <c r="IB51" s="865"/>
      <c r="IC51" s="865"/>
      <c r="ID51" s="865"/>
      <c r="IE51" s="865"/>
      <c r="IF51" s="865"/>
      <c r="IG51" s="865"/>
      <c r="IH51" s="865"/>
      <c r="II51" s="865"/>
      <c r="IJ51" s="865"/>
      <c r="IK51" s="865"/>
      <c r="IL51" s="865"/>
      <c r="IM51" s="865"/>
      <c r="IN51" s="865"/>
      <c r="IO51" s="865"/>
      <c r="IP51" s="865"/>
      <c r="IQ51" s="865"/>
      <c r="IR51" s="865"/>
      <c r="IS51" s="865"/>
      <c r="IT51" s="865"/>
      <c r="IU51" s="865"/>
      <c r="IV51" s="865"/>
      <c r="IW51" s="865"/>
      <c r="IX51" s="865"/>
      <c r="IY51" s="865"/>
      <c r="IZ51" s="865"/>
      <c r="JA51" s="865"/>
      <c r="JB51" s="865"/>
      <c r="JC51" s="865"/>
      <c r="JD51" s="865"/>
      <c r="JE51" s="865"/>
      <c r="JF51" s="865"/>
      <c r="JG51" s="865"/>
      <c r="JH51" s="865"/>
      <c r="JI51" s="865"/>
      <c r="JJ51" s="865"/>
      <c r="JK51" s="865"/>
      <c r="JL51" s="865"/>
      <c r="JM51" s="865"/>
      <c r="JN51" s="865"/>
      <c r="JO51" s="865"/>
      <c r="JP51" s="865"/>
      <c r="JQ51" s="865"/>
      <c r="JR51" s="865"/>
      <c r="JS51" s="865"/>
      <c r="JT51" s="865"/>
      <c r="JU51" s="865"/>
      <c r="JV51" s="865"/>
      <c r="JW51" s="865"/>
      <c r="JX51" s="865"/>
      <c r="JY51" s="865"/>
      <c r="JZ51" s="865"/>
      <c r="KA51" s="865"/>
      <c r="KB51" s="865"/>
      <c r="KC51" s="865"/>
      <c r="KD51" s="865"/>
      <c r="KE51" s="865"/>
      <c r="KF51" s="865"/>
      <c r="KG51" s="865"/>
      <c r="KH51" s="865"/>
      <c r="KI51" s="865"/>
      <c r="KJ51" s="865"/>
      <c r="KK51" s="865"/>
      <c r="KL51" s="865"/>
      <c r="KM51" s="865"/>
      <c r="KN51" s="865"/>
      <c r="KO51" s="865"/>
      <c r="KP51" s="865"/>
      <c r="KQ51" s="865"/>
      <c r="KR51" s="865"/>
      <c r="KS51" s="865"/>
      <c r="KT51" s="865"/>
      <c r="KU51" s="865"/>
      <c r="KV51" s="865"/>
      <c r="KW51" s="865"/>
      <c r="KX51" s="865"/>
      <c r="KY51" s="865"/>
      <c r="KZ51" s="865"/>
      <c r="LA51" s="865"/>
      <c r="LB51" s="865"/>
      <c r="LC51" s="865"/>
      <c r="LD51" s="865"/>
      <c r="LE51" s="865"/>
      <c r="LF51" s="865"/>
      <c r="LG51" s="865"/>
      <c r="LH51" s="865"/>
      <c r="LI51" s="865"/>
      <c r="LJ51" s="865"/>
      <c r="LK51" s="865"/>
      <c r="LL51" s="865"/>
      <c r="LM51" s="865"/>
      <c r="LN51" s="865"/>
      <c r="LO51" s="865"/>
      <c r="LP51" s="865"/>
      <c r="LQ51" s="865"/>
      <c r="LR51" s="865"/>
      <c r="LS51" s="865"/>
      <c r="LT51" s="865"/>
      <c r="LU51" s="865"/>
      <c r="LV51" s="865"/>
      <c r="LW51" s="865"/>
      <c r="LX51" s="865"/>
      <c r="LY51" s="865"/>
      <c r="LZ51" s="865"/>
      <c r="MA51" s="865"/>
      <c r="MB51" s="865"/>
      <c r="MC51" s="865"/>
      <c r="MD51" s="865"/>
      <c r="ME51" s="865"/>
      <c r="MF51" s="865"/>
      <c r="MG51" s="865"/>
      <c r="MH51" s="865"/>
      <c r="MI51" s="865"/>
      <c r="MJ51" s="865"/>
      <c r="MK51" s="865"/>
      <c r="ML51" s="865"/>
      <c r="MM51" s="865"/>
      <c r="MN51" s="865"/>
      <c r="MO51" s="865"/>
      <c r="MP51" s="865"/>
      <c r="MQ51" s="865"/>
      <c r="MR51" s="865"/>
      <c r="MS51" s="865"/>
      <c r="MT51" s="865"/>
      <c r="MU51" s="865"/>
      <c r="MV51" s="865"/>
      <c r="MW51" s="865"/>
      <c r="MX51" s="865"/>
      <c r="MY51" s="865"/>
      <c r="MZ51" s="865"/>
      <c r="NA51" s="865"/>
      <c r="NB51" s="865"/>
      <c r="NC51" s="865"/>
      <c r="ND51" s="865"/>
      <c r="NE51" s="865"/>
      <c r="NF51" s="865"/>
      <c r="NG51" s="865"/>
      <c r="NH51" s="865"/>
      <c r="NI51" s="865"/>
      <c r="NJ51" s="865"/>
      <c r="NK51" s="865"/>
      <c r="NL51" s="865"/>
      <c r="NM51" s="865"/>
      <c r="NN51" s="865"/>
      <c r="NO51" s="865"/>
      <c r="NP51" s="865"/>
      <c r="NQ51" s="865"/>
      <c r="NR51" s="865"/>
      <c r="NS51" s="865"/>
      <c r="NT51" s="865"/>
      <c r="NU51" s="865"/>
      <c r="NV51" s="865"/>
      <c r="NW51" s="865"/>
      <c r="NX51" s="865"/>
      <c r="NY51" s="865"/>
      <c r="NZ51" s="865"/>
      <c r="OA51" s="865"/>
      <c r="OB51" s="865"/>
      <c r="OC51" s="865"/>
      <c r="OD51" s="865"/>
      <c r="OE51" s="865"/>
      <c r="OF51" s="865"/>
      <c r="OG51" s="865"/>
      <c r="OH51" s="865"/>
      <c r="OI51" s="865"/>
      <c r="OJ51" s="865"/>
      <c r="OK51" s="865"/>
      <c r="OL51" s="865"/>
      <c r="OM51" s="865"/>
      <c r="ON51" s="865"/>
      <c r="OO51" s="865"/>
      <c r="OP51" s="865"/>
      <c r="OQ51" s="865"/>
      <c r="OR51" s="865"/>
      <c r="OS51" s="865"/>
      <c r="OT51" s="865"/>
      <c r="OU51" s="865"/>
      <c r="OV51" s="865"/>
      <c r="OW51" s="865"/>
      <c r="OX51" s="865"/>
      <c r="OY51" s="865"/>
      <c r="OZ51" s="865"/>
      <c r="PA51" s="865"/>
      <c r="PB51" s="865"/>
      <c r="PC51" s="865"/>
      <c r="PD51" s="865"/>
      <c r="PE51" s="865"/>
      <c r="PF51" s="865"/>
      <c r="PG51" s="865"/>
      <c r="PH51" s="865"/>
      <c r="PI51" s="865"/>
      <c r="PJ51" s="865"/>
      <c r="PK51" s="865"/>
      <c r="PL51" s="865"/>
      <c r="PM51" s="865"/>
      <c r="PN51" s="865"/>
      <c r="PO51" s="865"/>
      <c r="PP51" s="865"/>
      <c r="PQ51" s="865"/>
      <c r="PR51" s="865"/>
      <c r="PS51" s="865"/>
      <c r="PT51" s="865"/>
      <c r="PU51" s="865"/>
      <c r="PV51" s="865"/>
      <c r="PW51" s="865"/>
      <c r="PX51" s="865"/>
      <c r="PY51" s="865"/>
      <c r="PZ51" s="865"/>
      <c r="QA51" s="865"/>
      <c r="QB51" s="865"/>
      <c r="QC51" s="865"/>
      <c r="QD51" s="865"/>
      <c r="QE51" s="865"/>
      <c r="QF51" s="865"/>
      <c r="QG51" s="865"/>
      <c r="QH51" s="865"/>
      <c r="QI51" s="865"/>
      <c r="QJ51" s="865"/>
      <c r="QK51" s="865"/>
      <c r="QL51" s="865"/>
      <c r="QM51" s="865"/>
      <c r="QN51" s="865"/>
      <c r="QO51" s="865"/>
      <c r="QP51" s="865"/>
      <c r="QQ51" s="865"/>
      <c r="QR51" s="865"/>
      <c r="QS51" s="865"/>
      <c r="QT51" s="865"/>
      <c r="QU51" s="865"/>
      <c r="QV51" s="865"/>
      <c r="QW51" s="865"/>
      <c r="QX51" s="865"/>
      <c r="QY51" s="865"/>
      <c r="QZ51" s="865"/>
      <c r="RA51" s="865"/>
      <c r="RB51" s="865"/>
      <c r="RC51" s="865"/>
      <c r="RD51" s="865"/>
      <c r="RE51" s="865"/>
      <c r="RF51" s="865"/>
      <c r="RG51" s="865"/>
      <c r="RH51" s="865"/>
      <c r="RI51" s="865"/>
      <c r="RJ51" s="865"/>
      <c r="RK51" s="865"/>
      <c r="RL51" s="865"/>
      <c r="RM51" s="865"/>
      <c r="RN51" s="865"/>
      <c r="RO51" s="865"/>
      <c r="RP51" s="865"/>
      <c r="RQ51" s="865"/>
      <c r="RR51" s="865"/>
      <c r="RS51" s="865"/>
      <c r="RT51" s="865"/>
      <c r="RU51" s="865"/>
      <c r="RV51" s="865"/>
      <c r="RW51" s="865"/>
      <c r="RX51" s="865"/>
    </row>
    <row r="52" spans="1:492" s="165" customFormat="1">
      <c r="A52" s="865"/>
      <c r="B52" s="865"/>
      <c r="C52" s="865"/>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5"/>
      <c r="AD52" s="865"/>
      <c r="AE52" s="865"/>
      <c r="AF52" s="865"/>
      <c r="AG52" s="865"/>
      <c r="AH52" s="865"/>
      <c r="AI52" s="865"/>
      <c r="AJ52" s="865"/>
      <c r="AK52" s="865"/>
      <c r="AL52" s="865"/>
      <c r="AM52" s="850"/>
      <c r="AN52" s="850"/>
      <c r="AO52" s="850"/>
      <c r="AP52" s="850"/>
      <c r="AQ52" s="850"/>
      <c r="AR52" s="850"/>
      <c r="AS52" s="850"/>
      <c r="AT52" s="850"/>
      <c r="AU52" s="850"/>
      <c r="AV52" s="850"/>
      <c r="AW52" s="871"/>
      <c r="AX52" s="871"/>
      <c r="AY52" s="871"/>
      <c r="AZ52" s="871"/>
      <c r="BA52" s="850"/>
      <c r="BB52" s="850"/>
      <c r="BC52" s="850"/>
      <c r="BD52" s="850"/>
      <c r="BE52" s="850"/>
      <c r="BF52" s="850"/>
      <c r="BG52" s="850"/>
      <c r="BH52" s="850"/>
      <c r="BI52" s="850"/>
      <c r="BJ52" s="850"/>
      <c r="BK52" s="850"/>
      <c r="BL52" s="850"/>
      <c r="BM52" s="850"/>
      <c r="BN52" s="850"/>
      <c r="BO52" s="850"/>
      <c r="BP52" s="850"/>
      <c r="BQ52" s="850"/>
      <c r="BR52" s="850"/>
      <c r="BS52" s="850"/>
      <c r="BT52" s="850"/>
      <c r="BU52" s="850"/>
      <c r="BV52" s="865"/>
      <c r="BW52" s="865"/>
      <c r="BX52" s="865"/>
      <c r="BY52" s="865"/>
      <c r="BZ52" s="865"/>
      <c r="CA52" s="865"/>
      <c r="CB52" s="865"/>
      <c r="CC52" s="865"/>
      <c r="CD52" s="865"/>
      <c r="CE52" s="865"/>
      <c r="CF52" s="865"/>
      <c r="CG52" s="865"/>
      <c r="CH52" s="865"/>
      <c r="CI52" s="865"/>
      <c r="CJ52" s="865"/>
      <c r="CK52" s="865"/>
      <c r="CL52" s="865"/>
      <c r="CM52" s="865"/>
      <c r="CN52" s="865"/>
      <c r="CO52" s="865"/>
      <c r="CP52" s="865"/>
      <c r="CQ52" s="865"/>
      <c r="CR52" s="865"/>
      <c r="CS52" s="865"/>
      <c r="CT52" s="865"/>
      <c r="CU52" s="865"/>
      <c r="CV52" s="865"/>
      <c r="CW52" s="865"/>
      <c r="CX52" s="865"/>
      <c r="CY52" s="865"/>
      <c r="CZ52" s="865"/>
      <c r="DA52" s="865"/>
      <c r="DB52" s="865"/>
      <c r="DC52" s="865"/>
      <c r="DD52" s="865"/>
      <c r="DE52" s="865"/>
      <c r="DF52" s="865"/>
      <c r="DG52" s="865"/>
      <c r="DH52" s="865"/>
      <c r="DI52" s="865"/>
      <c r="DJ52" s="865"/>
      <c r="DK52" s="865"/>
      <c r="DL52" s="865"/>
      <c r="DM52" s="865"/>
      <c r="DN52" s="865"/>
      <c r="DO52" s="865"/>
      <c r="DP52" s="865"/>
      <c r="DQ52" s="865"/>
      <c r="DR52" s="865"/>
      <c r="DS52" s="865"/>
      <c r="DT52" s="865"/>
      <c r="DU52" s="865"/>
      <c r="DV52" s="865"/>
      <c r="DW52" s="865"/>
      <c r="DX52" s="865"/>
      <c r="DY52" s="865"/>
      <c r="DZ52" s="865"/>
      <c r="EA52" s="865"/>
      <c r="EB52" s="865"/>
      <c r="EC52" s="865"/>
      <c r="ED52" s="865"/>
      <c r="EE52" s="865"/>
      <c r="EF52" s="865"/>
      <c r="EG52" s="865"/>
      <c r="EH52" s="865"/>
      <c r="EI52" s="865"/>
      <c r="EJ52" s="865"/>
      <c r="EK52" s="865"/>
      <c r="EL52" s="865"/>
      <c r="EM52" s="865"/>
      <c r="EN52" s="865"/>
      <c r="EO52" s="865"/>
      <c r="EP52" s="865"/>
      <c r="EQ52" s="865"/>
      <c r="ER52" s="865"/>
      <c r="ES52" s="865"/>
      <c r="ET52" s="865"/>
      <c r="EU52" s="865"/>
      <c r="EV52" s="865"/>
      <c r="EW52" s="865"/>
      <c r="EX52" s="865"/>
      <c r="EY52" s="865"/>
      <c r="EZ52" s="865"/>
      <c r="FA52" s="865"/>
      <c r="FB52" s="865"/>
      <c r="FC52" s="865"/>
      <c r="FD52" s="865"/>
      <c r="FE52" s="865"/>
      <c r="FF52" s="865"/>
      <c r="FG52" s="865"/>
      <c r="FH52" s="865"/>
      <c r="FI52" s="865"/>
      <c r="FJ52" s="865"/>
      <c r="FK52" s="865"/>
      <c r="FL52" s="865"/>
      <c r="FM52" s="865"/>
      <c r="FN52" s="865"/>
      <c r="FO52" s="865"/>
      <c r="FP52" s="865"/>
      <c r="FQ52" s="865"/>
      <c r="FR52" s="865"/>
      <c r="FS52" s="865"/>
      <c r="FT52" s="865"/>
      <c r="FU52" s="865"/>
      <c r="FV52" s="865"/>
      <c r="FW52" s="865"/>
      <c r="FX52" s="865"/>
      <c r="FY52" s="865"/>
      <c r="FZ52" s="865"/>
      <c r="GA52" s="865"/>
      <c r="GB52" s="865"/>
      <c r="GC52" s="865"/>
      <c r="GD52" s="865"/>
      <c r="GE52" s="865"/>
      <c r="GF52" s="865"/>
      <c r="GG52" s="865"/>
      <c r="GH52" s="865"/>
      <c r="GI52" s="865"/>
      <c r="GJ52" s="865"/>
      <c r="GK52" s="865"/>
      <c r="GL52" s="865"/>
      <c r="GM52" s="865"/>
      <c r="GN52" s="865"/>
      <c r="GO52" s="865"/>
      <c r="GP52" s="865"/>
      <c r="GQ52" s="865"/>
      <c r="GR52" s="865"/>
      <c r="GS52" s="865"/>
      <c r="GT52" s="865"/>
      <c r="GU52" s="865"/>
      <c r="GV52" s="865"/>
      <c r="GW52" s="865"/>
      <c r="GX52" s="865"/>
      <c r="GY52" s="865"/>
      <c r="GZ52" s="865"/>
      <c r="HA52" s="865"/>
      <c r="HB52" s="865"/>
      <c r="HC52" s="865"/>
      <c r="HD52" s="865"/>
      <c r="HE52" s="865"/>
      <c r="HF52" s="865"/>
      <c r="HG52" s="865"/>
      <c r="HH52" s="865"/>
      <c r="HI52" s="865"/>
      <c r="HJ52" s="865"/>
      <c r="HK52" s="865"/>
      <c r="HL52" s="865"/>
      <c r="HM52" s="865"/>
      <c r="HN52" s="865"/>
      <c r="HO52" s="865"/>
      <c r="HP52" s="865"/>
      <c r="HQ52" s="865"/>
      <c r="HR52" s="865"/>
      <c r="HS52" s="865"/>
      <c r="HT52" s="865"/>
      <c r="HU52" s="865"/>
      <c r="HV52" s="865"/>
      <c r="HW52" s="865"/>
      <c r="HX52" s="865"/>
      <c r="HY52" s="865"/>
      <c r="HZ52" s="865"/>
      <c r="IA52" s="865"/>
      <c r="IB52" s="865"/>
      <c r="IC52" s="865"/>
      <c r="ID52" s="865"/>
      <c r="IE52" s="865"/>
      <c r="IF52" s="865"/>
      <c r="IG52" s="865"/>
      <c r="IH52" s="865"/>
      <c r="II52" s="865"/>
      <c r="IJ52" s="865"/>
      <c r="IK52" s="865"/>
      <c r="IL52" s="865"/>
      <c r="IM52" s="865"/>
      <c r="IN52" s="865"/>
      <c r="IO52" s="865"/>
      <c r="IP52" s="865"/>
      <c r="IQ52" s="865"/>
      <c r="IR52" s="865"/>
      <c r="IS52" s="865"/>
      <c r="IT52" s="865"/>
      <c r="IU52" s="865"/>
      <c r="IV52" s="865"/>
      <c r="IW52" s="865"/>
      <c r="IX52" s="865"/>
      <c r="IY52" s="865"/>
      <c r="IZ52" s="865"/>
      <c r="JA52" s="865"/>
      <c r="JB52" s="865"/>
      <c r="JC52" s="865"/>
      <c r="JD52" s="865"/>
      <c r="JE52" s="865"/>
      <c r="JF52" s="865"/>
      <c r="JG52" s="865"/>
      <c r="JH52" s="865"/>
      <c r="JI52" s="865"/>
      <c r="JJ52" s="865"/>
      <c r="JK52" s="865"/>
      <c r="JL52" s="865"/>
      <c r="JM52" s="865"/>
      <c r="JN52" s="865"/>
      <c r="JO52" s="865"/>
      <c r="JP52" s="865"/>
      <c r="JQ52" s="865"/>
      <c r="JR52" s="865"/>
      <c r="JS52" s="865"/>
      <c r="JT52" s="865"/>
      <c r="JU52" s="865"/>
      <c r="JV52" s="865"/>
      <c r="JW52" s="865"/>
      <c r="JX52" s="865"/>
      <c r="JY52" s="865"/>
      <c r="JZ52" s="865"/>
      <c r="KA52" s="865"/>
      <c r="KB52" s="865"/>
      <c r="KC52" s="865"/>
      <c r="KD52" s="865"/>
      <c r="KE52" s="865"/>
      <c r="KF52" s="865"/>
      <c r="KG52" s="865"/>
      <c r="KH52" s="865"/>
      <c r="KI52" s="865"/>
      <c r="KJ52" s="865"/>
      <c r="KK52" s="865"/>
      <c r="KL52" s="865"/>
      <c r="KM52" s="865"/>
      <c r="KN52" s="865"/>
      <c r="KO52" s="865"/>
      <c r="KP52" s="865"/>
      <c r="KQ52" s="865"/>
      <c r="KR52" s="865"/>
      <c r="KS52" s="865"/>
      <c r="KT52" s="865"/>
      <c r="KU52" s="865"/>
      <c r="KV52" s="865"/>
      <c r="KW52" s="865"/>
      <c r="KX52" s="865"/>
      <c r="KY52" s="865"/>
      <c r="KZ52" s="865"/>
      <c r="LA52" s="865"/>
      <c r="LB52" s="865"/>
      <c r="LC52" s="865"/>
      <c r="LD52" s="865"/>
      <c r="LE52" s="865"/>
      <c r="LF52" s="865"/>
      <c r="LG52" s="865"/>
      <c r="LH52" s="865"/>
      <c r="LI52" s="865"/>
      <c r="LJ52" s="865"/>
      <c r="LK52" s="865"/>
      <c r="LL52" s="865"/>
      <c r="LM52" s="865"/>
      <c r="LN52" s="865"/>
      <c r="LO52" s="865"/>
      <c r="LP52" s="865"/>
      <c r="LQ52" s="865"/>
      <c r="LR52" s="865"/>
      <c r="LS52" s="865"/>
      <c r="LT52" s="865"/>
      <c r="LU52" s="865"/>
      <c r="LV52" s="865"/>
      <c r="LW52" s="865"/>
      <c r="LX52" s="865"/>
      <c r="LY52" s="865"/>
      <c r="LZ52" s="865"/>
      <c r="MA52" s="865"/>
      <c r="MB52" s="865"/>
      <c r="MC52" s="865"/>
      <c r="MD52" s="865"/>
      <c r="ME52" s="865"/>
      <c r="MF52" s="865"/>
      <c r="MG52" s="865"/>
      <c r="MH52" s="865"/>
      <c r="MI52" s="865"/>
      <c r="MJ52" s="865"/>
      <c r="MK52" s="865"/>
      <c r="ML52" s="865"/>
      <c r="MM52" s="865"/>
      <c r="MN52" s="865"/>
      <c r="MO52" s="865"/>
      <c r="MP52" s="865"/>
      <c r="MQ52" s="865"/>
      <c r="MR52" s="865"/>
      <c r="MS52" s="865"/>
      <c r="MT52" s="865"/>
      <c r="MU52" s="865"/>
      <c r="MV52" s="865"/>
      <c r="MW52" s="865"/>
      <c r="MX52" s="865"/>
      <c r="MY52" s="865"/>
      <c r="MZ52" s="865"/>
      <c r="NA52" s="865"/>
      <c r="NB52" s="865"/>
      <c r="NC52" s="865"/>
      <c r="ND52" s="865"/>
      <c r="NE52" s="865"/>
      <c r="NF52" s="865"/>
      <c r="NG52" s="865"/>
      <c r="NH52" s="865"/>
      <c r="NI52" s="865"/>
      <c r="NJ52" s="865"/>
      <c r="NK52" s="865"/>
      <c r="NL52" s="865"/>
      <c r="NM52" s="865"/>
      <c r="NN52" s="865"/>
      <c r="NO52" s="865"/>
      <c r="NP52" s="865"/>
      <c r="NQ52" s="865"/>
      <c r="NR52" s="865"/>
      <c r="NS52" s="865"/>
      <c r="NT52" s="865"/>
      <c r="NU52" s="865"/>
      <c r="NV52" s="865"/>
      <c r="NW52" s="865"/>
      <c r="NX52" s="865"/>
      <c r="NY52" s="865"/>
      <c r="NZ52" s="865"/>
      <c r="OA52" s="865"/>
      <c r="OB52" s="865"/>
      <c r="OC52" s="865"/>
      <c r="OD52" s="865"/>
      <c r="OE52" s="865"/>
      <c r="OF52" s="865"/>
      <c r="OG52" s="865"/>
      <c r="OH52" s="865"/>
      <c r="OI52" s="865"/>
      <c r="OJ52" s="865"/>
      <c r="OK52" s="865"/>
      <c r="OL52" s="865"/>
      <c r="OM52" s="865"/>
      <c r="ON52" s="865"/>
      <c r="OO52" s="865"/>
      <c r="OP52" s="865"/>
      <c r="OQ52" s="865"/>
      <c r="OR52" s="865"/>
      <c r="OS52" s="865"/>
      <c r="OT52" s="865"/>
      <c r="OU52" s="865"/>
      <c r="OV52" s="865"/>
      <c r="OW52" s="865"/>
      <c r="OX52" s="865"/>
      <c r="OY52" s="865"/>
      <c r="OZ52" s="865"/>
      <c r="PA52" s="865"/>
      <c r="PB52" s="865"/>
      <c r="PC52" s="865"/>
      <c r="PD52" s="865"/>
      <c r="PE52" s="865"/>
      <c r="PF52" s="865"/>
      <c r="PG52" s="865"/>
      <c r="PH52" s="865"/>
      <c r="PI52" s="865"/>
      <c r="PJ52" s="865"/>
      <c r="PK52" s="865"/>
      <c r="PL52" s="865"/>
      <c r="PM52" s="865"/>
      <c r="PN52" s="865"/>
      <c r="PO52" s="865"/>
      <c r="PP52" s="865"/>
      <c r="PQ52" s="865"/>
      <c r="PR52" s="865"/>
      <c r="PS52" s="865"/>
      <c r="PT52" s="865"/>
      <c r="PU52" s="865"/>
      <c r="PV52" s="865"/>
      <c r="PW52" s="865"/>
      <c r="PX52" s="865"/>
      <c r="PY52" s="865"/>
      <c r="PZ52" s="865"/>
      <c r="QA52" s="865"/>
      <c r="QB52" s="865"/>
      <c r="QC52" s="865"/>
      <c r="QD52" s="865"/>
      <c r="QE52" s="865"/>
      <c r="QF52" s="865"/>
      <c r="QG52" s="865"/>
      <c r="QH52" s="865"/>
      <c r="QI52" s="865"/>
      <c r="QJ52" s="865"/>
      <c r="QK52" s="865"/>
      <c r="QL52" s="865"/>
      <c r="QM52" s="865"/>
      <c r="QN52" s="865"/>
      <c r="QO52" s="865"/>
      <c r="QP52" s="865"/>
      <c r="QQ52" s="865"/>
      <c r="QR52" s="865"/>
      <c r="QS52" s="865"/>
      <c r="QT52" s="865"/>
      <c r="QU52" s="865"/>
      <c r="QV52" s="865"/>
      <c r="QW52" s="865"/>
      <c r="QX52" s="865"/>
      <c r="QY52" s="865"/>
      <c r="QZ52" s="865"/>
      <c r="RA52" s="865"/>
      <c r="RB52" s="865"/>
      <c r="RC52" s="865"/>
      <c r="RD52" s="865"/>
      <c r="RE52" s="865"/>
      <c r="RF52" s="865"/>
      <c r="RG52" s="865"/>
      <c r="RH52" s="865"/>
      <c r="RI52" s="865"/>
      <c r="RJ52" s="865"/>
      <c r="RK52" s="865"/>
      <c r="RL52" s="865"/>
      <c r="RM52" s="865"/>
      <c r="RN52" s="865"/>
      <c r="RO52" s="865"/>
      <c r="RP52" s="865"/>
      <c r="RQ52" s="865"/>
      <c r="RR52" s="865"/>
      <c r="RS52" s="865"/>
      <c r="RT52" s="865"/>
      <c r="RU52" s="865"/>
      <c r="RV52" s="865"/>
      <c r="RW52" s="865"/>
      <c r="RX52" s="865"/>
    </row>
    <row r="53" spans="1:492" s="165" customFormat="1">
      <c r="A53" s="865"/>
      <c r="B53" s="865"/>
      <c r="C53" s="865"/>
      <c r="D53" s="865"/>
      <c r="E53" s="865"/>
      <c r="F53" s="865"/>
      <c r="G53" s="865"/>
      <c r="H53" s="865"/>
      <c r="I53" s="865"/>
      <c r="J53" s="865"/>
      <c r="K53" s="865"/>
      <c r="L53" s="865"/>
      <c r="M53" s="865"/>
      <c r="N53" s="865"/>
      <c r="O53" s="865"/>
      <c r="P53" s="865"/>
      <c r="Q53" s="865"/>
      <c r="R53" s="865"/>
      <c r="S53" s="865"/>
      <c r="T53" s="865"/>
      <c r="U53" s="865"/>
      <c r="V53" s="865"/>
      <c r="W53" s="865"/>
      <c r="X53" s="865"/>
      <c r="Y53" s="865"/>
      <c r="Z53" s="865"/>
      <c r="AA53" s="865"/>
      <c r="AB53" s="865"/>
      <c r="AC53" s="865"/>
      <c r="AD53" s="865"/>
      <c r="AE53" s="865"/>
      <c r="AF53" s="865"/>
      <c r="AG53" s="865"/>
      <c r="AH53" s="865"/>
      <c r="AI53" s="865"/>
      <c r="AJ53" s="865"/>
      <c r="AK53" s="865"/>
      <c r="AL53" s="865"/>
      <c r="AM53" s="850"/>
      <c r="AN53" s="850"/>
      <c r="AO53" s="850"/>
      <c r="AP53" s="850"/>
      <c r="AQ53" s="850"/>
      <c r="AR53" s="850"/>
      <c r="AS53" s="850"/>
      <c r="AT53" s="850"/>
      <c r="AU53" s="850"/>
      <c r="AV53" s="850"/>
      <c r="AW53" s="871"/>
      <c r="AX53" s="871"/>
      <c r="AY53" s="871"/>
      <c r="AZ53" s="871"/>
      <c r="BA53" s="850"/>
      <c r="BB53" s="850"/>
      <c r="BC53" s="850"/>
      <c r="BD53" s="850"/>
      <c r="BE53" s="850"/>
      <c r="BF53" s="850"/>
      <c r="BG53" s="850"/>
      <c r="BH53" s="850"/>
      <c r="BI53" s="850"/>
      <c r="BJ53" s="850"/>
      <c r="BK53" s="850"/>
      <c r="BL53" s="850"/>
      <c r="BM53" s="850"/>
      <c r="BN53" s="850"/>
      <c r="BO53" s="850"/>
      <c r="BP53" s="850"/>
      <c r="BQ53" s="850"/>
      <c r="BR53" s="850"/>
      <c r="BS53" s="850"/>
      <c r="BT53" s="850"/>
      <c r="BU53" s="850"/>
      <c r="BV53" s="865"/>
      <c r="BW53" s="865"/>
      <c r="BX53" s="865"/>
      <c r="BY53" s="865"/>
      <c r="BZ53" s="865"/>
      <c r="CA53" s="865"/>
      <c r="CB53" s="865"/>
      <c r="CC53" s="865"/>
      <c r="CD53" s="865"/>
      <c r="CE53" s="865"/>
      <c r="CF53" s="865"/>
      <c r="CG53" s="865"/>
      <c r="CH53" s="865"/>
      <c r="CI53" s="865"/>
      <c r="CJ53" s="865"/>
      <c r="CK53" s="865"/>
      <c r="CL53" s="865"/>
      <c r="CM53" s="865"/>
      <c r="CN53" s="865"/>
      <c r="CO53" s="865"/>
      <c r="CP53" s="865"/>
      <c r="CQ53" s="865"/>
      <c r="CR53" s="865"/>
      <c r="CS53" s="865"/>
      <c r="CT53" s="865"/>
      <c r="CU53" s="865"/>
      <c r="CV53" s="865"/>
      <c r="CW53" s="865"/>
      <c r="CX53" s="865"/>
      <c r="CY53" s="865"/>
      <c r="CZ53" s="865"/>
      <c r="DA53" s="865"/>
      <c r="DB53" s="865"/>
      <c r="DC53" s="865"/>
      <c r="DD53" s="865"/>
      <c r="DE53" s="865"/>
      <c r="DF53" s="865"/>
      <c r="DG53" s="865"/>
      <c r="DH53" s="865"/>
      <c r="DI53" s="865"/>
      <c r="DJ53" s="865"/>
      <c r="DK53" s="865"/>
      <c r="DL53" s="865"/>
      <c r="DM53" s="865"/>
      <c r="DN53" s="865"/>
      <c r="DO53" s="865"/>
      <c r="DP53" s="865"/>
      <c r="DQ53" s="865"/>
      <c r="DR53" s="865"/>
      <c r="DS53" s="865"/>
      <c r="DT53" s="865"/>
      <c r="DU53" s="865"/>
      <c r="DV53" s="865"/>
      <c r="DW53" s="865"/>
      <c r="DX53" s="865"/>
      <c r="DY53" s="865"/>
      <c r="DZ53" s="865"/>
      <c r="EA53" s="865"/>
      <c r="EB53" s="865"/>
      <c r="EC53" s="865"/>
      <c r="ED53" s="865"/>
      <c r="EE53" s="865"/>
      <c r="EF53" s="865"/>
      <c r="EG53" s="865"/>
      <c r="EH53" s="865"/>
      <c r="EI53" s="865"/>
      <c r="EJ53" s="865"/>
      <c r="EK53" s="865"/>
      <c r="EL53" s="865"/>
      <c r="EM53" s="865"/>
      <c r="EN53" s="865"/>
      <c r="EO53" s="865"/>
      <c r="EP53" s="865"/>
      <c r="EQ53" s="865"/>
      <c r="ER53" s="865"/>
      <c r="ES53" s="865"/>
      <c r="ET53" s="865"/>
      <c r="EU53" s="865"/>
      <c r="EV53" s="865"/>
      <c r="EW53" s="865"/>
      <c r="EX53" s="865"/>
      <c r="EY53" s="865"/>
      <c r="EZ53" s="865"/>
      <c r="FA53" s="865"/>
      <c r="FB53" s="865"/>
      <c r="FC53" s="865"/>
      <c r="FD53" s="865"/>
      <c r="FE53" s="865"/>
      <c r="FF53" s="865"/>
      <c r="FG53" s="865"/>
      <c r="FH53" s="865"/>
      <c r="FI53" s="865"/>
      <c r="FJ53" s="865"/>
      <c r="FK53" s="865"/>
      <c r="FL53" s="865"/>
      <c r="FM53" s="865"/>
      <c r="FN53" s="865"/>
      <c r="FO53" s="865"/>
      <c r="FP53" s="865"/>
      <c r="FQ53" s="865"/>
      <c r="FR53" s="865"/>
      <c r="FS53" s="865"/>
      <c r="FT53" s="865"/>
      <c r="FU53" s="865"/>
      <c r="FV53" s="865"/>
      <c r="FW53" s="865"/>
      <c r="FX53" s="865"/>
      <c r="FY53" s="865"/>
      <c r="FZ53" s="865"/>
      <c r="GA53" s="865"/>
      <c r="GB53" s="865"/>
      <c r="GC53" s="865"/>
      <c r="GD53" s="865"/>
      <c r="GE53" s="865"/>
      <c r="GF53" s="865"/>
      <c r="GG53" s="865"/>
      <c r="GH53" s="865"/>
      <c r="GI53" s="865"/>
      <c r="GJ53" s="865"/>
      <c r="GK53" s="865"/>
      <c r="GL53" s="865"/>
      <c r="GM53" s="865"/>
      <c r="GN53" s="865"/>
      <c r="GO53" s="865"/>
      <c r="GP53" s="865"/>
      <c r="GQ53" s="865"/>
      <c r="GR53" s="865"/>
      <c r="GS53" s="865"/>
      <c r="GT53" s="865"/>
      <c r="GU53" s="865"/>
      <c r="GV53" s="865"/>
      <c r="GW53" s="865"/>
      <c r="GX53" s="865"/>
      <c r="GY53" s="865"/>
      <c r="GZ53" s="865"/>
      <c r="HA53" s="865"/>
      <c r="HB53" s="865"/>
      <c r="HC53" s="865"/>
      <c r="HD53" s="865"/>
      <c r="HE53" s="865"/>
      <c r="HF53" s="865"/>
      <c r="HG53" s="865"/>
      <c r="HH53" s="865"/>
      <c r="HI53" s="865"/>
      <c r="HJ53" s="865"/>
      <c r="HK53" s="865"/>
      <c r="HL53" s="865"/>
      <c r="HM53" s="865"/>
      <c r="HN53" s="865"/>
      <c r="HO53" s="865"/>
      <c r="HP53" s="865"/>
      <c r="HQ53" s="865"/>
      <c r="HR53" s="865"/>
      <c r="HS53" s="865"/>
      <c r="HT53" s="865"/>
      <c r="HU53" s="865"/>
      <c r="HV53" s="865"/>
      <c r="HW53" s="865"/>
      <c r="HX53" s="865"/>
      <c r="HY53" s="865"/>
      <c r="HZ53" s="865"/>
      <c r="IA53" s="865"/>
      <c r="IB53" s="865"/>
      <c r="IC53" s="865"/>
      <c r="ID53" s="865"/>
      <c r="IE53" s="865"/>
      <c r="IF53" s="865"/>
      <c r="IG53" s="865"/>
      <c r="IH53" s="865"/>
      <c r="II53" s="865"/>
      <c r="IJ53" s="865"/>
      <c r="IK53" s="865"/>
      <c r="IL53" s="865"/>
      <c r="IM53" s="865"/>
      <c r="IN53" s="865"/>
      <c r="IO53" s="865"/>
      <c r="IP53" s="865"/>
      <c r="IQ53" s="865"/>
      <c r="IR53" s="865"/>
      <c r="IS53" s="865"/>
      <c r="IT53" s="865"/>
      <c r="IU53" s="865"/>
      <c r="IV53" s="865"/>
      <c r="IW53" s="865"/>
      <c r="IX53" s="865"/>
      <c r="IY53" s="865"/>
      <c r="IZ53" s="865"/>
      <c r="JA53" s="865"/>
      <c r="JB53" s="865"/>
      <c r="JC53" s="865"/>
      <c r="JD53" s="865"/>
      <c r="JE53" s="865"/>
      <c r="JF53" s="865"/>
      <c r="JG53" s="865"/>
      <c r="JH53" s="865"/>
      <c r="JI53" s="865"/>
      <c r="JJ53" s="865"/>
      <c r="JK53" s="865"/>
      <c r="JL53" s="865"/>
      <c r="JM53" s="865"/>
      <c r="JN53" s="865"/>
      <c r="JO53" s="865"/>
      <c r="JP53" s="865"/>
      <c r="JQ53" s="865"/>
      <c r="JR53" s="865"/>
      <c r="JS53" s="865"/>
      <c r="JT53" s="865"/>
      <c r="JU53" s="865"/>
      <c r="JV53" s="865"/>
      <c r="JW53" s="865"/>
      <c r="JX53" s="865"/>
      <c r="JY53" s="865"/>
      <c r="JZ53" s="865"/>
      <c r="KA53" s="865"/>
      <c r="KB53" s="865"/>
      <c r="KC53" s="865"/>
      <c r="KD53" s="865"/>
      <c r="KE53" s="865"/>
      <c r="KF53" s="865"/>
      <c r="KG53" s="865"/>
      <c r="KH53" s="865"/>
      <c r="KI53" s="865"/>
      <c r="KJ53" s="865"/>
      <c r="KK53" s="865"/>
      <c r="KL53" s="865"/>
      <c r="KM53" s="865"/>
      <c r="KN53" s="865"/>
      <c r="KO53" s="865"/>
      <c r="KP53" s="865"/>
      <c r="KQ53" s="865"/>
      <c r="KR53" s="865"/>
      <c r="KS53" s="865"/>
      <c r="KT53" s="865"/>
      <c r="KU53" s="865"/>
      <c r="KV53" s="865"/>
      <c r="KW53" s="865"/>
      <c r="KX53" s="865"/>
      <c r="KY53" s="865"/>
      <c r="KZ53" s="865"/>
      <c r="LA53" s="865"/>
      <c r="LB53" s="865"/>
      <c r="LC53" s="865"/>
      <c r="LD53" s="865"/>
      <c r="LE53" s="865"/>
      <c r="LF53" s="865"/>
      <c r="LG53" s="865"/>
      <c r="LH53" s="865"/>
      <c r="LI53" s="865"/>
      <c r="LJ53" s="865"/>
      <c r="LK53" s="865"/>
      <c r="LL53" s="865"/>
      <c r="LM53" s="865"/>
      <c r="LN53" s="865"/>
      <c r="LO53" s="865"/>
      <c r="LP53" s="865"/>
      <c r="LQ53" s="865"/>
      <c r="LR53" s="865"/>
      <c r="LS53" s="865"/>
      <c r="LT53" s="865"/>
      <c r="LU53" s="865"/>
      <c r="LV53" s="865"/>
      <c r="LW53" s="865"/>
      <c r="LX53" s="865"/>
      <c r="LY53" s="865"/>
      <c r="LZ53" s="865"/>
      <c r="MA53" s="865"/>
      <c r="MB53" s="865"/>
      <c r="MC53" s="865"/>
      <c r="MD53" s="865"/>
      <c r="ME53" s="865"/>
      <c r="MF53" s="865"/>
      <c r="MG53" s="865"/>
      <c r="MH53" s="865"/>
      <c r="MI53" s="865"/>
      <c r="MJ53" s="865"/>
      <c r="MK53" s="865"/>
      <c r="ML53" s="865"/>
      <c r="MM53" s="865"/>
      <c r="MN53" s="865"/>
      <c r="MO53" s="865"/>
      <c r="MP53" s="865"/>
      <c r="MQ53" s="865"/>
      <c r="MR53" s="865"/>
      <c r="MS53" s="865"/>
      <c r="MT53" s="865"/>
      <c r="MU53" s="865"/>
      <c r="MV53" s="865"/>
      <c r="MW53" s="865"/>
      <c r="MX53" s="865"/>
      <c r="MY53" s="865"/>
      <c r="MZ53" s="865"/>
      <c r="NA53" s="865"/>
      <c r="NB53" s="865"/>
      <c r="NC53" s="865"/>
      <c r="ND53" s="865"/>
      <c r="NE53" s="865"/>
      <c r="NF53" s="865"/>
      <c r="NG53" s="865"/>
      <c r="NH53" s="865"/>
      <c r="NI53" s="865"/>
      <c r="NJ53" s="865"/>
      <c r="NK53" s="865"/>
      <c r="NL53" s="865"/>
      <c r="NM53" s="865"/>
      <c r="NN53" s="865"/>
      <c r="NO53" s="865"/>
      <c r="NP53" s="865"/>
      <c r="NQ53" s="865"/>
      <c r="NR53" s="865"/>
      <c r="NS53" s="865"/>
      <c r="NT53" s="865"/>
      <c r="NU53" s="865"/>
      <c r="NV53" s="865"/>
      <c r="NW53" s="865"/>
      <c r="NX53" s="865"/>
      <c r="NY53" s="865"/>
      <c r="NZ53" s="865"/>
      <c r="OA53" s="865"/>
      <c r="OB53" s="865"/>
      <c r="OC53" s="865"/>
      <c r="OD53" s="865"/>
      <c r="OE53" s="865"/>
      <c r="OF53" s="865"/>
      <c r="OG53" s="865"/>
      <c r="OH53" s="865"/>
      <c r="OI53" s="865"/>
      <c r="OJ53" s="865"/>
      <c r="OK53" s="865"/>
      <c r="OL53" s="865"/>
      <c r="OM53" s="865"/>
      <c r="ON53" s="865"/>
      <c r="OO53" s="865"/>
      <c r="OP53" s="865"/>
      <c r="OQ53" s="865"/>
      <c r="OR53" s="865"/>
      <c r="OS53" s="865"/>
      <c r="OT53" s="865"/>
      <c r="OU53" s="865"/>
      <c r="OV53" s="865"/>
      <c r="OW53" s="865"/>
      <c r="OX53" s="865"/>
      <c r="OY53" s="865"/>
      <c r="OZ53" s="865"/>
      <c r="PA53" s="865"/>
      <c r="PB53" s="865"/>
      <c r="PC53" s="865"/>
      <c r="PD53" s="865"/>
      <c r="PE53" s="865"/>
      <c r="PF53" s="865"/>
      <c r="PG53" s="865"/>
      <c r="PH53" s="865"/>
      <c r="PI53" s="865"/>
      <c r="PJ53" s="865"/>
      <c r="PK53" s="865"/>
      <c r="PL53" s="865"/>
      <c r="PM53" s="865"/>
      <c r="PN53" s="865"/>
      <c r="PO53" s="865"/>
      <c r="PP53" s="865"/>
      <c r="PQ53" s="865"/>
      <c r="PR53" s="865"/>
      <c r="PS53" s="865"/>
      <c r="PT53" s="865"/>
      <c r="PU53" s="865"/>
      <c r="PV53" s="865"/>
      <c r="PW53" s="865"/>
      <c r="PX53" s="865"/>
      <c r="PY53" s="865"/>
      <c r="PZ53" s="865"/>
      <c r="QA53" s="865"/>
      <c r="QB53" s="865"/>
      <c r="QC53" s="865"/>
      <c r="QD53" s="865"/>
      <c r="QE53" s="865"/>
      <c r="QF53" s="865"/>
      <c r="QG53" s="865"/>
      <c r="QH53" s="865"/>
      <c r="QI53" s="865"/>
      <c r="QJ53" s="865"/>
      <c r="QK53" s="865"/>
      <c r="QL53" s="865"/>
      <c r="QM53" s="865"/>
      <c r="QN53" s="865"/>
      <c r="QO53" s="865"/>
      <c r="QP53" s="865"/>
      <c r="QQ53" s="865"/>
      <c r="QR53" s="865"/>
      <c r="QS53" s="865"/>
      <c r="QT53" s="865"/>
      <c r="QU53" s="865"/>
      <c r="QV53" s="865"/>
      <c r="QW53" s="865"/>
      <c r="QX53" s="865"/>
      <c r="QY53" s="865"/>
      <c r="QZ53" s="865"/>
      <c r="RA53" s="865"/>
      <c r="RB53" s="865"/>
      <c r="RC53" s="865"/>
      <c r="RD53" s="865"/>
      <c r="RE53" s="865"/>
      <c r="RF53" s="865"/>
      <c r="RG53" s="865"/>
      <c r="RH53" s="865"/>
      <c r="RI53" s="865"/>
      <c r="RJ53" s="865"/>
      <c r="RK53" s="865"/>
      <c r="RL53" s="865"/>
      <c r="RM53" s="865"/>
      <c r="RN53" s="865"/>
      <c r="RO53" s="865"/>
      <c r="RP53" s="865"/>
      <c r="RQ53" s="865"/>
      <c r="RR53" s="865"/>
      <c r="RS53" s="865"/>
      <c r="RT53" s="865"/>
      <c r="RU53" s="865"/>
      <c r="RV53" s="865"/>
      <c r="RW53" s="865"/>
      <c r="RX53" s="865"/>
    </row>
    <row r="54" spans="1:492" s="165" customFormat="1">
      <c r="A54" s="865"/>
      <c r="B54" s="865"/>
      <c r="C54" s="865"/>
      <c r="D54" s="865"/>
      <c r="E54" s="865"/>
      <c r="F54" s="865"/>
      <c r="G54" s="865"/>
      <c r="H54" s="865"/>
      <c r="I54" s="865"/>
      <c r="J54" s="865"/>
      <c r="K54" s="865"/>
      <c r="L54" s="865"/>
      <c r="M54" s="865"/>
      <c r="N54" s="865"/>
      <c r="O54" s="865"/>
      <c r="P54" s="865"/>
      <c r="Q54" s="865"/>
      <c r="R54" s="865"/>
      <c r="S54" s="865"/>
      <c r="T54" s="865"/>
      <c r="U54" s="865"/>
      <c r="V54" s="865"/>
      <c r="W54" s="865"/>
      <c r="X54" s="865"/>
      <c r="Y54" s="865"/>
      <c r="Z54" s="865"/>
      <c r="AA54" s="865"/>
      <c r="AB54" s="865"/>
      <c r="AC54" s="865"/>
      <c r="AD54" s="865"/>
      <c r="AE54" s="865"/>
      <c r="AF54" s="865"/>
      <c r="AG54" s="865"/>
      <c r="AH54" s="865"/>
      <c r="AI54" s="865"/>
      <c r="AJ54" s="865"/>
      <c r="AK54" s="865"/>
      <c r="AL54" s="865"/>
      <c r="AM54" s="850"/>
      <c r="AN54" s="850"/>
      <c r="AO54" s="850"/>
      <c r="AP54" s="850"/>
      <c r="AQ54" s="850"/>
      <c r="AR54" s="850"/>
      <c r="AS54" s="850"/>
      <c r="AT54" s="850"/>
      <c r="AU54" s="850"/>
      <c r="AV54" s="850"/>
      <c r="AW54" s="871"/>
      <c r="AX54" s="871"/>
      <c r="AY54" s="871"/>
      <c r="AZ54" s="871"/>
      <c r="BA54" s="850"/>
      <c r="BB54" s="850"/>
      <c r="BC54" s="850"/>
      <c r="BD54" s="850"/>
      <c r="BE54" s="850"/>
      <c r="BF54" s="850"/>
      <c r="BG54" s="850"/>
      <c r="BH54" s="850"/>
      <c r="BI54" s="850"/>
      <c r="BJ54" s="850"/>
      <c r="BK54" s="850"/>
      <c r="BL54" s="850"/>
      <c r="BM54" s="850"/>
      <c r="BN54" s="850"/>
      <c r="BO54" s="850"/>
      <c r="BP54" s="850"/>
      <c r="BQ54" s="850"/>
      <c r="BR54" s="850"/>
      <c r="BS54" s="850"/>
      <c r="BT54" s="850"/>
      <c r="BU54" s="850"/>
      <c r="BV54" s="865"/>
      <c r="BW54" s="865"/>
      <c r="BX54" s="865"/>
      <c r="BY54" s="865"/>
      <c r="BZ54" s="865"/>
      <c r="CA54" s="865"/>
      <c r="CB54" s="865"/>
      <c r="CC54" s="865"/>
      <c r="CD54" s="865"/>
      <c r="CE54" s="865"/>
      <c r="CF54" s="865"/>
      <c r="CG54" s="865"/>
      <c r="CH54" s="865"/>
      <c r="CI54" s="865"/>
      <c r="CJ54" s="865"/>
      <c r="CK54" s="865"/>
      <c r="CL54" s="865"/>
      <c r="CM54" s="865"/>
      <c r="CN54" s="865"/>
      <c r="CO54" s="865"/>
      <c r="CP54" s="865"/>
      <c r="CQ54" s="865"/>
      <c r="CR54" s="865"/>
      <c r="CS54" s="865"/>
      <c r="CT54" s="865"/>
      <c r="CU54" s="865"/>
      <c r="CV54" s="865"/>
      <c r="CW54" s="865"/>
      <c r="CX54" s="865"/>
      <c r="CY54" s="865"/>
      <c r="CZ54" s="865"/>
      <c r="DA54" s="865"/>
      <c r="DB54" s="865"/>
      <c r="DC54" s="865"/>
      <c r="DD54" s="865"/>
      <c r="DE54" s="865"/>
      <c r="DF54" s="865"/>
      <c r="DG54" s="865"/>
      <c r="DH54" s="865"/>
      <c r="DI54" s="865"/>
      <c r="DJ54" s="865"/>
      <c r="DK54" s="865"/>
      <c r="DL54" s="865"/>
      <c r="DM54" s="865"/>
      <c r="DN54" s="865"/>
      <c r="DO54" s="865"/>
      <c r="DP54" s="865"/>
      <c r="DQ54" s="865"/>
      <c r="DR54" s="865"/>
      <c r="DS54" s="865"/>
      <c r="DT54" s="865"/>
      <c r="DU54" s="865"/>
      <c r="DV54" s="865"/>
      <c r="DW54" s="865"/>
      <c r="DX54" s="865"/>
      <c r="DY54" s="865"/>
      <c r="DZ54" s="865"/>
      <c r="EA54" s="865"/>
      <c r="EB54" s="865"/>
      <c r="EC54" s="865"/>
      <c r="ED54" s="865"/>
      <c r="EE54" s="865"/>
      <c r="EF54" s="865"/>
      <c r="EG54" s="865"/>
      <c r="EH54" s="865"/>
      <c r="EI54" s="865"/>
      <c r="EJ54" s="865"/>
      <c r="EK54" s="865"/>
      <c r="EL54" s="865"/>
      <c r="EM54" s="865"/>
      <c r="EN54" s="865"/>
      <c r="EO54" s="865"/>
      <c r="EP54" s="865"/>
      <c r="EQ54" s="865"/>
      <c r="ER54" s="865"/>
      <c r="ES54" s="865"/>
      <c r="ET54" s="865"/>
      <c r="EU54" s="865"/>
      <c r="EV54" s="865"/>
      <c r="EW54" s="865"/>
      <c r="EX54" s="865"/>
      <c r="EY54" s="865"/>
      <c r="EZ54" s="865"/>
      <c r="FA54" s="865"/>
      <c r="FB54" s="865"/>
      <c r="FC54" s="865"/>
      <c r="FD54" s="865"/>
      <c r="FE54" s="865"/>
      <c r="FF54" s="865"/>
      <c r="FG54" s="865"/>
      <c r="FH54" s="865"/>
      <c r="FI54" s="865"/>
      <c r="FJ54" s="865"/>
      <c r="FK54" s="865"/>
      <c r="FL54" s="865"/>
      <c r="FM54" s="865"/>
      <c r="FN54" s="865"/>
      <c r="FO54" s="865"/>
      <c r="FP54" s="865"/>
      <c r="FQ54" s="865"/>
      <c r="FR54" s="865"/>
      <c r="FS54" s="865"/>
      <c r="FT54" s="865"/>
      <c r="FU54" s="865"/>
      <c r="FV54" s="865"/>
      <c r="FW54" s="865"/>
      <c r="FX54" s="865"/>
      <c r="FY54" s="865"/>
      <c r="FZ54" s="865"/>
      <c r="GA54" s="865"/>
      <c r="GB54" s="865"/>
      <c r="GC54" s="865"/>
      <c r="GD54" s="865"/>
      <c r="GE54" s="865"/>
      <c r="GF54" s="865"/>
      <c r="GG54" s="865"/>
      <c r="GH54" s="865"/>
      <c r="GI54" s="865"/>
      <c r="GJ54" s="865"/>
      <c r="GK54" s="865"/>
      <c r="GL54" s="865"/>
      <c r="GM54" s="865"/>
      <c r="GN54" s="865"/>
      <c r="GO54" s="865"/>
      <c r="GP54" s="865"/>
      <c r="GQ54" s="865"/>
      <c r="GR54" s="865"/>
      <c r="GS54" s="865"/>
      <c r="GT54" s="865"/>
      <c r="GU54" s="865"/>
      <c r="GV54" s="865"/>
      <c r="GW54" s="865"/>
      <c r="GX54" s="865"/>
      <c r="GY54" s="865"/>
      <c r="GZ54" s="865"/>
      <c r="HA54" s="865"/>
      <c r="HB54" s="865"/>
      <c r="HC54" s="865"/>
      <c r="HD54" s="865"/>
      <c r="HE54" s="865"/>
      <c r="HF54" s="865"/>
      <c r="HG54" s="865"/>
      <c r="HH54" s="865"/>
      <c r="HI54" s="865"/>
      <c r="HJ54" s="865"/>
      <c r="HK54" s="865"/>
      <c r="HL54" s="865"/>
      <c r="HM54" s="865"/>
      <c r="HN54" s="865"/>
      <c r="HO54" s="865"/>
      <c r="HP54" s="865"/>
      <c r="HQ54" s="865"/>
      <c r="HR54" s="865"/>
      <c r="HS54" s="865"/>
      <c r="HT54" s="865"/>
      <c r="HU54" s="865"/>
      <c r="HV54" s="865"/>
      <c r="HW54" s="865"/>
      <c r="HX54" s="865"/>
      <c r="HY54" s="865"/>
      <c r="HZ54" s="865"/>
      <c r="IA54" s="865"/>
      <c r="IB54" s="865"/>
      <c r="IC54" s="865"/>
      <c r="ID54" s="865"/>
      <c r="IE54" s="865"/>
      <c r="IF54" s="865"/>
      <c r="IG54" s="865"/>
      <c r="IH54" s="865"/>
      <c r="II54" s="865"/>
      <c r="IJ54" s="865"/>
      <c r="IK54" s="865"/>
      <c r="IL54" s="865"/>
      <c r="IM54" s="865"/>
      <c r="IN54" s="865"/>
      <c r="IO54" s="865"/>
      <c r="IP54" s="865"/>
      <c r="IQ54" s="865"/>
      <c r="IR54" s="865"/>
      <c r="IS54" s="865"/>
      <c r="IT54" s="865"/>
      <c r="IU54" s="865"/>
      <c r="IV54" s="865"/>
      <c r="IW54" s="865"/>
      <c r="IX54" s="865"/>
      <c r="IY54" s="865"/>
      <c r="IZ54" s="865"/>
      <c r="JA54" s="865"/>
      <c r="JB54" s="865"/>
      <c r="JC54" s="865"/>
      <c r="JD54" s="865"/>
      <c r="JE54" s="865"/>
      <c r="JF54" s="865"/>
      <c r="JG54" s="865"/>
      <c r="JH54" s="865"/>
      <c r="JI54" s="865"/>
      <c r="JJ54" s="865"/>
      <c r="JK54" s="865"/>
      <c r="JL54" s="865"/>
      <c r="JM54" s="865"/>
      <c r="JN54" s="865"/>
      <c r="JO54" s="865"/>
      <c r="JP54" s="865"/>
      <c r="JQ54" s="865"/>
      <c r="JR54" s="865"/>
      <c r="JS54" s="865"/>
      <c r="JT54" s="865"/>
      <c r="JU54" s="865"/>
      <c r="JV54" s="865"/>
      <c r="JW54" s="865"/>
      <c r="JX54" s="865"/>
      <c r="JY54" s="865"/>
      <c r="JZ54" s="865"/>
      <c r="KA54" s="865"/>
      <c r="KB54" s="865"/>
      <c r="KC54" s="865"/>
      <c r="KD54" s="865"/>
      <c r="KE54" s="865"/>
      <c r="KF54" s="865"/>
      <c r="KG54" s="865"/>
      <c r="KH54" s="865"/>
      <c r="KI54" s="865"/>
      <c r="KJ54" s="865"/>
      <c r="KK54" s="865"/>
      <c r="KL54" s="865"/>
      <c r="KM54" s="865"/>
      <c r="KN54" s="865"/>
      <c r="KO54" s="865"/>
      <c r="KP54" s="865"/>
      <c r="KQ54" s="865"/>
      <c r="KR54" s="865"/>
      <c r="KS54" s="865"/>
      <c r="KT54" s="865"/>
      <c r="KU54" s="865"/>
      <c r="KV54" s="865"/>
      <c r="KW54" s="865"/>
      <c r="KX54" s="865"/>
      <c r="KY54" s="865"/>
      <c r="KZ54" s="865"/>
      <c r="LA54" s="865"/>
      <c r="LB54" s="865"/>
      <c r="LC54" s="865"/>
      <c r="LD54" s="865"/>
      <c r="LE54" s="865"/>
      <c r="LF54" s="865"/>
      <c r="LG54" s="865"/>
      <c r="LH54" s="865"/>
      <c r="LI54" s="865"/>
      <c r="LJ54" s="865"/>
      <c r="LK54" s="865"/>
      <c r="LL54" s="865"/>
      <c r="LM54" s="865"/>
      <c r="LN54" s="865"/>
      <c r="LO54" s="865"/>
      <c r="LP54" s="865"/>
      <c r="LQ54" s="865"/>
      <c r="LR54" s="865"/>
      <c r="LS54" s="865"/>
      <c r="LT54" s="865"/>
      <c r="LU54" s="865"/>
      <c r="LV54" s="865"/>
      <c r="LW54" s="865"/>
      <c r="LX54" s="865"/>
      <c r="LY54" s="865"/>
      <c r="LZ54" s="865"/>
      <c r="MA54" s="865"/>
      <c r="MB54" s="865"/>
      <c r="MC54" s="865"/>
      <c r="MD54" s="865"/>
      <c r="ME54" s="865"/>
      <c r="MF54" s="865"/>
      <c r="MG54" s="865"/>
      <c r="MH54" s="865"/>
      <c r="MI54" s="865"/>
      <c r="MJ54" s="865"/>
      <c r="MK54" s="865"/>
      <c r="ML54" s="865"/>
      <c r="MM54" s="865"/>
      <c r="MN54" s="865"/>
      <c r="MO54" s="865"/>
      <c r="MP54" s="865"/>
      <c r="MQ54" s="865"/>
      <c r="MR54" s="865"/>
      <c r="MS54" s="865"/>
      <c r="MT54" s="865"/>
      <c r="MU54" s="865"/>
      <c r="MV54" s="865"/>
      <c r="MW54" s="865"/>
      <c r="MX54" s="865"/>
      <c r="MY54" s="865"/>
      <c r="MZ54" s="865"/>
      <c r="NA54" s="865"/>
      <c r="NB54" s="865"/>
      <c r="NC54" s="865"/>
      <c r="ND54" s="865"/>
      <c r="NE54" s="865"/>
      <c r="NF54" s="865"/>
      <c r="NG54" s="865"/>
      <c r="NH54" s="865"/>
      <c r="NI54" s="865"/>
      <c r="NJ54" s="865"/>
      <c r="NK54" s="865"/>
      <c r="NL54" s="865"/>
      <c r="NM54" s="865"/>
      <c r="NN54" s="865"/>
      <c r="NO54" s="865"/>
      <c r="NP54" s="865"/>
      <c r="NQ54" s="865"/>
      <c r="NR54" s="865"/>
      <c r="NS54" s="865"/>
      <c r="NT54" s="865"/>
      <c r="NU54" s="865"/>
      <c r="NV54" s="865"/>
      <c r="NW54" s="865"/>
      <c r="NX54" s="865"/>
      <c r="NY54" s="865"/>
      <c r="NZ54" s="865"/>
      <c r="OA54" s="865"/>
      <c r="OB54" s="865"/>
      <c r="OC54" s="865"/>
      <c r="OD54" s="865"/>
      <c r="OE54" s="865"/>
      <c r="OF54" s="865"/>
      <c r="OG54" s="865"/>
      <c r="OH54" s="865"/>
      <c r="OI54" s="865"/>
      <c r="OJ54" s="865"/>
      <c r="OK54" s="865"/>
      <c r="OL54" s="865"/>
      <c r="OM54" s="865"/>
      <c r="ON54" s="865"/>
      <c r="OO54" s="865"/>
      <c r="OP54" s="865"/>
      <c r="OQ54" s="865"/>
      <c r="OR54" s="865"/>
      <c r="OS54" s="865"/>
      <c r="OT54" s="865"/>
      <c r="OU54" s="865"/>
      <c r="OV54" s="865"/>
      <c r="OW54" s="865"/>
      <c r="OX54" s="865"/>
      <c r="OY54" s="865"/>
      <c r="OZ54" s="865"/>
      <c r="PA54" s="865"/>
      <c r="PB54" s="865"/>
      <c r="PC54" s="865"/>
      <c r="PD54" s="865"/>
      <c r="PE54" s="865"/>
      <c r="PF54" s="865"/>
      <c r="PG54" s="865"/>
      <c r="PH54" s="865"/>
      <c r="PI54" s="865"/>
      <c r="PJ54" s="865"/>
      <c r="PK54" s="865"/>
      <c r="PL54" s="865"/>
      <c r="PM54" s="865"/>
      <c r="PN54" s="865"/>
      <c r="PO54" s="865"/>
      <c r="PP54" s="865"/>
      <c r="PQ54" s="865"/>
      <c r="PR54" s="865"/>
      <c r="PS54" s="865"/>
      <c r="PT54" s="865"/>
      <c r="PU54" s="865"/>
      <c r="PV54" s="865"/>
      <c r="PW54" s="865"/>
      <c r="PX54" s="865"/>
      <c r="PY54" s="865"/>
      <c r="PZ54" s="865"/>
      <c r="QA54" s="865"/>
      <c r="QB54" s="865"/>
      <c r="QC54" s="865"/>
      <c r="QD54" s="865"/>
      <c r="QE54" s="865"/>
      <c r="QF54" s="865"/>
      <c r="QG54" s="865"/>
      <c r="QH54" s="865"/>
      <c r="QI54" s="865"/>
      <c r="QJ54" s="865"/>
      <c r="QK54" s="865"/>
      <c r="QL54" s="865"/>
      <c r="QM54" s="865"/>
      <c r="QN54" s="865"/>
      <c r="QO54" s="865"/>
      <c r="QP54" s="865"/>
      <c r="QQ54" s="865"/>
      <c r="QR54" s="865"/>
      <c r="QS54" s="865"/>
      <c r="QT54" s="865"/>
      <c r="QU54" s="865"/>
      <c r="QV54" s="865"/>
      <c r="QW54" s="865"/>
      <c r="QX54" s="865"/>
      <c r="QY54" s="865"/>
      <c r="QZ54" s="865"/>
      <c r="RA54" s="865"/>
      <c r="RB54" s="865"/>
      <c r="RC54" s="865"/>
      <c r="RD54" s="865"/>
      <c r="RE54" s="865"/>
      <c r="RF54" s="865"/>
      <c r="RG54" s="865"/>
      <c r="RH54" s="865"/>
      <c r="RI54" s="865"/>
      <c r="RJ54" s="865"/>
      <c r="RK54" s="865"/>
      <c r="RL54" s="865"/>
      <c r="RM54" s="865"/>
      <c r="RN54" s="865"/>
      <c r="RO54" s="865"/>
      <c r="RP54" s="865"/>
      <c r="RQ54" s="865"/>
      <c r="RR54" s="865"/>
      <c r="RS54" s="865"/>
      <c r="RT54" s="865"/>
      <c r="RU54" s="865"/>
      <c r="RV54" s="865"/>
      <c r="RW54" s="865"/>
      <c r="RX54" s="865"/>
    </row>
    <row r="55" spans="1:492" s="165" customFormat="1">
      <c r="A55" s="865"/>
      <c r="B55" s="865"/>
      <c r="C55" s="865"/>
      <c r="D55" s="865"/>
      <c r="E55" s="865"/>
      <c r="F55" s="865"/>
      <c r="G55" s="865"/>
      <c r="H55" s="865"/>
      <c r="I55" s="865"/>
      <c r="J55" s="865"/>
      <c r="K55" s="865"/>
      <c r="L55" s="865"/>
      <c r="M55" s="865"/>
      <c r="N55" s="865"/>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5"/>
      <c r="AL55" s="865"/>
      <c r="AM55" s="850"/>
      <c r="AN55" s="850"/>
      <c r="AO55" s="850"/>
      <c r="AP55" s="850"/>
      <c r="AQ55" s="850"/>
      <c r="AR55" s="850"/>
      <c r="AS55" s="850"/>
      <c r="AT55" s="850"/>
      <c r="AU55" s="850"/>
      <c r="AV55" s="850"/>
      <c r="AW55" s="871"/>
      <c r="AX55" s="871"/>
      <c r="AY55" s="871"/>
      <c r="AZ55" s="871"/>
      <c r="BA55" s="850"/>
      <c r="BB55" s="850"/>
      <c r="BC55" s="850"/>
      <c r="BD55" s="850"/>
      <c r="BE55" s="850"/>
      <c r="BF55" s="850"/>
      <c r="BG55" s="850"/>
      <c r="BH55" s="850"/>
      <c r="BI55" s="850"/>
      <c r="BJ55" s="850"/>
      <c r="BK55" s="850"/>
      <c r="BL55" s="850"/>
      <c r="BM55" s="850"/>
      <c r="BN55" s="850"/>
      <c r="BO55" s="850"/>
      <c r="BP55" s="850"/>
      <c r="BQ55" s="850"/>
      <c r="BR55" s="850"/>
      <c r="BS55" s="850"/>
      <c r="BT55" s="850"/>
      <c r="BU55" s="850"/>
      <c r="BV55" s="865"/>
      <c r="BW55" s="865"/>
      <c r="BX55" s="865"/>
      <c r="BY55" s="865"/>
      <c r="BZ55" s="865"/>
      <c r="CA55" s="865"/>
      <c r="CB55" s="865"/>
      <c r="CC55" s="865"/>
      <c r="CD55" s="865"/>
      <c r="CE55" s="865"/>
      <c r="CF55" s="865"/>
      <c r="CG55" s="865"/>
      <c r="CH55" s="865"/>
      <c r="CI55" s="865"/>
      <c r="CJ55" s="865"/>
      <c r="CK55" s="865"/>
      <c r="CL55" s="865"/>
      <c r="CM55" s="865"/>
      <c r="CN55" s="865"/>
      <c r="CO55" s="865"/>
      <c r="CP55" s="865"/>
      <c r="CQ55" s="865"/>
      <c r="CR55" s="865"/>
      <c r="CS55" s="865"/>
      <c r="CT55" s="865"/>
      <c r="CU55" s="865"/>
      <c r="CV55" s="865"/>
      <c r="CW55" s="865"/>
      <c r="CX55" s="865"/>
      <c r="CY55" s="865"/>
      <c r="CZ55" s="865"/>
      <c r="DA55" s="865"/>
      <c r="DB55" s="865"/>
      <c r="DC55" s="865"/>
      <c r="DD55" s="865"/>
      <c r="DE55" s="865"/>
      <c r="DF55" s="865"/>
      <c r="DG55" s="865"/>
      <c r="DH55" s="865"/>
      <c r="DI55" s="865"/>
      <c r="DJ55" s="865"/>
      <c r="DK55" s="865"/>
      <c r="DL55" s="865"/>
      <c r="DM55" s="865"/>
      <c r="DN55" s="865"/>
      <c r="DO55" s="865"/>
      <c r="DP55" s="865"/>
      <c r="DQ55" s="865"/>
      <c r="DR55" s="865"/>
      <c r="DS55" s="865"/>
      <c r="DT55" s="865"/>
      <c r="DU55" s="865"/>
      <c r="DV55" s="865"/>
      <c r="DW55" s="865"/>
      <c r="DX55" s="865"/>
      <c r="DY55" s="865"/>
      <c r="DZ55" s="865"/>
      <c r="EA55" s="865"/>
      <c r="EB55" s="865"/>
      <c r="EC55" s="865"/>
      <c r="ED55" s="865"/>
      <c r="EE55" s="865"/>
      <c r="EF55" s="865"/>
      <c r="EG55" s="865"/>
      <c r="EH55" s="865"/>
      <c r="EI55" s="865"/>
      <c r="EJ55" s="865"/>
      <c r="EK55" s="865"/>
      <c r="EL55" s="865"/>
      <c r="EM55" s="865"/>
      <c r="EN55" s="865"/>
      <c r="EO55" s="865"/>
      <c r="EP55" s="865"/>
      <c r="EQ55" s="865"/>
      <c r="ER55" s="865"/>
      <c r="ES55" s="865"/>
      <c r="ET55" s="865"/>
      <c r="EU55" s="865"/>
      <c r="EV55" s="865"/>
      <c r="EW55" s="865"/>
      <c r="EX55" s="865"/>
      <c r="EY55" s="865"/>
      <c r="EZ55" s="865"/>
      <c r="FA55" s="865"/>
      <c r="FB55" s="865"/>
      <c r="FC55" s="865"/>
      <c r="FD55" s="865"/>
      <c r="FE55" s="865"/>
      <c r="FF55" s="865"/>
      <c r="FG55" s="865"/>
      <c r="FH55" s="865"/>
      <c r="FI55" s="865"/>
      <c r="FJ55" s="865"/>
      <c r="FK55" s="865"/>
      <c r="FL55" s="865"/>
      <c r="FM55" s="865"/>
      <c r="FN55" s="865"/>
      <c r="FO55" s="865"/>
      <c r="FP55" s="865"/>
      <c r="FQ55" s="865"/>
      <c r="FR55" s="865"/>
      <c r="FS55" s="865"/>
      <c r="FT55" s="865"/>
      <c r="FU55" s="865"/>
      <c r="FV55" s="865"/>
      <c r="FW55" s="865"/>
      <c r="FX55" s="865"/>
      <c r="FY55" s="865"/>
      <c r="FZ55" s="865"/>
      <c r="GA55" s="865"/>
      <c r="GB55" s="865"/>
      <c r="GC55" s="865"/>
      <c r="GD55" s="865"/>
      <c r="GE55" s="865"/>
      <c r="GF55" s="865"/>
      <c r="GG55" s="865"/>
      <c r="GH55" s="865"/>
      <c r="GI55" s="865"/>
      <c r="GJ55" s="865"/>
      <c r="GK55" s="865"/>
      <c r="GL55" s="865"/>
      <c r="GM55" s="865"/>
      <c r="GN55" s="865"/>
      <c r="GO55" s="865"/>
      <c r="GP55" s="865"/>
      <c r="GQ55" s="865"/>
      <c r="GR55" s="865"/>
      <c r="GS55" s="865"/>
      <c r="GT55" s="865"/>
      <c r="GU55" s="865"/>
      <c r="GV55" s="865"/>
      <c r="GW55" s="865"/>
      <c r="GX55" s="865"/>
      <c r="GY55" s="865"/>
      <c r="GZ55" s="865"/>
      <c r="HA55" s="865"/>
      <c r="HB55" s="865"/>
      <c r="HC55" s="865"/>
      <c r="HD55" s="865"/>
      <c r="HE55" s="865"/>
      <c r="HF55" s="865"/>
      <c r="HG55" s="865"/>
      <c r="HH55" s="865"/>
      <c r="HI55" s="865"/>
      <c r="HJ55" s="865"/>
      <c r="HK55" s="865"/>
      <c r="HL55" s="865"/>
      <c r="HM55" s="865"/>
      <c r="HN55" s="865"/>
      <c r="HO55" s="865"/>
      <c r="HP55" s="865"/>
      <c r="HQ55" s="865"/>
      <c r="HR55" s="865"/>
      <c r="HS55" s="865"/>
      <c r="HT55" s="865"/>
      <c r="HU55" s="865"/>
      <c r="HV55" s="865"/>
      <c r="HW55" s="865"/>
      <c r="HX55" s="865"/>
      <c r="HY55" s="865"/>
      <c r="HZ55" s="865"/>
      <c r="IA55" s="865"/>
      <c r="IB55" s="865"/>
      <c r="IC55" s="865"/>
      <c r="ID55" s="865"/>
      <c r="IE55" s="865"/>
      <c r="IF55" s="865"/>
      <c r="IG55" s="865"/>
      <c r="IH55" s="865"/>
      <c r="II55" s="865"/>
      <c r="IJ55" s="865"/>
      <c r="IK55" s="865"/>
      <c r="IL55" s="865"/>
      <c r="IM55" s="865"/>
      <c r="IN55" s="865"/>
      <c r="IO55" s="865"/>
      <c r="IP55" s="865"/>
      <c r="IQ55" s="865"/>
      <c r="IR55" s="865"/>
      <c r="IS55" s="865"/>
      <c r="IT55" s="865"/>
      <c r="IU55" s="865"/>
      <c r="IV55" s="865"/>
      <c r="IW55" s="865"/>
      <c r="IX55" s="865"/>
      <c r="IY55" s="865"/>
      <c r="IZ55" s="865"/>
      <c r="JA55" s="865"/>
      <c r="JB55" s="865"/>
      <c r="JC55" s="865"/>
      <c r="JD55" s="865"/>
      <c r="JE55" s="865"/>
      <c r="JF55" s="865"/>
      <c r="JG55" s="865"/>
      <c r="JH55" s="865"/>
      <c r="JI55" s="865"/>
      <c r="JJ55" s="865"/>
      <c r="JK55" s="865"/>
      <c r="JL55" s="865"/>
      <c r="JM55" s="865"/>
      <c r="JN55" s="865"/>
      <c r="JO55" s="865"/>
      <c r="JP55" s="865"/>
      <c r="JQ55" s="865"/>
      <c r="JR55" s="865"/>
      <c r="JS55" s="865"/>
      <c r="JT55" s="865"/>
      <c r="JU55" s="865"/>
      <c r="JV55" s="865"/>
      <c r="JW55" s="865"/>
      <c r="JX55" s="865"/>
      <c r="JY55" s="865"/>
      <c r="JZ55" s="865"/>
      <c r="KA55" s="865"/>
      <c r="KB55" s="865"/>
      <c r="KC55" s="865"/>
      <c r="KD55" s="865"/>
      <c r="KE55" s="865"/>
      <c r="KF55" s="865"/>
      <c r="KG55" s="865"/>
      <c r="KH55" s="865"/>
      <c r="KI55" s="865"/>
      <c r="KJ55" s="865"/>
      <c r="KK55" s="865"/>
      <c r="KL55" s="865"/>
      <c r="KM55" s="865"/>
      <c r="KN55" s="865"/>
      <c r="KO55" s="865"/>
      <c r="KP55" s="865"/>
      <c r="KQ55" s="865"/>
      <c r="KR55" s="865"/>
      <c r="KS55" s="865"/>
      <c r="KT55" s="865"/>
      <c r="KU55" s="865"/>
      <c r="KV55" s="865"/>
      <c r="KW55" s="865"/>
      <c r="KX55" s="865"/>
      <c r="KY55" s="865"/>
      <c r="KZ55" s="865"/>
      <c r="LA55" s="865"/>
      <c r="LB55" s="865"/>
      <c r="LC55" s="865"/>
      <c r="LD55" s="865"/>
      <c r="LE55" s="865"/>
      <c r="LF55" s="865"/>
      <c r="LG55" s="865"/>
      <c r="LH55" s="865"/>
      <c r="LI55" s="865"/>
      <c r="LJ55" s="865"/>
      <c r="LK55" s="865"/>
      <c r="LL55" s="865"/>
      <c r="LM55" s="865"/>
      <c r="LN55" s="865"/>
      <c r="LO55" s="865"/>
      <c r="LP55" s="865"/>
      <c r="LQ55" s="865"/>
      <c r="LR55" s="865"/>
      <c r="LS55" s="865"/>
      <c r="LT55" s="865"/>
      <c r="LU55" s="865"/>
      <c r="LV55" s="865"/>
      <c r="LW55" s="865"/>
      <c r="LX55" s="865"/>
      <c r="LY55" s="865"/>
      <c r="LZ55" s="865"/>
      <c r="MA55" s="865"/>
      <c r="MB55" s="865"/>
      <c r="MC55" s="865"/>
      <c r="MD55" s="865"/>
      <c r="ME55" s="865"/>
      <c r="MF55" s="865"/>
      <c r="MG55" s="865"/>
      <c r="MH55" s="865"/>
      <c r="MI55" s="865"/>
      <c r="MJ55" s="865"/>
      <c r="MK55" s="865"/>
      <c r="ML55" s="865"/>
      <c r="MM55" s="865"/>
      <c r="MN55" s="865"/>
      <c r="MO55" s="865"/>
      <c r="MP55" s="865"/>
      <c r="MQ55" s="865"/>
      <c r="MR55" s="865"/>
      <c r="MS55" s="865"/>
      <c r="MT55" s="865"/>
      <c r="MU55" s="865"/>
      <c r="MV55" s="865"/>
      <c r="MW55" s="865"/>
      <c r="MX55" s="865"/>
      <c r="MY55" s="865"/>
      <c r="MZ55" s="865"/>
      <c r="NA55" s="865"/>
      <c r="NB55" s="865"/>
      <c r="NC55" s="865"/>
      <c r="ND55" s="865"/>
      <c r="NE55" s="865"/>
      <c r="NF55" s="865"/>
      <c r="NG55" s="865"/>
      <c r="NH55" s="865"/>
      <c r="NI55" s="865"/>
      <c r="NJ55" s="865"/>
      <c r="NK55" s="865"/>
      <c r="NL55" s="865"/>
      <c r="NM55" s="865"/>
      <c r="NN55" s="865"/>
      <c r="NO55" s="865"/>
      <c r="NP55" s="865"/>
      <c r="NQ55" s="865"/>
      <c r="NR55" s="865"/>
      <c r="NS55" s="865"/>
      <c r="NT55" s="865"/>
      <c r="NU55" s="865"/>
      <c r="NV55" s="865"/>
      <c r="NW55" s="865"/>
      <c r="NX55" s="865"/>
      <c r="NY55" s="865"/>
      <c r="NZ55" s="865"/>
      <c r="OA55" s="865"/>
      <c r="OB55" s="865"/>
      <c r="OC55" s="865"/>
      <c r="OD55" s="865"/>
      <c r="OE55" s="865"/>
      <c r="OF55" s="865"/>
      <c r="OG55" s="865"/>
      <c r="OH55" s="865"/>
      <c r="OI55" s="865"/>
      <c r="OJ55" s="865"/>
      <c r="OK55" s="865"/>
      <c r="OL55" s="865"/>
      <c r="OM55" s="865"/>
      <c r="ON55" s="865"/>
      <c r="OO55" s="865"/>
      <c r="OP55" s="865"/>
      <c r="OQ55" s="865"/>
      <c r="OR55" s="865"/>
      <c r="OS55" s="865"/>
      <c r="OT55" s="865"/>
      <c r="OU55" s="865"/>
      <c r="OV55" s="865"/>
      <c r="OW55" s="865"/>
      <c r="OX55" s="865"/>
      <c r="OY55" s="865"/>
      <c r="OZ55" s="865"/>
      <c r="PA55" s="865"/>
      <c r="PB55" s="865"/>
      <c r="PC55" s="865"/>
      <c r="PD55" s="865"/>
      <c r="PE55" s="865"/>
      <c r="PF55" s="865"/>
      <c r="PG55" s="865"/>
      <c r="PH55" s="865"/>
      <c r="PI55" s="865"/>
      <c r="PJ55" s="865"/>
      <c r="PK55" s="865"/>
      <c r="PL55" s="865"/>
      <c r="PM55" s="865"/>
      <c r="PN55" s="865"/>
      <c r="PO55" s="865"/>
      <c r="PP55" s="865"/>
      <c r="PQ55" s="865"/>
      <c r="PR55" s="865"/>
      <c r="PS55" s="865"/>
      <c r="PT55" s="865"/>
      <c r="PU55" s="865"/>
      <c r="PV55" s="865"/>
      <c r="PW55" s="865"/>
      <c r="PX55" s="865"/>
      <c r="PY55" s="865"/>
      <c r="PZ55" s="865"/>
      <c r="QA55" s="865"/>
      <c r="QB55" s="865"/>
      <c r="QC55" s="865"/>
      <c r="QD55" s="865"/>
      <c r="QE55" s="865"/>
      <c r="QF55" s="865"/>
      <c r="QG55" s="865"/>
      <c r="QH55" s="865"/>
      <c r="QI55" s="865"/>
      <c r="QJ55" s="865"/>
      <c r="QK55" s="865"/>
      <c r="QL55" s="865"/>
      <c r="QM55" s="865"/>
      <c r="QN55" s="865"/>
      <c r="QO55" s="865"/>
      <c r="QP55" s="865"/>
      <c r="QQ55" s="865"/>
      <c r="QR55" s="865"/>
      <c r="QS55" s="865"/>
      <c r="QT55" s="865"/>
      <c r="QU55" s="865"/>
      <c r="QV55" s="865"/>
      <c r="QW55" s="865"/>
      <c r="QX55" s="865"/>
      <c r="QY55" s="865"/>
      <c r="QZ55" s="865"/>
      <c r="RA55" s="865"/>
      <c r="RB55" s="865"/>
      <c r="RC55" s="865"/>
      <c r="RD55" s="865"/>
      <c r="RE55" s="865"/>
      <c r="RF55" s="865"/>
      <c r="RG55" s="865"/>
      <c r="RH55" s="865"/>
      <c r="RI55" s="865"/>
      <c r="RJ55" s="865"/>
      <c r="RK55" s="865"/>
      <c r="RL55" s="865"/>
      <c r="RM55" s="865"/>
      <c r="RN55" s="865"/>
      <c r="RO55" s="865"/>
      <c r="RP55" s="865"/>
      <c r="RQ55" s="865"/>
      <c r="RR55" s="865"/>
      <c r="RS55" s="865"/>
      <c r="RT55" s="865"/>
      <c r="RU55" s="865"/>
      <c r="RV55" s="865"/>
      <c r="RW55" s="865"/>
      <c r="RX55" s="865"/>
    </row>
    <row r="56" spans="1:492" s="165" customFormat="1">
      <c r="A56" s="865"/>
      <c r="B56" s="865"/>
      <c r="C56" s="865"/>
      <c r="D56" s="865"/>
      <c r="E56" s="865"/>
      <c r="F56" s="865"/>
      <c r="G56" s="865"/>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50"/>
      <c r="AN56" s="850"/>
      <c r="AO56" s="850"/>
      <c r="AP56" s="850"/>
      <c r="AQ56" s="850"/>
      <c r="AR56" s="850"/>
      <c r="AS56" s="850"/>
      <c r="AT56" s="850"/>
      <c r="AU56" s="850"/>
      <c r="AV56" s="850"/>
      <c r="AW56" s="871"/>
      <c r="AX56" s="871"/>
      <c r="AY56" s="871"/>
      <c r="AZ56" s="871"/>
      <c r="BA56" s="850"/>
      <c r="BB56" s="850"/>
      <c r="BC56" s="850"/>
      <c r="BD56" s="850"/>
      <c r="BE56" s="850"/>
      <c r="BF56" s="850"/>
      <c r="BG56" s="850"/>
      <c r="BH56" s="850"/>
      <c r="BI56" s="850"/>
      <c r="BJ56" s="850"/>
      <c r="BK56" s="850"/>
      <c r="BL56" s="850"/>
      <c r="BM56" s="850"/>
      <c r="BN56" s="850"/>
      <c r="BO56" s="850"/>
      <c r="BP56" s="850"/>
      <c r="BQ56" s="850"/>
      <c r="BR56" s="850"/>
      <c r="BS56" s="850"/>
      <c r="BT56" s="850"/>
      <c r="BU56" s="850"/>
      <c r="BV56" s="865"/>
      <c r="BW56" s="865"/>
      <c r="BX56" s="865"/>
      <c r="BY56" s="865"/>
      <c r="BZ56" s="865"/>
      <c r="CA56" s="865"/>
      <c r="CB56" s="865"/>
      <c r="CC56" s="865"/>
      <c r="CD56" s="865"/>
      <c r="CE56" s="865"/>
      <c r="CF56" s="865"/>
      <c r="CG56" s="865"/>
      <c r="CH56" s="865"/>
      <c r="CI56" s="865"/>
      <c r="CJ56" s="865"/>
      <c r="CK56" s="865"/>
      <c r="CL56" s="865"/>
      <c r="CM56" s="865"/>
      <c r="CN56" s="865"/>
      <c r="CO56" s="865"/>
      <c r="CP56" s="865"/>
      <c r="CQ56" s="865"/>
      <c r="CR56" s="865"/>
      <c r="CS56" s="865"/>
      <c r="CT56" s="865"/>
      <c r="CU56" s="865"/>
      <c r="CV56" s="865"/>
      <c r="CW56" s="865"/>
      <c r="CX56" s="865"/>
      <c r="CY56" s="865"/>
      <c r="CZ56" s="865"/>
      <c r="DA56" s="865"/>
      <c r="DB56" s="865"/>
      <c r="DC56" s="865"/>
      <c r="DD56" s="865"/>
      <c r="DE56" s="865"/>
      <c r="DF56" s="865"/>
      <c r="DG56" s="865"/>
      <c r="DH56" s="865"/>
      <c r="DI56" s="865"/>
      <c r="DJ56" s="865"/>
      <c r="DK56" s="865"/>
      <c r="DL56" s="865"/>
      <c r="DM56" s="865"/>
      <c r="DN56" s="865"/>
      <c r="DO56" s="865"/>
      <c r="DP56" s="865"/>
      <c r="DQ56" s="865"/>
      <c r="DR56" s="865"/>
      <c r="DS56" s="865"/>
      <c r="DT56" s="865"/>
      <c r="DU56" s="865"/>
      <c r="DV56" s="865"/>
      <c r="DW56" s="865"/>
      <c r="DX56" s="865"/>
      <c r="DY56" s="865"/>
      <c r="DZ56" s="865"/>
      <c r="EA56" s="865"/>
      <c r="EB56" s="865"/>
      <c r="EC56" s="865"/>
      <c r="ED56" s="865"/>
      <c r="EE56" s="865"/>
      <c r="EF56" s="865"/>
      <c r="EG56" s="865"/>
      <c r="EH56" s="865"/>
      <c r="EI56" s="865"/>
      <c r="EJ56" s="865"/>
      <c r="EK56" s="865"/>
      <c r="EL56" s="865"/>
      <c r="EM56" s="865"/>
      <c r="EN56" s="865"/>
      <c r="EO56" s="865"/>
      <c r="EP56" s="865"/>
      <c r="EQ56" s="865"/>
      <c r="ER56" s="865"/>
      <c r="ES56" s="865"/>
      <c r="ET56" s="865"/>
      <c r="EU56" s="865"/>
      <c r="EV56" s="865"/>
      <c r="EW56" s="865"/>
      <c r="EX56" s="865"/>
      <c r="EY56" s="865"/>
      <c r="EZ56" s="865"/>
      <c r="FA56" s="865"/>
      <c r="FB56" s="865"/>
      <c r="FC56" s="865"/>
      <c r="FD56" s="865"/>
      <c r="FE56" s="865"/>
      <c r="FF56" s="865"/>
      <c r="FG56" s="865"/>
      <c r="FH56" s="865"/>
      <c r="FI56" s="865"/>
      <c r="FJ56" s="865"/>
      <c r="FK56" s="865"/>
      <c r="FL56" s="865"/>
      <c r="FM56" s="865"/>
      <c r="FN56" s="865"/>
      <c r="FO56" s="865"/>
      <c r="FP56" s="865"/>
      <c r="FQ56" s="865"/>
      <c r="FR56" s="865"/>
      <c r="FS56" s="865"/>
      <c r="FT56" s="865"/>
      <c r="FU56" s="865"/>
      <c r="FV56" s="865"/>
      <c r="FW56" s="865"/>
      <c r="FX56" s="865"/>
      <c r="FY56" s="865"/>
      <c r="FZ56" s="865"/>
      <c r="GA56" s="865"/>
      <c r="GB56" s="865"/>
      <c r="GC56" s="865"/>
      <c r="GD56" s="865"/>
      <c r="GE56" s="865"/>
      <c r="GF56" s="865"/>
      <c r="GG56" s="865"/>
      <c r="GH56" s="865"/>
      <c r="GI56" s="865"/>
      <c r="GJ56" s="865"/>
      <c r="GK56" s="865"/>
      <c r="GL56" s="865"/>
      <c r="GM56" s="865"/>
      <c r="GN56" s="865"/>
      <c r="GO56" s="865"/>
      <c r="GP56" s="865"/>
      <c r="GQ56" s="865"/>
      <c r="GR56" s="865"/>
      <c r="GS56" s="865"/>
      <c r="GT56" s="865"/>
      <c r="GU56" s="865"/>
      <c r="GV56" s="865"/>
      <c r="GW56" s="865"/>
      <c r="GX56" s="865"/>
      <c r="GY56" s="865"/>
      <c r="GZ56" s="865"/>
      <c r="HA56" s="865"/>
      <c r="HB56" s="865"/>
      <c r="HC56" s="865"/>
      <c r="HD56" s="865"/>
      <c r="HE56" s="865"/>
      <c r="HF56" s="865"/>
      <c r="HG56" s="865"/>
      <c r="HH56" s="865"/>
      <c r="HI56" s="865"/>
      <c r="HJ56" s="865"/>
      <c r="HK56" s="865"/>
      <c r="HL56" s="865"/>
      <c r="HM56" s="865"/>
      <c r="HN56" s="865"/>
      <c r="HO56" s="865"/>
      <c r="HP56" s="865"/>
      <c r="HQ56" s="865"/>
      <c r="HR56" s="865"/>
      <c r="HS56" s="865"/>
      <c r="HT56" s="865"/>
      <c r="HU56" s="865"/>
      <c r="HV56" s="865"/>
      <c r="HW56" s="865"/>
      <c r="HX56" s="865"/>
      <c r="HY56" s="865"/>
      <c r="HZ56" s="865"/>
      <c r="IA56" s="865"/>
      <c r="IB56" s="865"/>
      <c r="IC56" s="865"/>
      <c r="ID56" s="865"/>
      <c r="IE56" s="865"/>
      <c r="IF56" s="865"/>
      <c r="IG56" s="865"/>
      <c r="IH56" s="865"/>
      <c r="II56" s="865"/>
      <c r="IJ56" s="865"/>
      <c r="IK56" s="865"/>
      <c r="IL56" s="865"/>
      <c r="IM56" s="865"/>
      <c r="IN56" s="865"/>
      <c r="IO56" s="865"/>
      <c r="IP56" s="865"/>
      <c r="IQ56" s="865"/>
      <c r="IR56" s="865"/>
      <c r="IS56" s="865"/>
      <c r="IT56" s="865"/>
      <c r="IU56" s="865"/>
      <c r="IV56" s="865"/>
      <c r="IW56" s="865"/>
      <c r="IX56" s="865"/>
      <c r="IY56" s="865"/>
      <c r="IZ56" s="865"/>
      <c r="JA56" s="865"/>
      <c r="JB56" s="865"/>
      <c r="JC56" s="865"/>
      <c r="JD56" s="865"/>
      <c r="JE56" s="865"/>
      <c r="JF56" s="865"/>
      <c r="JG56" s="865"/>
      <c r="JH56" s="865"/>
      <c r="JI56" s="865"/>
      <c r="JJ56" s="865"/>
      <c r="JK56" s="865"/>
      <c r="JL56" s="865"/>
      <c r="JM56" s="865"/>
      <c r="JN56" s="865"/>
      <c r="JO56" s="865"/>
      <c r="JP56" s="865"/>
      <c r="JQ56" s="865"/>
      <c r="JR56" s="865"/>
      <c r="JS56" s="865"/>
      <c r="JT56" s="865"/>
      <c r="JU56" s="865"/>
      <c r="JV56" s="865"/>
      <c r="JW56" s="865"/>
      <c r="JX56" s="865"/>
      <c r="JY56" s="865"/>
      <c r="JZ56" s="865"/>
      <c r="KA56" s="865"/>
      <c r="KB56" s="865"/>
      <c r="KC56" s="865"/>
      <c r="KD56" s="865"/>
      <c r="KE56" s="865"/>
      <c r="KF56" s="865"/>
      <c r="KG56" s="865"/>
      <c r="KH56" s="865"/>
      <c r="KI56" s="865"/>
      <c r="KJ56" s="865"/>
      <c r="KK56" s="865"/>
      <c r="KL56" s="865"/>
      <c r="KM56" s="865"/>
      <c r="KN56" s="865"/>
      <c r="KO56" s="865"/>
      <c r="KP56" s="865"/>
      <c r="KQ56" s="865"/>
      <c r="KR56" s="865"/>
      <c r="KS56" s="865"/>
      <c r="KT56" s="865"/>
      <c r="KU56" s="865"/>
      <c r="KV56" s="865"/>
      <c r="KW56" s="865"/>
      <c r="KX56" s="865"/>
      <c r="KY56" s="865"/>
      <c r="KZ56" s="865"/>
      <c r="LA56" s="865"/>
      <c r="LB56" s="865"/>
      <c r="LC56" s="865"/>
      <c r="LD56" s="865"/>
      <c r="LE56" s="865"/>
      <c r="LF56" s="865"/>
      <c r="LG56" s="865"/>
      <c r="LH56" s="865"/>
      <c r="LI56" s="865"/>
      <c r="LJ56" s="865"/>
      <c r="LK56" s="865"/>
      <c r="LL56" s="865"/>
      <c r="LM56" s="865"/>
      <c r="LN56" s="865"/>
      <c r="LO56" s="865"/>
      <c r="LP56" s="865"/>
      <c r="LQ56" s="865"/>
      <c r="LR56" s="865"/>
      <c r="LS56" s="865"/>
      <c r="LT56" s="865"/>
      <c r="LU56" s="865"/>
      <c r="LV56" s="865"/>
      <c r="LW56" s="865"/>
      <c r="LX56" s="865"/>
      <c r="LY56" s="865"/>
      <c r="LZ56" s="865"/>
      <c r="MA56" s="865"/>
      <c r="MB56" s="865"/>
      <c r="MC56" s="865"/>
      <c r="MD56" s="865"/>
      <c r="ME56" s="865"/>
      <c r="MF56" s="865"/>
      <c r="MG56" s="865"/>
      <c r="MH56" s="865"/>
      <c r="MI56" s="865"/>
      <c r="MJ56" s="865"/>
      <c r="MK56" s="865"/>
      <c r="ML56" s="865"/>
      <c r="MM56" s="865"/>
      <c r="MN56" s="865"/>
      <c r="MO56" s="865"/>
      <c r="MP56" s="865"/>
      <c r="MQ56" s="865"/>
      <c r="MR56" s="865"/>
      <c r="MS56" s="865"/>
      <c r="MT56" s="865"/>
      <c r="MU56" s="865"/>
      <c r="MV56" s="865"/>
      <c r="MW56" s="865"/>
      <c r="MX56" s="865"/>
      <c r="MY56" s="865"/>
      <c r="MZ56" s="865"/>
      <c r="NA56" s="865"/>
      <c r="NB56" s="865"/>
      <c r="NC56" s="865"/>
      <c r="ND56" s="865"/>
      <c r="NE56" s="865"/>
      <c r="NF56" s="865"/>
      <c r="NG56" s="865"/>
      <c r="NH56" s="865"/>
      <c r="NI56" s="865"/>
      <c r="NJ56" s="865"/>
      <c r="NK56" s="865"/>
      <c r="NL56" s="865"/>
      <c r="NM56" s="865"/>
      <c r="NN56" s="865"/>
      <c r="NO56" s="865"/>
      <c r="NP56" s="865"/>
      <c r="NQ56" s="865"/>
      <c r="NR56" s="865"/>
      <c r="NS56" s="865"/>
      <c r="NT56" s="865"/>
      <c r="NU56" s="865"/>
      <c r="NV56" s="865"/>
      <c r="NW56" s="865"/>
      <c r="NX56" s="865"/>
      <c r="NY56" s="865"/>
      <c r="NZ56" s="865"/>
      <c r="OA56" s="865"/>
      <c r="OB56" s="865"/>
      <c r="OC56" s="865"/>
      <c r="OD56" s="865"/>
      <c r="OE56" s="865"/>
      <c r="OF56" s="865"/>
      <c r="OG56" s="865"/>
      <c r="OH56" s="865"/>
      <c r="OI56" s="865"/>
      <c r="OJ56" s="865"/>
      <c r="OK56" s="865"/>
      <c r="OL56" s="865"/>
      <c r="OM56" s="865"/>
      <c r="ON56" s="865"/>
      <c r="OO56" s="865"/>
      <c r="OP56" s="865"/>
      <c r="OQ56" s="865"/>
      <c r="OR56" s="865"/>
      <c r="OS56" s="865"/>
      <c r="OT56" s="865"/>
      <c r="OU56" s="865"/>
      <c r="OV56" s="865"/>
      <c r="OW56" s="865"/>
      <c r="OX56" s="865"/>
      <c r="OY56" s="865"/>
      <c r="OZ56" s="865"/>
      <c r="PA56" s="865"/>
      <c r="PB56" s="865"/>
      <c r="PC56" s="865"/>
      <c r="PD56" s="865"/>
      <c r="PE56" s="865"/>
      <c r="PF56" s="865"/>
      <c r="PG56" s="865"/>
      <c r="PH56" s="865"/>
      <c r="PI56" s="865"/>
      <c r="PJ56" s="865"/>
      <c r="PK56" s="865"/>
      <c r="PL56" s="865"/>
      <c r="PM56" s="865"/>
      <c r="PN56" s="865"/>
      <c r="PO56" s="865"/>
      <c r="PP56" s="865"/>
      <c r="PQ56" s="865"/>
      <c r="PR56" s="865"/>
      <c r="PS56" s="865"/>
      <c r="PT56" s="865"/>
      <c r="PU56" s="865"/>
      <c r="PV56" s="865"/>
      <c r="PW56" s="865"/>
      <c r="PX56" s="865"/>
      <c r="PY56" s="865"/>
      <c r="PZ56" s="865"/>
      <c r="QA56" s="865"/>
      <c r="QB56" s="865"/>
      <c r="QC56" s="865"/>
      <c r="QD56" s="865"/>
      <c r="QE56" s="865"/>
      <c r="QF56" s="865"/>
      <c r="QG56" s="865"/>
      <c r="QH56" s="865"/>
      <c r="QI56" s="865"/>
      <c r="QJ56" s="865"/>
      <c r="QK56" s="865"/>
      <c r="QL56" s="865"/>
      <c r="QM56" s="865"/>
      <c r="QN56" s="865"/>
      <c r="QO56" s="865"/>
      <c r="QP56" s="865"/>
      <c r="QQ56" s="865"/>
      <c r="QR56" s="865"/>
      <c r="QS56" s="865"/>
      <c r="QT56" s="865"/>
      <c r="QU56" s="865"/>
      <c r="QV56" s="865"/>
      <c r="QW56" s="865"/>
      <c r="QX56" s="865"/>
      <c r="QY56" s="865"/>
      <c r="QZ56" s="865"/>
      <c r="RA56" s="865"/>
      <c r="RB56" s="865"/>
      <c r="RC56" s="865"/>
      <c r="RD56" s="865"/>
      <c r="RE56" s="865"/>
      <c r="RF56" s="865"/>
      <c r="RG56" s="865"/>
      <c r="RH56" s="865"/>
      <c r="RI56" s="865"/>
      <c r="RJ56" s="865"/>
      <c r="RK56" s="865"/>
      <c r="RL56" s="865"/>
      <c r="RM56" s="865"/>
      <c r="RN56" s="865"/>
      <c r="RO56" s="865"/>
      <c r="RP56" s="865"/>
      <c r="RQ56" s="865"/>
      <c r="RR56" s="865"/>
      <c r="RS56" s="865"/>
      <c r="RT56" s="865"/>
      <c r="RU56" s="865"/>
      <c r="RV56" s="865"/>
      <c r="RW56" s="865"/>
      <c r="RX56" s="865"/>
    </row>
    <row r="57" spans="1:492" s="165" customFormat="1">
      <c r="A57" s="865"/>
      <c r="B57" s="865"/>
      <c r="C57" s="865"/>
      <c r="D57" s="865"/>
      <c r="E57" s="865"/>
      <c r="F57" s="865"/>
      <c r="G57" s="865"/>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50"/>
      <c r="AN57" s="850"/>
      <c r="AO57" s="850"/>
      <c r="AP57" s="850"/>
      <c r="AQ57" s="850"/>
      <c r="AR57" s="850"/>
      <c r="AS57" s="850"/>
      <c r="AT57" s="850"/>
      <c r="AU57" s="850"/>
      <c r="AV57" s="850"/>
      <c r="AW57" s="850"/>
      <c r="AX57" s="850"/>
      <c r="AY57" s="850"/>
      <c r="AZ57" s="850"/>
      <c r="BA57" s="850"/>
      <c r="BB57" s="850"/>
      <c r="BC57" s="850"/>
      <c r="BD57" s="850"/>
      <c r="BE57" s="850"/>
      <c r="BF57" s="850"/>
      <c r="BG57" s="850"/>
      <c r="BH57" s="850"/>
      <c r="BI57" s="850"/>
      <c r="BJ57" s="850"/>
      <c r="BK57" s="850"/>
      <c r="BL57" s="850"/>
      <c r="BM57" s="850"/>
      <c r="BN57" s="850"/>
      <c r="BO57" s="850"/>
      <c r="BP57" s="850"/>
      <c r="BQ57" s="850"/>
      <c r="BR57" s="850"/>
      <c r="BS57" s="850"/>
      <c r="BT57" s="850"/>
      <c r="BU57" s="850"/>
      <c r="BV57" s="865"/>
      <c r="BW57" s="865"/>
      <c r="BX57" s="865"/>
      <c r="BY57" s="865"/>
      <c r="BZ57" s="865"/>
      <c r="CA57" s="865"/>
      <c r="CB57" s="865"/>
      <c r="CC57" s="865"/>
      <c r="CD57" s="865"/>
      <c r="CE57" s="865"/>
      <c r="CF57" s="865"/>
      <c r="CG57" s="865"/>
      <c r="CH57" s="865"/>
      <c r="CI57" s="865"/>
      <c r="CJ57" s="865"/>
      <c r="CK57" s="865"/>
      <c r="CL57" s="865"/>
      <c r="CM57" s="865"/>
      <c r="CN57" s="865"/>
      <c r="CO57" s="865"/>
      <c r="CP57" s="865"/>
      <c r="CQ57" s="865"/>
      <c r="CR57" s="865"/>
      <c r="CS57" s="865"/>
      <c r="CT57" s="865"/>
      <c r="CU57" s="865"/>
      <c r="CV57" s="865"/>
      <c r="CW57" s="865"/>
      <c r="CX57" s="865"/>
      <c r="CY57" s="865"/>
      <c r="CZ57" s="865"/>
      <c r="DA57" s="865"/>
      <c r="DB57" s="865"/>
      <c r="DC57" s="865"/>
      <c r="DD57" s="865"/>
      <c r="DE57" s="865"/>
      <c r="DF57" s="865"/>
      <c r="DG57" s="865"/>
      <c r="DH57" s="865"/>
      <c r="DI57" s="865"/>
      <c r="DJ57" s="865"/>
      <c r="DK57" s="865"/>
      <c r="DL57" s="865"/>
      <c r="DM57" s="865"/>
      <c r="DN57" s="865"/>
      <c r="DO57" s="865"/>
      <c r="DP57" s="865"/>
      <c r="DQ57" s="865"/>
      <c r="DR57" s="865"/>
      <c r="DS57" s="865"/>
      <c r="DT57" s="865"/>
      <c r="DU57" s="865"/>
      <c r="DV57" s="865"/>
      <c r="DW57" s="865"/>
      <c r="DX57" s="865"/>
      <c r="DY57" s="865"/>
      <c r="DZ57" s="865"/>
      <c r="EA57" s="865"/>
      <c r="EB57" s="865"/>
      <c r="EC57" s="865"/>
      <c r="ED57" s="865"/>
      <c r="EE57" s="865"/>
      <c r="EF57" s="865"/>
      <c r="EG57" s="865"/>
      <c r="EH57" s="865"/>
      <c r="EI57" s="865"/>
      <c r="EJ57" s="865"/>
      <c r="EK57" s="865"/>
      <c r="EL57" s="865"/>
      <c r="EM57" s="865"/>
      <c r="EN57" s="865"/>
      <c r="EO57" s="865"/>
      <c r="EP57" s="865"/>
      <c r="EQ57" s="865"/>
      <c r="ER57" s="865"/>
      <c r="ES57" s="865"/>
      <c r="ET57" s="865"/>
      <c r="EU57" s="865"/>
      <c r="EV57" s="865"/>
      <c r="EW57" s="865"/>
      <c r="EX57" s="865"/>
      <c r="EY57" s="865"/>
      <c r="EZ57" s="865"/>
      <c r="FA57" s="865"/>
      <c r="FB57" s="865"/>
      <c r="FC57" s="865"/>
      <c r="FD57" s="865"/>
      <c r="FE57" s="865"/>
      <c r="FF57" s="865"/>
      <c r="FG57" s="865"/>
      <c r="FH57" s="865"/>
      <c r="FI57" s="865"/>
      <c r="FJ57" s="865"/>
      <c r="FK57" s="865"/>
      <c r="FL57" s="865"/>
      <c r="FM57" s="865"/>
      <c r="FN57" s="865"/>
      <c r="FO57" s="865"/>
      <c r="FP57" s="865"/>
      <c r="FQ57" s="865"/>
      <c r="FR57" s="865"/>
      <c r="FS57" s="865"/>
      <c r="FT57" s="865"/>
      <c r="FU57" s="865"/>
      <c r="FV57" s="865"/>
      <c r="FW57" s="865"/>
      <c r="FX57" s="865"/>
      <c r="FY57" s="865"/>
      <c r="FZ57" s="865"/>
      <c r="GA57" s="865"/>
      <c r="GB57" s="865"/>
      <c r="GC57" s="865"/>
      <c r="GD57" s="865"/>
      <c r="GE57" s="865"/>
      <c r="GF57" s="865"/>
      <c r="GG57" s="865"/>
      <c r="GH57" s="865"/>
      <c r="GI57" s="865"/>
      <c r="GJ57" s="865"/>
      <c r="GK57" s="865"/>
      <c r="GL57" s="865"/>
      <c r="GM57" s="865"/>
      <c r="GN57" s="865"/>
      <c r="GO57" s="865"/>
      <c r="GP57" s="865"/>
      <c r="GQ57" s="865"/>
      <c r="GR57" s="865"/>
      <c r="GS57" s="865"/>
      <c r="GT57" s="865"/>
      <c r="GU57" s="865"/>
      <c r="GV57" s="865"/>
      <c r="GW57" s="865"/>
      <c r="GX57" s="865"/>
      <c r="GY57" s="865"/>
      <c r="GZ57" s="865"/>
      <c r="HA57" s="865"/>
      <c r="HB57" s="865"/>
      <c r="HC57" s="865"/>
      <c r="HD57" s="865"/>
      <c r="HE57" s="865"/>
      <c r="HF57" s="865"/>
      <c r="HG57" s="865"/>
      <c r="HH57" s="865"/>
      <c r="HI57" s="865"/>
      <c r="HJ57" s="865"/>
      <c r="HK57" s="865"/>
      <c r="HL57" s="865"/>
      <c r="HM57" s="865"/>
      <c r="HN57" s="865"/>
      <c r="HO57" s="865"/>
      <c r="HP57" s="865"/>
      <c r="HQ57" s="865"/>
      <c r="HR57" s="865"/>
      <c r="HS57" s="865"/>
      <c r="HT57" s="865"/>
      <c r="HU57" s="865"/>
      <c r="HV57" s="865"/>
      <c r="HW57" s="865"/>
      <c r="HX57" s="865"/>
      <c r="HY57" s="865"/>
      <c r="HZ57" s="865"/>
      <c r="IA57" s="865"/>
      <c r="IB57" s="865"/>
      <c r="IC57" s="865"/>
      <c r="ID57" s="865"/>
      <c r="IE57" s="865"/>
      <c r="IF57" s="865"/>
      <c r="IG57" s="865"/>
      <c r="IH57" s="865"/>
      <c r="II57" s="865"/>
      <c r="IJ57" s="865"/>
      <c r="IK57" s="865"/>
      <c r="IL57" s="865"/>
      <c r="IM57" s="865"/>
      <c r="IN57" s="865"/>
      <c r="IO57" s="865"/>
      <c r="IP57" s="865"/>
      <c r="IQ57" s="865"/>
      <c r="IR57" s="865"/>
      <c r="IS57" s="865"/>
      <c r="IT57" s="865"/>
      <c r="IU57" s="865"/>
      <c r="IV57" s="865"/>
      <c r="IW57" s="865"/>
      <c r="IX57" s="865"/>
      <c r="IY57" s="865"/>
      <c r="IZ57" s="865"/>
      <c r="JA57" s="865"/>
      <c r="JB57" s="865"/>
      <c r="JC57" s="865"/>
      <c r="JD57" s="865"/>
      <c r="JE57" s="865"/>
      <c r="JF57" s="865"/>
      <c r="JG57" s="865"/>
      <c r="JH57" s="865"/>
      <c r="JI57" s="865"/>
      <c r="JJ57" s="865"/>
      <c r="JK57" s="865"/>
      <c r="JL57" s="865"/>
      <c r="JM57" s="865"/>
      <c r="JN57" s="865"/>
      <c r="JO57" s="865"/>
      <c r="JP57" s="865"/>
      <c r="JQ57" s="865"/>
      <c r="JR57" s="865"/>
      <c r="JS57" s="865"/>
      <c r="JT57" s="865"/>
      <c r="JU57" s="865"/>
      <c r="JV57" s="865"/>
      <c r="JW57" s="865"/>
      <c r="JX57" s="865"/>
      <c r="JY57" s="865"/>
      <c r="JZ57" s="865"/>
      <c r="KA57" s="865"/>
      <c r="KB57" s="865"/>
      <c r="KC57" s="865"/>
      <c r="KD57" s="865"/>
      <c r="KE57" s="865"/>
      <c r="KF57" s="865"/>
      <c r="KG57" s="865"/>
      <c r="KH57" s="865"/>
      <c r="KI57" s="865"/>
      <c r="KJ57" s="865"/>
      <c r="KK57" s="865"/>
      <c r="KL57" s="865"/>
      <c r="KM57" s="865"/>
      <c r="KN57" s="865"/>
      <c r="KO57" s="865"/>
      <c r="KP57" s="865"/>
      <c r="KQ57" s="865"/>
      <c r="KR57" s="865"/>
      <c r="KS57" s="865"/>
      <c r="KT57" s="865"/>
      <c r="KU57" s="865"/>
      <c r="KV57" s="865"/>
      <c r="KW57" s="865"/>
      <c r="KX57" s="865"/>
      <c r="KY57" s="865"/>
      <c r="KZ57" s="865"/>
      <c r="LA57" s="865"/>
      <c r="LB57" s="865"/>
      <c r="LC57" s="865"/>
      <c r="LD57" s="865"/>
      <c r="LE57" s="865"/>
      <c r="LF57" s="865"/>
      <c r="LG57" s="865"/>
      <c r="LH57" s="865"/>
      <c r="LI57" s="865"/>
      <c r="LJ57" s="865"/>
      <c r="LK57" s="865"/>
      <c r="LL57" s="865"/>
      <c r="LM57" s="865"/>
      <c r="LN57" s="865"/>
      <c r="LO57" s="865"/>
      <c r="LP57" s="865"/>
      <c r="LQ57" s="865"/>
      <c r="LR57" s="865"/>
      <c r="LS57" s="865"/>
      <c r="LT57" s="865"/>
      <c r="LU57" s="865"/>
      <c r="LV57" s="865"/>
      <c r="LW57" s="865"/>
      <c r="LX57" s="865"/>
      <c r="LY57" s="865"/>
      <c r="LZ57" s="865"/>
      <c r="MA57" s="865"/>
      <c r="MB57" s="865"/>
      <c r="MC57" s="865"/>
      <c r="MD57" s="865"/>
      <c r="ME57" s="865"/>
      <c r="MF57" s="865"/>
      <c r="MG57" s="865"/>
      <c r="MH57" s="865"/>
      <c r="MI57" s="865"/>
      <c r="MJ57" s="865"/>
      <c r="MK57" s="865"/>
      <c r="ML57" s="865"/>
      <c r="MM57" s="865"/>
      <c r="MN57" s="865"/>
      <c r="MO57" s="865"/>
      <c r="MP57" s="865"/>
      <c r="MQ57" s="865"/>
      <c r="MR57" s="865"/>
      <c r="MS57" s="865"/>
      <c r="MT57" s="865"/>
      <c r="MU57" s="865"/>
      <c r="MV57" s="865"/>
      <c r="MW57" s="865"/>
      <c r="MX57" s="865"/>
      <c r="MY57" s="865"/>
      <c r="MZ57" s="865"/>
      <c r="NA57" s="865"/>
      <c r="NB57" s="865"/>
      <c r="NC57" s="865"/>
      <c r="ND57" s="865"/>
      <c r="NE57" s="865"/>
      <c r="NF57" s="865"/>
      <c r="NG57" s="865"/>
      <c r="NH57" s="865"/>
      <c r="NI57" s="865"/>
      <c r="NJ57" s="865"/>
      <c r="NK57" s="865"/>
      <c r="NL57" s="865"/>
      <c r="NM57" s="865"/>
      <c r="NN57" s="865"/>
      <c r="NO57" s="865"/>
      <c r="NP57" s="865"/>
      <c r="NQ57" s="865"/>
      <c r="NR57" s="865"/>
      <c r="NS57" s="865"/>
      <c r="NT57" s="865"/>
      <c r="NU57" s="865"/>
      <c r="NV57" s="865"/>
      <c r="NW57" s="865"/>
      <c r="NX57" s="865"/>
      <c r="NY57" s="865"/>
      <c r="NZ57" s="865"/>
      <c r="OA57" s="865"/>
      <c r="OB57" s="865"/>
      <c r="OC57" s="865"/>
      <c r="OD57" s="865"/>
      <c r="OE57" s="865"/>
      <c r="OF57" s="865"/>
      <c r="OG57" s="865"/>
      <c r="OH57" s="865"/>
      <c r="OI57" s="865"/>
      <c r="OJ57" s="865"/>
      <c r="OK57" s="865"/>
      <c r="OL57" s="865"/>
      <c r="OM57" s="865"/>
      <c r="ON57" s="865"/>
      <c r="OO57" s="865"/>
      <c r="OP57" s="865"/>
      <c r="OQ57" s="865"/>
      <c r="OR57" s="865"/>
      <c r="OS57" s="865"/>
      <c r="OT57" s="865"/>
      <c r="OU57" s="865"/>
      <c r="OV57" s="865"/>
      <c r="OW57" s="865"/>
      <c r="OX57" s="865"/>
      <c r="OY57" s="865"/>
      <c r="OZ57" s="865"/>
      <c r="PA57" s="865"/>
      <c r="PB57" s="865"/>
      <c r="PC57" s="865"/>
      <c r="PD57" s="865"/>
      <c r="PE57" s="865"/>
      <c r="PF57" s="865"/>
      <c r="PG57" s="865"/>
      <c r="PH57" s="865"/>
      <c r="PI57" s="865"/>
      <c r="PJ57" s="865"/>
      <c r="PK57" s="865"/>
      <c r="PL57" s="865"/>
      <c r="PM57" s="865"/>
      <c r="PN57" s="865"/>
      <c r="PO57" s="865"/>
      <c r="PP57" s="865"/>
      <c r="PQ57" s="865"/>
      <c r="PR57" s="865"/>
      <c r="PS57" s="865"/>
      <c r="PT57" s="865"/>
      <c r="PU57" s="865"/>
      <c r="PV57" s="865"/>
      <c r="PW57" s="865"/>
      <c r="PX57" s="865"/>
      <c r="PY57" s="865"/>
      <c r="PZ57" s="865"/>
      <c r="QA57" s="865"/>
      <c r="QB57" s="865"/>
      <c r="QC57" s="865"/>
      <c r="QD57" s="865"/>
      <c r="QE57" s="865"/>
      <c r="QF57" s="865"/>
      <c r="QG57" s="865"/>
      <c r="QH57" s="865"/>
      <c r="QI57" s="865"/>
      <c r="QJ57" s="865"/>
      <c r="QK57" s="865"/>
      <c r="QL57" s="865"/>
      <c r="QM57" s="865"/>
      <c r="QN57" s="865"/>
      <c r="QO57" s="865"/>
      <c r="QP57" s="865"/>
      <c r="QQ57" s="865"/>
      <c r="QR57" s="865"/>
      <c r="QS57" s="865"/>
      <c r="QT57" s="865"/>
      <c r="QU57" s="865"/>
      <c r="QV57" s="865"/>
      <c r="QW57" s="865"/>
      <c r="QX57" s="865"/>
      <c r="QY57" s="865"/>
      <c r="QZ57" s="865"/>
      <c r="RA57" s="865"/>
      <c r="RB57" s="865"/>
      <c r="RC57" s="865"/>
      <c r="RD57" s="865"/>
      <c r="RE57" s="865"/>
      <c r="RF57" s="865"/>
      <c r="RG57" s="865"/>
      <c r="RH57" s="865"/>
      <c r="RI57" s="865"/>
      <c r="RJ57" s="865"/>
      <c r="RK57" s="865"/>
      <c r="RL57" s="865"/>
      <c r="RM57" s="865"/>
      <c r="RN57" s="865"/>
      <c r="RO57" s="865"/>
      <c r="RP57" s="865"/>
      <c r="RQ57" s="865"/>
      <c r="RR57" s="865"/>
      <c r="RS57" s="865"/>
      <c r="RT57" s="865"/>
      <c r="RU57" s="865"/>
      <c r="RV57" s="865"/>
      <c r="RW57" s="865"/>
      <c r="RX57" s="865"/>
    </row>
    <row r="58" spans="1:492" s="165" customFormat="1">
      <c r="A58" s="865"/>
      <c r="B58" s="865"/>
      <c r="C58" s="865"/>
      <c r="D58" s="865"/>
      <c r="E58" s="865"/>
      <c r="F58" s="865"/>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50"/>
      <c r="AN58" s="850"/>
      <c r="AO58" s="850"/>
      <c r="AP58" s="850"/>
      <c r="AQ58" s="850"/>
      <c r="AR58" s="850"/>
      <c r="AS58" s="850"/>
      <c r="AT58" s="850"/>
      <c r="AU58" s="850"/>
      <c r="AV58" s="850"/>
      <c r="AW58" s="850"/>
      <c r="AX58" s="850"/>
      <c r="AY58" s="850"/>
      <c r="AZ58" s="850"/>
      <c r="BA58" s="850"/>
      <c r="BB58" s="850"/>
      <c r="BC58" s="850"/>
      <c r="BD58" s="850"/>
      <c r="BE58" s="850"/>
      <c r="BF58" s="850"/>
      <c r="BG58" s="850"/>
      <c r="BH58" s="850"/>
      <c r="BI58" s="850"/>
      <c r="BJ58" s="850"/>
      <c r="BK58" s="850"/>
      <c r="BL58" s="850"/>
      <c r="BM58" s="850"/>
      <c r="BN58" s="850"/>
      <c r="BO58" s="850"/>
      <c r="BP58" s="850"/>
      <c r="BQ58" s="850"/>
      <c r="BR58" s="850"/>
      <c r="BS58" s="850"/>
      <c r="BT58" s="850"/>
      <c r="BU58" s="850"/>
      <c r="BV58" s="865"/>
      <c r="BW58" s="865"/>
      <c r="BX58" s="865"/>
      <c r="BY58" s="865"/>
      <c r="BZ58" s="865"/>
      <c r="CA58" s="865"/>
      <c r="CB58" s="865"/>
      <c r="CC58" s="865"/>
      <c r="CD58" s="865"/>
      <c r="CE58" s="865"/>
      <c r="CF58" s="865"/>
      <c r="CG58" s="865"/>
      <c r="CH58" s="865"/>
      <c r="CI58" s="865"/>
      <c r="CJ58" s="865"/>
      <c r="CK58" s="865"/>
      <c r="CL58" s="865"/>
      <c r="CM58" s="865"/>
      <c r="CN58" s="865"/>
      <c r="CO58" s="865"/>
      <c r="CP58" s="865"/>
      <c r="CQ58" s="865"/>
      <c r="CR58" s="865"/>
      <c r="CS58" s="865"/>
      <c r="CT58" s="865"/>
      <c r="CU58" s="865"/>
      <c r="CV58" s="865"/>
      <c r="CW58" s="865"/>
      <c r="CX58" s="865"/>
      <c r="CY58" s="865"/>
      <c r="CZ58" s="865"/>
      <c r="DA58" s="865"/>
      <c r="DB58" s="865"/>
      <c r="DC58" s="865"/>
      <c r="DD58" s="865"/>
      <c r="DE58" s="865"/>
      <c r="DF58" s="865"/>
      <c r="DG58" s="865"/>
      <c r="DH58" s="865"/>
      <c r="DI58" s="865"/>
      <c r="DJ58" s="865"/>
      <c r="DK58" s="865"/>
      <c r="DL58" s="865"/>
      <c r="DM58" s="865"/>
      <c r="DN58" s="865"/>
      <c r="DO58" s="865"/>
      <c r="DP58" s="865"/>
      <c r="DQ58" s="865"/>
      <c r="DR58" s="865"/>
      <c r="DS58" s="865"/>
      <c r="DT58" s="865"/>
      <c r="DU58" s="865"/>
      <c r="DV58" s="865"/>
      <c r="DW58" s="865"/>
      <c r="DX58" s="865"/>
      <c r="DY58" s="865"/>
      <c r="DZ58" s="865"/>
      <c r="EA58" s="865"/>
      <c r="EB58" s="865"/>
      <c r="EC58" s="865"/>
      <c r="ED58" s="865"/>
      <c r="EE58" s="865"/>
      <c r="EF58" s="865"/>
      <c r="EG58" s="865"/>
      <c r="EH58" s="865"/>
      <c r="EI58" s="865"/>
      <c r="EJ58" s="865"/>
      <c r="EK58" s="865"/>
      <c r="EL58" s="865"/>
      <c r="EM58" s="865"/>
      <c r="EN58" s="865"/>
      <c r="EO58" s="865"/>
      <c r="EP58" s="865"/>
      <c r="EQ58" s="865"/>
      <c r="ER58" s="865"/>
      <c r="ES58" s="865"/>
      <c r="ET58" s="865"/>
      <c r="EU58" s="865"/>
      <c r="EV58" s="865"/>
      <c r="EW58" s="865"/>
      <c r="EX58" s="865"/>
      <c r="EY58" s="865"/>
      <c r="EZ58" s="865"/>
      <c r="FA58" s="865"/>
      <c r="FB58" s="865"/>
      <c r="FC58" s="865"/>
      <c r="FD58" s="865"/>
      <c r="FE58" s="865"/>
      <c r="FF58" s="865"/>
      <c r="FG58" s="865"/>
      <c r="FH58" s="865"/>
      <c r="FI58" s="865"/>
      <c r="FJ58" s="865"/>
      <c r="FK58" s="865"/>
      <c r="FL58" s="865"/>
      <c r="FM58" s="865"/>
      <c r="FN58" s="865"/>
      <c r="FO58" s="865"/>
      <c r="FP58" s="865"/>
      <c r="FQ58" s="865"/>
      <c r="FR58" s="865"/>
      <c r="FS58" s="865"/>
      <c r="FT58" s="865"/>
      <c r="FU58" s="865"/>
      <c r="FV58" s="865"/>
      <c r="FW58" s="865"/>
      <c r="FX58" s="865"/>
      <c r="FY58" s="865"/>
      <c r="FZ58" s="865"/>
      <c r="GA58" s="865"/>
      <c r="GB58" s="865"/>
      <c r="GC58" s="865"/>
      <c r="GD58" s="865"/>
      <c r="GE58" s="865"/>
      <c r="GF58" s="865"/>
      <c r="GG58" s="865"/>
      <c r="GH58" s="865"/>
      <c r="GI58" s="865"/>
      <c r="GJ58" s="865"/>
      <c r="GK58" s="865"/>
      <c r="GL58" s="865"/>
      <c r="GM58" s="865"/>
      <c r="GN58" s="865"/>
      <c r="GO58" s="865"/>
      <c r="GP58" s="865"/>
      <c r="GQ58" s="865"/>
      <c r="GR58" s="865"/>
      <c r="GS58" s="865"/>
      <c r="GT58" s="865"/>
      <c r="GU58" s="865"/>
      <c r="GV58" s="865"/>
      <c r="GW58" s="865"/>
      <c r="GX58" s="865"/>
      <c r="GY58" s="865"/>
      <c r="GZ58" s="865"/>
      <c r="HA58" s="865"/>
      <c r="HB58" s="865"/>
      <c r="HC58" s="865"/>
      <c r="HD58" s="865"/>
      <c r="HE58" s="865"/>
      <c r="HF58" s="865"/>
      <c r="HG58" s="865"/>
      <c r="HH58" s="865"/>
      <c r="HI58" s="865"/>
      <c r="HJ58" s="865"/>
      <c r="HK58" s="865"/>
      <c r="HL58" s="865"/>
      <c r="HM58" s="865"/>
      <c r="HN58" s="865"/>
      <c r="HO58" s="865"/>
      <c r="HP58" s="865"/>
      <c r="HQ58" s="865"/>
      <c r="HR58" s="865"/>
      <c r="HS58" s="865"/>
      <c r="HT58" s="865"/>
      <c r="HU58" s="865"/>
      <c r="HV58" s="865"/>
      <c r="HW58" s="865"/>
      <c r="HX58" s="865"/>
      <c r="HY58" s="865"/>
      <c r="HZ58" s="865"/>
      <c r="IA58" s="865"/>
      <c r="IB58" s="865"/>
      <c r="IC58" s="865"/>
      <c r="ID58" s="865"/>
      <c r="IE58" s="865"/>
      <c r="IF58" s="865"/>
      <c r="IG58" s="865"/>
      <c r="IH58" s="865"/>
      <c r="II58" s="865"/>
      <c r="IJ58" s="865"/>
      <c r="IK58" s="865"/>
      <c r="IL58" s="865"/>
      <c r="IM58" s="865"/>
      <c r="IN58" s="865"/>
      <c r="IO58" s="865"/>
      <c r="IP58" s="865"/>
      <c r="IQ58" s="865"/>
      <c r="IR58" s="865"/>
      <c r="IS58" s="865"/>
      <c r="IT58" s="865"/>
      <c r="IU58" s="865"/>
      <c r="IV58" s="865"/>
      <c r="IW58" s="865"/>
      <c r="IX58" s="865"/>
      <c r="IY58" s="865"/>
      <c r="IZ58" s="865"/>
      <c r="JA58" s="865"/>
      <c r="JB58" s="865"/>
      <c r="JC58" s="865"/>
      <c r="JD58" s="865"/>
      <c r="JE58" s="865"/>
      <c r="JF58" s="865"/>
      <c r="JG58" s="865"/>
      <c r="JH58" s="865"/>
      <c r="JI58" s="865"/>
      <c r="JJ58" s="865"/>
      <c r="JK58" s="865"/>
      <c r="JL58" s="865"/>
      <c r="JM58" s="865"/>
      <c r="JN58" s="865"/>
      <c r="JO58" s="865"/>
      <c r="JP58" s="865"/>
      <c r="JQ58" s="865"/>
      <c r="JR58" s="865"/>
      <c r="JS58" s="865"/>
      <c r="JT58" s="865"/>
      <c r="JU58" s="865"/>
      <c r="JV58" s="865"/>
      <c r="JW58" s="865"/>
      <c r="JX58" s="865"/>
      <c r="JY58" s="865"/>
      <c r="JZ58" s="865"/>
      <c r="KA58" s="865"/>
      <c r="KB58" s="865"/>
      <c r="KC58" s="865"/>
      <c r="KD58" s="865"/>
      <c r="KE58" s="865"/>
      <c r="KF58" s="865"/>
      <c r="KG58" s="865"/>
      <c r="KH58" s="865"/>
      <c r="KI58" s="865"/>
      <c r="KJ58" s="865"/>
      <c r="KK58" s="865"/>
      <c r="KL58" s="865"/>
      <c r="KM58" s="865"/>
      <c r="KN58" s="865"/>
      <c r="KO58" s="865"/>
      <c r="KP58" s="865"/>
      <c r="KQ58" s="865"/>
      <c r="KR58" s="865"/>
      <c r="KS58" s="865"/>
      <c r="KT58" s="865"/>
      <c r="KU58" s="865"/>
      <c r="KV58" s="865"/>
      <c r="KW58" s="865"/>
      <c r="KX58" s="865"/>
      <c r="KY58" s="865"/>
      <c r="KZ58" s="865"/>
      <c r="LA58" s="865"/>
      <c r="LB58" s="865"/>
      <c r="LC58" s="865"/>
      <c r="LD58" s="865"/>
      <c r="LE58" s="865"/>
      <c r="LF58" s="865"/>
      <c r="LG58" s="865"/>
      <c r="LH58" s="865"/>
      <c r="LI58" s="865"/>
      <c r="LJ58" s="865"/>
      <c r="LK58" s="865"/>
      <c r="LL58" s="865"/>
      <c r="LM58" s="865"/>
      <c r="LN58" s="865"/>
      <c r="LO58" s="865"/>
      <c r="LP58" s="865"/>
      <c r="LQ58" s="865"/>
      <c r="LR58" s="865"/>
      <c r="LS58" s="865"/>
      <c r="LT58" s="865"/>
      <c r="LU58" s="865"/>
      <c r="LV58" s="865"/>
      <c r="LW58" s="865"/>
      <c r="LX58" s="865"/>
      <c r="LY58" s="865"/>
      <c r="LZ58" s="865"/>
      <c r="MA58" s="865"/>
      <c r="MB58" s="865"/>
      <c r="MC58" s="865"/>
      <c r="MD58" s="865"/>
      <c r="ME58" s="865"/>
      <c r="MF58" s="865"/>
      <c r="MG58" s="865"/>
      <c r="MH58" s="865"/>
      <c r="MI58" s="865"/>
      <c r="MJ58" s="865"/>
      <c r="MK58" s="865"/>
      <c r="ML58" s="865"/>
      <c r="MM58" s="865"/>
      <c r="MN58" s="865"/>
      <c r="MO58" s="865"/>
      <c r="MP58" s="865"/>
      <c r="MQ58" s="865"/>
      <c r="MR58" s="865"/>
      <c r="MS58" s="865"/>
      <c r="MT58" s="865"/>
      <c r="MU58" s="865"/>
      <c r="MV58" s="865"/>
      <c r="MW58" s="865"/>
      <c r="MX58" s="865"/>
      <c r="MY58" s="865"/>
      <c r="MZ58" s="865"/>
      <c r="NA58" s="865"/>
      <c r="NB58" s="865"/>
      <c r="NC58" s="865"/>
      <c r="ND58" s="865"/>
      <c r="NE58" s="865"/>
      <c r="NF58" s="865"/>
      <c r="NG58" s="865"/>
      <c r="NH58" s="865"/>
      <c r="NI58" s="865"/>
      <c r="NJ58" s="865"/>
      <c r="NK58" s="865"/>
      <c r="NL58" s="865"/>
      <c r="NM58" s="865"/>
      <c r="NN58" s="865"/>
      <c r="NO58" s="865"/>
      <c r="NP58" s="865"/>
      <c r="NQ58" s="865"/>
      <c r="NR58" s="865"/>
      <c r="NS58" s="865"/>
      <c r="NT58" s="865"/>
      <c r="NU58" s="865"/>
      <c r="NV58" s="865"/>
      <c r="NW58" s="865"/>
      <c r="NX58" s="865"/>
      <c r="NY58" s="865"/>
      <c r="NZ58" s="865"/>
      <c r="OA58" s="865"/>
      <c r="OB58" s="865"/>
      <c r="OC58" s="865"/>
      <c r="OD58" s="865"/>
      <c r="OE58" s="865"/>
      <c r="OF58" s="865"/>
      <c r="OG58" s="865"/>
      <c r="OH58" s="865"/>
      <c r="OI58" s="865"/>
      <c r="OJ58" s="865"/>
      <c r="OK58" s="865"/>
      <c r="OL58" s="865"/>
      <c r="OM58" s="865"/>
      <c r="ON58" s="865"/>
      <c r="OO58" s="865"/>
      <c r="OP58" s="865"/>
      <c r="OQ58" s="865"/>
      <c r="OR58" s="865"/>
      <c r="OS58" s="865"/>
      <c r="OT58" s="865"/>
      <c r="OU58" s="865"/>
      <c r="OV58" s="865"/>
      <c r="OW58" s="865"/>
      <c r="OX58" s="865"/>
      <c r="OY58" s="865"/>
      <c r="OZ58" s="865"/>
      <c r="PA58" s="865"/>
      <c r="PB58" s="865"/>
      <c r="PC58" s="865"/>
      <c r="PD58" s="865"/>
      <c r="PE58" s="865"/>
      <c r="PF58" s="865"/>
      <c r="PG58" s="865"/>
      <c r="PH58" s="865"/>
      <c r="PI58" s="865"/>
      <c r="PJ58" s="865"/>
      <c r="PK58" s="865"/>
      <c r="PL58" s="865"/>
      <c r="PM58" s="865"/>
      <c r="PN58" s="865"/>
      <c r="PO58" s="865"/>
      <c r="PP58" s="865"/>
      <c r="PQ58" s="865"/>
      <c r="PR58" s="865"/>
      <c r="PS58" s="865"/>
      <c r="PT58" s="865"/>
      <c r="PU58" s="865"/>
      <c r="PV58" s="865"/>
      <c r="PW58" s="865"/>
      <c r="PX58" s="865"/>
      <c r="PY58" s="865"/>
      <c r="PZ58" s="865"/>
      <c r="QA58" s="865"/>
      <c r="QB58" s="865"/>
      <c r="QC58" s="865"/>
      <c r="QD58" s="865"/>
      <c r="QE58" s="865"/>
      <c r="QF58" s="865"/>
      <c r="QG58" s="865"/>
      <c r="QH58" s="865"/>
      <c r="QI58" s="865"/>
      <c r="QJ58" s="865"/>
      <c r="QK58" s="865"/>
      <c r="QL58" s="865"/>
      <c r="QM58" s="865"/>
      <c r="QN58" s="865"/>
      <c r="QO58" s="865"/>
      <c r="QP58" s="865"/>
      <c r="QQ58" s="865"/>
      <c r="QR58" s="865"/>
      <c r="QS58" s="865"/>
      <c r="QT58" s="865"/>
      <c r="QU58" s="865"/>
      <c r="QV58" s="865"/>
      <c r="QW58" s="865"/>
      <c r="QX58" s="865"/>
      <c r="QY58" s="865"/>
      <c r="QZ58" s="865"/>
      <c r="RA58" s="865"/>
      <c r="RB58" s="865"/>
      <c r="RC58" s="865"/>
      <c r="RD58" s="865"/>
      <c r="RE58" s="865"/>
      <c r="RF58" s="865"/>
      <c r="RG58" s="865"/>
      <c r="RH58" s="865"/>
      <c r="RI58" s="865"/>
      <c r="RJ58" s="865"/>
      <c r="RK58" s="865"/>
      <c r="RL58" s="865"/>
      <c r="RM58" s="865"/>
      <c r="RN58" s="865"/>
      <c r="RO58" s="865"/>
      <c r="RP58" s="865"/>
      <c r="RQ58" s="865"/>
      <c r="RR58" s="865"/>
      <c r="RS58" s="865"/>
      <c r="RT58" s="865"/>
      <c r="RU58" s="865"/>
      <c r="RV58" s="865"/>
      <c r="RW58" s="865"/>
      <c r="RX58" s="865"/>
    </row>
    <row r="59" spans="1:492" s="165" customFormat="1">
      <c r="A59" s="865"/>
      <c r="B59" s="865"/>
      <c r="C59" s="865"/>
      <c r="D59" s="865"/>
      <c r="E59" s="865"/>
      <c r="F59" s="865"/>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50"/>
      <c r="AN59" s="850"/>
      <c r="AO59" s="850"/>
      <c r="AP59" s="850"/>
      <c r="AQ59" s="850"/>
      <c r="AR59" s="850"/>
      <c r="AS59" s="850"/>
      <c r="AT59" s="850"/>
      <c r="AU59" s="850"/>
      <c r="AV59" s="850"/>
      <c r="AW59" s="850"/>
      <c r="AX59" s="850"/>
      <c r="AY59" s="850"/>
      <c r="AZ59" s="850"/>
      <c r="BA59" s="850"/>
      <c r="BB59" s="850"/>
      <c r="BC59" s="850"/>
      <c r="BD59" s="850"/>
      <c r="BE59" s="850"/>
      <c r="BF59" s="850"/>
      <c r="BG59" s="850"/>
      <c r="BH59" s="850"/>
      <c r="BI59" s="850"/>
      <c r="BJ59" s="850"/>
      <c r="BK59" s="850"/>
      <c r="BL59" s="850"/>
      <c r="BM59" s="850"/>
      <c r="BN59" s="850"/>
      <c r="BO59" s="850"/>
      <c r="BP59" s="850"/>
      <c r="BQ59" s="850"/>
      <c r="BR59" s="850"/>
      <c r="BS59" s="850"/>
      <c r="BT59" s="850"/>
      <c r="BU59" s="850"/>
      <c r="BV59" s="865"/>
      <c r="BW59" s="865"/>
      <c r="BX59" s="865"/>
      <c r="BY59" s="865"/>
      <c r="BZ59" s="865"/>
      <c r="CA59" s="865"/>
      <c r="CB59" s="865"/>
      <c r="CC59" s="865"/>
      <c r="CD59" s="865"/>
      <c r="CE59" s="865"/>
      <c r="CF59" s="865"/>
      <c r="CG59" s="865"/>
      <c r="CH59" s="865"/>
      <c r="CI59" s="865"/>
      <c r="CJ59" s="865"/>
      <c r="CK59" s="865"/>
      <c r="CL59" s="865"/>
      <c r="CM59" s="865"/>
      <c r="CN59" s="865"/>
      <c r="CO59" s="865"/>
      <c r="CP59" s="865"/>
      <c r="CQ59" s="865"/>
      <c r="CR59" s="865"/>
      <c r="CS59" s="865"/>
      <c r="CT59" s="865"/>
      <c r="CU59" s="865"/>
      <c r="CV59" s="865"/>
      <c r="CW59" s="865"/>
      <c r="CX59" s="865"/>
      <c r="CY59" s="865"/>
      <c r="CZ59" s="865"/>
      <c r="DA59" s="865"/>
      <c r="DB59" s="865"/>
      <c r="DC59" s="865"/>
      <c r="DD59" s="865"/>
      <c r="DE59" s="865"/>
      <c r="DF59" s="865"/>
      <c r="DG59" s="865"/>
      <c r="DH59" s="865"/>
      <c r="DI59" s="865"/>
      <c r="DJ59" s="865"/>
      <c r="DK59" s="865"/>
      <c r="DL59" s="865"/>
      <c r="DM59" s="865"/>
      <c r="DN59" s="865"/>
      <c r="DO59" s="865"/>
      <c r="DP59" s="865"/>
      <c r="DQ59" s="865"/>
      <c r="DR59" s="865"/>
      <c r="DS59" s="865"/>
      <c r="DT59" s="865"/>
      <c r="DU59" s="865"/>
      <c r="DV59" s="865"/>
      <c r="DW59" s="865"/>
      <c r="DX59" s="865"/>
      <c r="DY59" s="865"/>
      <c r="DZ59" s="865"/>
      <c r="EA59" s="865"/>
      <c r="EB59" s="865"/>
      <c r="EC59" s="865"/>
      <c r="ED59" s="865"/>
      <c r="EE59" s="865"/>
      <c r="EF59" s="865"/>
      <c r="EG59" s="865"/>
      <c r="EH59" s="865"/>
      <c r="EI59" s="865"/>
      <c r="EJ59" s="865"/>
      <c r="EK59" s="865"/>
      <c r="EL59" s="865"/>
      <c r="EM59" s="865"/>
      <c r="EN59" s="865"/>
      <c r="EO59" s="865"/>
      <c r="EP59" s="865"/>
      <c r="EQ59" s="865"/>
      <c r="ER59" s="865"/>
      <c r="ES59" s="865"/>
      <c r="ET59" s="865"/>
      <c r="EU59" s="865"/>
      <c r="EV59" s="865"/>
      <c r="EW59" s="865"/>
      <c r="EX59" s="865"/>
      <c r="EY59" s="865"/>
      <c r="EZ59" s="865"/>
      <c r="FA59" s="865"/>
      <c r="FB59" s="865"/>
      <c r="FC59" s="865"/>
      <c r="FD59" s="865"/>
      <c r="FE59" s="865"/>
      <c r="FF59" s="865"/>
      <c r="FG59" s="865"/>
      <c r="FH59" s="865"/>
      <c r="FI59" s="865"/>
      <c r="FJ59" s="865"/>
      <c r="FK59" s="865"/>
      <c r="FL59" s="865"/>
      <c r="FM59" s="865"/>
      <c r="FN59" s="865"/>
      <c r="FO59" s="865"/>
      <c r="FP59" s="865"/>
      <c r="FQ59" s="865"/>
      <c r="FR59" s="865"/>
      <c r="FS59" s="865"/>
      <c r="FT59" s="865"/>
      <c r="FU59" s="865"/>
      <c r="FV59" s="865"/>
      <c r="FW59" s="865"/>
      <c r="FX59" s="865"/>
      <c r="FY59" s="865"/>
      <c r="FZ59" s="865"/>
      <c r="GA59" s="865"/>
      <c r="GB59" s="865"/>
      <c r="GC59" s="865"/>
      <c r="GD59" s="865"/>
      <c r="GE59" s="865"/>
      <c r="GF59" s="865"/>
      <c r="GG59" s="865"/>
      <c r="GH59" s="865"/>
      <c r="GI59" s="865"/>
      <c r="GJ59" s="865"/>
      <c r="GK59" s="865"/>
      <c r="GL59" s="865"/>
      <c r="GM59" s="865"/>
      <c r="GN59" s="865"/>
      <c r="GO59" s="865"/>
      <c r="GP59" s="865"/>
      <c r="GQ59" s="865"/>
      <c r="GR59" s="865"/>
      <c r="GS59" s="865"/>
      <c r="GT59" s="865"/>
      <c r="GU59" s="865"/>
      <c r="GV59" s="865"/>
      <c r="GW59" s="865"/>
      <c r="GX59" s="865"/>
      <c r="GY59" s="865"/>
      <c r="GZ59" s="865"/>
      <c r="HA59" s="865"/>
      <c r="HB59" s="865"/>
      <c r="HC59" s="865"/>
      <c r="HD59" s="865"/>
      <c r="HE59" s="865"/>
      <c r="HF59" s="865"/>
      <c r="HG59" s="865"/>
      <c r="HH59" s="865"/>
      <c r="HI59" s="865"/>
      <c r="HJ59" s="865"/>
      <c r="HK59" s="865"/>
      <c r="HL59" s="865"/>
      <c r="HM59" s="865"/>
      <c r="HN59" s="865"/>
      <c r="HO59" s="865"/>
      <c r="HP59" s="865"/>
      <c r="HQ59" s="865"/>
      <c r="HR59" s="865"/>
      <c r="HS59" s="865"/>
      <c r="HT59" s="865"/>
      <c r="HU59" s="865"/>
      <c r="HV59" s="865"/>
      <c r="HW59" s="865"/>
      <c r="HX59" s="865"/>
      <c r="HY59" s="865"/>
      <c r="HZ59" s="865"/>
      <c r="IA59" s="865"/>
      <c r="IB59" s="865"/>
      <c r="IC59" s="865"/>
      <c r="ID59" s="865"/>
      <c r="IE59" s="865"/>
      <c r="IF59" s="865"/>
      <c r="IG59" s="865"/>
      <c r="IH59" s="865"/>
      <c r="II59" s="865"/>
      <c r="IJ59" s="865"/>
      <c r="IK59" s="865"/>
      <c r="IL59" s="865"/>
      <c r="IM59" s="865"/>
      <c r="IN59" s="865"/>
      <c r="IO59" s="865"/>
      <c r="IP59" s="865"/>
      <c r="IQ59" s="865"/>
      <c r="IR59" s="865"/>
      <c r="IS59" s="865"/>
      <c r="IT59" s="865"/>
      <c r="IU59" s="865"/>
      <c r="IV59" s="865"/>
      <c r="IW59" s="865"/>
      <c r="IX59" s="865"/>
      <c r="IY59" s="865"/>
      <c r="IZ59" s="865"/>
      <c r="JA59" s="865"/>
      <c r="JB59" s="865"/>
      <c r="JC59" s="865"/>
      <c r="JD59" s="865"/>
      <c r="JE59" s="865"/>
      <c r="JF59" s="865"/>
      <c r="JG59" s="865"/>
      <c r="JH59" s="865"/>
      <c r="JI59" s="865"/>
      <c r="JJ59" s="865"/>
      <c r="JK59" s="865"/>
      <c r="JL59" s="865"/>
      <c r="JM59" s="865"/>
      <c r="JN59" s="865"/>
      <c r="JO59" s="865"/>
      <c r="JP59" s="865"/>
      <c r="JQ59" s="865"/>
      <c r="JR59" s="865"/>
      <c r="JS59" s="865"/>
      <c r="JT59" s="865"/>
      <c r="JU59" s="865"/>
      <c r="JV59" s="865"/>
      <c r="JW59" s="865"/>
      <c r="JX59" s="865"/>
      <c r="JY59" s="865"/>
      <c r="JZ59" s="865"/>
      <c r="KA59" s="865"/>
      <c r="KB59" s="865"/>
      <c r="KC59" s="865"/>
      <c r="KD59" s="865"/>
      <c r="KE59" s="865"/>
      <c r="KF59" s="865"/>
      <c r="KG59" s="865"/>
      <c r="KH59" s="865"/>
      <c r="KI59" s="865"/>
      <c r="KJ59" s="865"/>
      <c r="KK59" s="865"/>
      <c r="KL59" s="865"/>
      <c r="KM59" s="865"/>
      <c r="KN59" s="865"/>
      <c r="KO59" s="865"/>
      <c r="KP59" s="865"/>
      <c r="KQ59" s="865"/>
      <c r="KR59" s="865"/>
      <c r="KS59" s="865"/>
      <c r="KT59" s="865"/>
      <c r="KU59" s="865"/>
      <c r="KV59" s="865"/>
      <c r="KW59" s="865"/>
      <c r="KX59" s="865"/>
      <c r="KY59" s="865"/>
      <c r="KZ59" s="865"/>
      <c r="LA59" s="865"/>
      <c r="LB59" s="865"/>
      <c r="LC59" s="865"/>
      <c r="LD59" s="865"/>
      <c r="LE59" s="865"/>
      <c r="LF59" s="865"/>
      <c r="LG59" s="865"/>
      <c r="LH59" s="865"/>
      <c r="LI59" s="865"/>
      <c r="LJ59" s="865"/>
      <c r="LK59" s="865"/>
      <c r="LL59" s="865"/>
      <c r="LM59" s="865"/>
      <c r="LN59" s="865"/>
      <c r="LO59" s="865"/>
      <c r="LP59" s="865"/>
      <c r="LQ59" s="865"/>
      <c r="LR59" s="865"/>
      <c r="LS59" s="865"/>
      <c r="LT59" s="865"/>
      <c r="LU59" s="865"/>
      <c r="LV59" s="865"/>
      <c r="LW59" s="865"/>
      <c r="LX59" s="865"/>
      <c r="LY59" s="865"/>
      <c r="LZ59" s="865"/>
      <c r="MA59" s="865"/>
      <c r="MB59" s="865"/>
      <c r="MC59" s="865"/>
      <c r="MD59" s="865"/>
      <c r="ME59" s="865"/>
      <c r="MF59" s="865"/>
      <c r="MG59" s="865"/>
      <c r="MH59" s="865"/>
      <c r="MI59" s="865"/>
      <c r="MJ59" s="865"/>
      <c r="MK59" s="865"/>
      <c r="ML59" s="865"/>
      <c r="MM59" s="865"/>
      <c r="MN59" s="865"/>
      <c r="MO59" s="865"/>
      <c r="MP59" s="865"/>
      <c r="MQ59" s="865"/>
      <c r="MR59" s="865"/>
      <c r="MS59" s="865"/>
      <c r="MT59" s="865"/>
      <c r="MU59" s="865"/>
      <c r="MV59" s="865"/>
      <c r="MW59" s="865"/>
      <c r="MX59" s="865"/>
      <c r="MY59" s="865"/>
      <c r="MZ59" s="865"/>
      <c r="NA59" s="865"/>
      <c r="NB59" s="865"/>
      <c r="NC59" s="865"/>
      <c r="ND59" s="865"/>
      <c r="NE59" s="865"/>
      <c r="NF59" s="865"/>
      <c r="NG59" s="865"/>
      <c r="NH59" s="865"/>
      <c r="NI59" s="865"/>
      <c r="NJ59" s="865"/>
      <c r="NK59" s="865"/>
      <c r="NL59" s="865"/>
      <c r="NM59" s="865"/>
      <c r="NN59" s="865"/>
      <c r="NO59" s="865"/>
      <c r="NP59" s="865"/>
      <c r="NQ59" s="865"/>
      <c r="NR59" s="865"/>
      <c r="NS59" s="865"/>
      <c r="NT59" s="865"/>
      <c r="NU59" s="865"/>
      <c r="NV59" s="865"/>
      <c r="NW59" s="865"/>
      <c r="NX59" s="865"/>
      <c r="NY59" s="865"/>
      <c r="NZ59" s="865"/>
      <c r="OA59" s="865"/>
      <c r="OB59" s="865"/>
      <c r="OC59" s="865"/>
      <c r="OD59" s="865"/>
      <c r="OE59" s="865"/>
      <c r="OF59" s="865"/>
      <c r="OG59" s="865"/>
      <c r="OH59" s="865"/>
      <c r="OI59" s="865"/>
      <c r="OJ59" s="865"/>
      <c r="OK59" s="865"/>
      <c r="OL59" s="865"/>
      <c r="OM59" s="865"/>
      <c r="ON59" s="865"/>
      <c r="OO59" s="865"/>
      <c r="OP59" s="865"/>
      <c r="OQ59" s="865"/>
      <c r="OR59" s="865"/>
      <c r="OS59" s="865"/>
      <c r="OT59" s="865"/>
      <c r="OU59" s="865"/>
      <c r="OV59" s="865"/>
      <c r="OW59" s="865"/>
      <c r="OX59" s="865"/>
      <c r="OY59" s="865"/>
      <c r="OZ59" s="865"/>
      <c r="PA59" s="865"/>
      <c r="PB59" s="865"/>
      <c r="PC59" s="865"/>
      <c r="PD59" s="865"/>
      <c r="PE59" s="865"/>
      <c r="PF59" s="865"/>
      <c r="PG59" s="865"/>
      <c r="PH59" s="865"/>
      <c r="PI59" s="865"/>
      <c r="PJ59" s="865"/>
      <c r="PK59" s="865"/>
      <c r="PL59" s="865"/>
      <c r="PM59" s="865"/>
      <c r="PN59" s="865"/>
      <c r="PO59" s="865"/>
      <c r="PP59" s="865"/>
      <c r="PQ59" s="865"/>
      <c r="PR59" s="865"/>
      <c r="PS59" s="865"/>
      <c r="PT59" s="865"/>
      <c r="PU59" s="865"/>
      <c r="PV59" s="865"/>
      <c r="PW59" s="865"/>
      <c r="PX59" s="865"/>
      <c r="PY59" s="865"/>
      <c r="PZ59" s="865"/>
      <c r="QA59" s="865"/>
      <c r="QB59" s="865"/>
      <c r="QC59" s="865"/>
      <c r="QD59" s="865"/>
      <c r="QE59" s="865"/>
      <c r="QF59" s="865"/>
      <c r="QG59" s="865"/>
      <c r="QH59" s="865"/>
      <c r="QI59" s="865"/>
      <c r="QJ59" s="865"/>
      <c r="QK59" s="865"/>
      <c r="QL59" s="865"/>
      <c r="QM59" s="865"/>
      <c r="QN59" s="865"/>
      <c r="QO59" s="865"/>
      <c r="QP59" s="865"/>
      <c r="QQ59" s="865"/>
      <c r="QR59" s="865"/>
      <c r="QS59" s="865"/>
      <c r="QT59" s="865"/>
      <c r="QU59" s="865"/>
      <c r="QV59" s="865"/>
      <c r="QW59" s="865"/>
      <c r="QX59" s="865"/>
      <c r="QY59" s="865"/>
      <c r="QZ59" s="865"/>
      <c r="RA59" s="865"/>
      <c r="RB59" s="865"/>
      <c r="RC59" s="865"/>
      <c r="RD59" s="865"/>
      <c r="RE59" s="865"/>
      <c r="RF59" s="865"/>
      <c r="RG59" s="865"/>
      <c r="RH59" s="865"/>
      <c r="RI59" s="865"/>
      <c r="RJ59" s="865"/>
      <c r="RK59" s="865"/>
      <c r="RL59" s="865"/>
      <c r="RM59" s="865"/>
      <c r="RN59" s="865"/>
      <c r="RO59" s="865"/>
      <c r="RP59" s="865"/>
      <c r="RQ59" s="865"/>
      <c r="RR59" s="865"/>
      <c r="RS59" s="865"/>
      <c r="RT59" s="865"/>
      <c r="RU59" s="865"/>
      <c r="RV59" s="865"/>
      <c r="RW59" s="865"/>
      <c r="RX59" s="865"/>
    </row>
    <row r="60" spans="1:492" s="165" customFormat="1">
      <c r="A60" s="865"/>
      <c r="B60" s="865"/>
      <c r="C60" s="865"/>
      <c r="D60" s="865"/>
      <c r="E60" s="865"/>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50"/>
      <c r="AN60" s="850"/>
      <c r="AO60" s="850"/>
      <c r="AP60" s="850"/>
      <c r="AQ60" s="850"/>
      <c r="AR60" s="850"/>
      <c r="AS60" s="850"/>
      <c r="AT60" s="850"/>
      <c r="AU60" s="850"/>
      <c r="AV60" s="850"/>
      <c r="AW60" s="850"/>
      <c r="AX60" s="850"/>
      <c r="AY60" s="850"/>
      <c r="AZ60" s="850"/>
      <c r="BA60" s="850"/>
      <c r="BB60" s="850"/>
      <c r="BC60" s="850"/>
      <c r="BD60" s="850"/>
      <c r="BE60" s="850"/>
      <c r="BF60" s="850"/>
      <c r="BG60" s="850"/>
      <c r="BH60" s="850"/>
      <c r="BI60" s="850"/>
      <c r="BJ60" s="850"/>
      <c r="BK60" s="850"/>
      <c r="BL60" s="850"/>
      <c r="BM60" s="850"/>
      <c r="BN60" s="850"/>
      <c r="BO60" s="850"/>
      <c r="BP60" s="850"/>
      <c r="BQ60" s="850"/>
      <c r="BR60" s="850"/>
      <c r="BS60" s="850"/>
      <c r="BT60" s="850"/>
      <c r="BU60" s="850"/>
      <c r="BV60" s="865"/>
      <c r="BW60" s="865"/>
      <c r="BX60" s="865"/>
      <c r="BY60" s="865"/>
      <c r="BZ60" s="865"/>
      <c r="CA60" s="865"/>
      <c r="CB60" s="865"/>
      <c r="CC60" s="865"/>
      <c r="CD60" s="865"/>
      <c r="CE60" s="865"/>
      <c r="CF60" s="865"/>
      <c r="CG60" s="865"/>
      <c r="CH60" s="865"/>
      <c r="CI60" s="865"/>
      <c r="CJ60" s="865"/>
      <c r="CK60" s="865"/>
      <c r="CL60" s="865"/>
      <c r="CM60" s="865"/>
      <c r="CN60" s="865"/>
      <c r="CO60" s="865"/>
      <c r="CP60" s="865"/>
      <c r="CQ60" s="865"/>
      <c r="CR60" s="865"/>
      <c r="CS60" s="865"/>
      <c r="CT60" s="865"/>
      <c r="CU60" s="865"/>
      <c r="CV60" s="865"/>
      <c r="CW60" s="865"/>
      <c r="CX60" s="865"/>
      <c r="CY60" s="865"/>
      <c r="CZ60" s="865"/>
      <c r="DA60" s="865"/>
      <c r="DB60" s="865"/>
      <c r="DC60" s="865"/>
      <c r="DD60" s="865"/>
      <c r="DE60" s="865"/>
      <c r="DF60" s="865"/>
      <c r="DG60" s="865"/>
      <c r="DH60" s="865"/>
      <c r="DI60" s="865"/>
      <c r="DJ60" s="865"/>
      <c r="DK60" s="865"/>
      <c r="DL60" s="865"/>
      <c r="DM60" s="865"/>
      <c r="DN60" s="865"/>
      <c r="DO60" s="865"/>
      <c r="DP60" s="865"/>
      <c r="DQ60" s="865"/>
      <c r="DR60" s="865"/>
      <c r="DS60" s="865"/>
      <c r="DT60" s="865"/>
      <c r="DU60" s="865"/>
      <c r="DV60" s="865"/>
      <c r="DW60" s="865"/>
      <c r="DX60" s="865"/>
      <c r="DY60" s="865"/>
      <c r="DZ60" s="865"/>
      <c r="EA60" s="865"/>
      <c r="EB60" s="865"/>
      <c r="EC60" s="865"/>
      <c r="ED60" s="865"/>
      <c r="EE60" s="865"/>
      <c r="EF60" s="865"/>
      <c r="EG60" s="865"/>
      <c r="EH60" s="865"/>
      <c r="EI60" s="865"/>
      <c r="EJ60" s="865"/>
      <c r="EK60" s="865"/>
      <c r="EL60" s="865"/>
      <c r="EM60" s="865"/>
      <c r="EN60" s="865"/>
      <c r="EO60" s="865"/>
      <c r="EP60" s="865"/>
      <c r="EQ60" s="865"/>
      <c r="ER60" s="865"/>
      <c r="ES60" s="865"/>
      <c r="ET60" s="865"/>
      <c r="EU60" s="865"/>
      <c r="EV60" s="865"/>
      <c r="EW60" s="865"/>
      <c r="EX60" s="865"/>
      <c r="EY60" s="865"/>
      <c r="EZ60" s="865"/>
      <c r="FA60" s="865"/>
      <c r="FB60" s="865"/>
      <c r="FC60" s="865"/>
      <c r="FD60" s="865"/>
      <c r="FE60" s="865"/>
      <c r="FF60" s="865"/>
      <c r="FG60" s="865"/>
      <c r="FH60" s="865"/>
      <c r="FI60" s="865"/>
      <c r="FJ60" s="865"/>
      <c r="FK60" s="865"/>
      <c r="FL60" s="865"/>
      <c r="FM60" s="865"/>
      <c r="FN60" s="865"/>
      <c r="FO60" s="865"/>
      <c r="FP60" s="865"/>
      <c r="FQ60" s="865"/>
      <c r="FR60" s="865"/>
      <c r="FS60" s="865"/>
      <c r="FT60" s="865"/>
      <c r="FU60" s="865"/>
      <c r="FV60" s="865"/>
      <c r="FW60" s="865"/>
      <c r="FX60" s="865"/>
      <c r="FY60" s="865"/>
      <c r="FZ60" s="865"/>
      <c r="GA60" s="865"/>
      <c r="GB60" s="865"/>
      <c r="GC60" s="865"/>
      <c r="GD60" s="865"/>
      <c r="GE60" s="865"/>
      <c r="GF60" s="865"/>
      <c r="GG60" s="865"/>
      <c r="GH60" s="865"/>
      <c r="GI60" s="865"/>
      <c r="GJ60" s="865"/>
      <c r="GK60" s="865"/>
      <c r="GL60" s="865"/>
      <c r="GM60" s="865"/>
      <c r="GN60" s="865"/>
      <c r="GO60" s="865"/>
      <c r="GP60" s="865"/>
      <c r="GQ60" s="865"/>
      <c r="GR60" s="865"/>
      <c r="GS60" s="865"/>
      <c r="GT60" s="865"/>
      <c r="GU60" s="865"/>
      <c r="GV60" s="865"/>
      <c r="GW60" s="865"/>
      <c r="GX60" s="865"/>
      <c r="GY60" s="865"/>
      <c r="GZ60" s="865"/>
      <c r="HA60" s="865"/>
      <c r="HB60" s="865"/>
      <c r="HC60" s="865"/>
      <c r="HD60" s="865"/>
      <c r="HE60" s="865"/>
      <c r="HF60" s="865"/>
      <c r="HG60" s="865"/>
      <c r="HH60" s="865"/>
      <c r="HI60" s="865"/>
      <c r="HJ60" s="865"/>
      <c r="HK60" s="865"/>
      <c r="HL60" s="865"/>
      <c r="HM60" s="865"/>
      <c r="HN60" s="865"/>
      <c r="HO60" s="865"/>
      <c r="HP60" s="865"/>
      <c r="HQ60" s="865"/>
      <c r="HR60" s="865"/>
      <c r="HS60" s="865"/>
      <c r="HT60" s="865"/>
      <c r="HU60" s="865"/>
      <c r="HV60" s="865"/>
      <c r="HW60" s="865"/>
      <c r="HX60" s="865"/>
      <c r="HY60" s="865"/>
      <c r="HZ60" s="865"/>
      <c r="IA60" s="865"/>
      <c r="IB60" s="865"/>
      <c r="IC60" s="865"/>
      <c r="ID60" s="865"/>
      <c r="IE60" s="865"/>
      <c r="IF60" s="865"/>
      <c r="IG60" s="865"/>
      <c r="IH60" s="865"/>
      <c r="II60" s="865"/>
      <c r="IJ60" s="865"/>
      <c r="IK60" s="865"/>
      <c r="IL60" s="865"/>
      <c r="IM60" s="865"/>
      <c r="IN60" s="865"/>
      <c r="IO60" s="865"/>
      <c r="IP60" s="865"/>
      <c r="IQ60" s="865"/>
      <c r="IR60" s="865"/>
      <c r="IS60" s="865"/>
      <c r="IT60" s="865"/>
      <c r="IU60" s="865"/>
      <c r="IV60" s="865"/>
      <c r="IW60" s="865"/>
      <c r="IX60" s="865"/>
      <c r="IY60" s="865"/>
      <c r="IZ60" s="865"/>
      <c r="JA60" s="865"/>
      <c r="JB60" s="865"/>
      <c r="JC60" s="865"/>
      <c r="JD60" s="865"/>
      <c r="JE60" s="865"/>
      <c r="JF60" s="865"/>
      <c r="JG60" s="865"/>
      <c r="JH60" s="865"/>
      <c r="JI60" s="865"/>
      <c r="JJ60" s="865"/>
      <c r="JK60" s="865"/>
      <c r="JL60" s="865"/>
      <c r="JM60" s="865"/>
      <c r="JN60" s="865"/>
      <c r="JO60" s="865"/>
      <c r="JP60" s="865"/>
      <c r="JQ60" s="865"/>
      <c r="JR60" s="865"/>
      <c r="JS60" s="865"/>
      <c r="JT60" s="865"/>
      <c r="JU60" s="865"/>
      <c r="JV60" s="865"/>
      <c r="JW60" s="865"/>
      <c r="JX60" s="865"/>
      <c r="JY60" s="865"/>
      <c r="JZ60" s="865"/>
      <c r="KA60" s="865"/>
      <c r="KB60" s="865"/>
      <c r="KC60" s="865"/>
      <c r="KD60" s="865"/>
      <c r="KE60" s="865"/>
      <c r="KF60" s="865"/>
      <c r="KG60" s="865"/>
      <c r="KH60" s="865"/>
      <c r="KI60" s="865"/>
      <c r="KJ60" s="865"/>
      <c r="KK60" s="865"/>
      <c r="KL60" s="865"/>
      <c r="KM60" s="865"/>
      <c r="KN60" s="865"/>
      <c r="KO60" s="865"/>
      <c r="KP60" s="865"/>
      <c r="KQ60" s="865"/>
      <c r="KR60" s="865"/>
      <c r="KS60" s="865"/>
      <c r="KT60" s="865"/>
      <c r="KU60" s="865"/>
      <c r="KV60" s="865"/>
      <c r="KW60" s="865"/>
      <c r="KX60" s="865"/>
      <c r="KY60" s="865"/>
      <c r="KZ60" s="865"/>
      <c r="LA60" s="865"/>
      <c r="LB60" s="865"/>
      <c r="LC60" s="865"/>
      <c r="LD60" s="865"/>
      <c r="LE60" s="865"/>
      <c r="LF60" s="865"/>
      <c r="LG60" s="865"/>
      <c r="LH60" s="865"/>
      <c r="LI60" s="865"/>
      <c r="LJ60" s="865"/>
      <c r="LK60" s="865"/>
      <c r="LL60" s="865"/>
      <c r="LM60" s="865"/>
      <c r="LN60" s="865"/>
      <c r="LO60" s="865"/>
      <c r="LP60" s="865"/>
      <c r="LQ60" s="865"/>
      <c r="LR60" s="865"/>
      <c r="LS60" s="865"/>
      <c r="LT60" s="865"/>
      <c r="LU60" s="865"/>
      <c r="LV60" s="865"/>
      <c r="LW60" s="865"/>
      <c r="LX60" s="865"/>
      <c r="LY60" s="865"/>
      <c r="LZ60" s="865"/>
      <c r="MA60" s="865"/>
      <c r="MB60" s="865"/>
      <c r="MC60" s="865"/>
      <c r="MD60" s="865"/>
      <c r="ME60" s="865"/>
      <c r="MF60" s="865"/>
      <c r="MG60" s="865"/>
      <c r="MH60" s="865"/>
      <c r="MI60" s="865"/>
      <c r="MJ60" s="865"/>
      <c r="MK60" s="865"/>
      <c r="ML60" s="865"/>
      <c r="MM60" s="865"/>
      <c r="MN60" s="865"/>
      <c r="MO60" s="865"/>
      <c r="MP60" s="865"/>
      <c r="MQ60" s="865"/>
      <c r="MR60" s="865"/>
      <c r="MS60" s="865"/>
      <c r="MT60" s="865"/>
      <c r="MU60" s="865"/>
      <c r="MV60" s="865"/>
      <c r="MW60" s="865"/>
      <c r="MX60" s="865"/>
      <c r="MY60" s="865"/>
      <c r="MZ60" s="865"/>
      <c r="NA60" s="865"/>
      <c r="NB60" s="865"/>
      <c r="NC60" s="865"/>
      <c r="ND60" s="865"/>
      <c r="NE60" s="865"/>
      <c r="NF60" s="865"/>
      <c r="NG60" s="865"/>
      <c r="NH60" s="865"/>
      <c r="NI60" s="865"/>
      <c r="NJ60" s="865"/>
      <c r="NK60" s="865"/>
      <c r="NL60" s="865"/>
      <c r="NM60" s="865"/>
      <c r="NN60" s="865"/>
      <c r="NO60" s="865"/>
      <c r="NP60" s="865"/>
      <c r="NQ60" s="865"/>
      <c r="NR60" s="865"/>
      <c r="NS60" s="865"/>
      <c r="NT60" s="865"/>
      <c r="NU60" s="865"/>
      <c r="NV60" s="865"/>
      <c r="NW60" s="865"/>
      <c r="NX60" s="865"/>
      <c r="NY60" s="865"/>
      <c r="NZ60" s="865"/>
      <c r="OA60" s="865"/>
      <c r="OB60" s="865"/>
      <c r="OC60" s="865"/>
      <c r="OD60" s="865"/>
      <c r="OE60" s="865"/>
      <c r="OF60" s="865"/>
      <c r="OG60" s="865"/>
      <c r="OH60" s="865"/>
      <c r="OI60" s="865"/>
      <c r="OJ60" s="865"/>
      <c r="OK60" s="865"/>
      <c r="OL60" s="865"/>
      <c r="OM60" s="865"/>
      <c r="ON60" s="865"/>
      <c r="OO60" s="865"/>
      <c r="OP60" s="865"/>
      <c r="OQ60" s="865"/>
      <c r="OR60" s="865"/>
      <c r="OS60" s="865"/>
      <c r="OT60" s="865"/>
      <c r="OU60" s="865"/>
      <c r="OV60" s="865"/>
      <c r="OW60" s="865"/>
      <c r="OX60" s="865"/>
      <c r="OY60" s="865"/>
      <c r="OZ60" s="865"/>
      <c r="PA60" s="865"/>
      <c r="PB60" s="865"/>
      <c r="PC60" s="865"/>
      <c r="PD60" s="865"/>
      <c r="PE60" s="865"/>
      <c r="PF60" s="865"/>
      <c r="PG60" s="865"/>
      <c r="PH60" s="865"/>
      <c r="PI60" s="865"/>
      <c r="PJ60" s="865"/>
      <c r="PK60" s="865"/>
      <c r="PL60" s="865"/>
      <c r="PM60" s="865"/>
      <c r="PN60" s="865"/>
      <c r="PO60" s="865"/>
      <c r="PP60" s="865"/>
      <c r="PQ60" s="865"/>
      <c r="PR60" s="865"/>
      <c r="PS60" s="865"/>
      <c r="PT60" s="865"/>
      <c r="PU60" s="865"/>
      <c r="PV60" s="865"/>
      <c r="PW60" s="865"/>
      <c r="PX60" s="865"/>
      <c r="PY60" s="865"/>
      <c r="PZ60" s="865"/>
      <c r="QA60" s="865"/>
      <c r="QB60" s="865"/>
      <c r="QC60" s="865"/>
      <c r="QD60" s="865"/>
      <c r="QE60" s="865"/>
      <c r="QF60" s="865"/>
      <c r="QG60" s="865"/>
      <c r="QH60" s="865"/>
      <c r="QI60" s="865"/>
      <c r="QJ60" s="865"/>
      <c r="QK60" s="865"/>
      <c r="QL60" s="865"/>
      <c r="QM60" s="865"/>
      <c r="QN60" s="865"/>
      <c r="QO60" s="865"/>
      <c r="QP60" s="865"/>
      <c r="QQ60" s="865"/>
      <c r="QR60" s="865"/>
      <c r="QS60" s="865"/>
      <c r="QT60" s="865"/>
      <c r="QU60" s="865"/>
      <c r="QV60" s="865"/>
      <c r="QW60" s="865"/>
      <c r="QX60" s="865"/>
      <c r="QY60" s="865"/>
      <c r="QZ60" s="865"/>
      <c r="RA60" s="865"/>
      <c r="RB60" s="865"/>
      <c r="RC60" s="865"/>
      <c r="RD60" s="865"/>
      <c r="RE60" s="865"/>
      <c r="RF60" s="865"/>
      <c r="RG60" s="865"/>
      <c r="RH60" s="865"/>
      <c r="RI60" s="865"/>
      <c r="RJ60" s="865"/>
      <c r="RK60" s="865"/>
      <c r="RL60" s="865"/>
      <c r="RM60" s="865"/>
      <c r="RN60" s="865"/>
      <c r="RO60" s="865"/>
      <c r="RP60" s="865"/>
      <c r="RQ60" s="865"/>
      <c r="RR60" s="865"/>
      <c r="RS60" s="865"/>
      <c r="RT60" s="865"/>
      <c r="RU60" s="865"/>
      <c r="RV60" s="865"/>
      <c r="RW60" s="865"/>
      <c r="RX60" s="865"/>
    </row>
    <row r="61" spans="1:492" s="165" customFormat="1">
      <c r="A61" s="865"/>
      <c r="B61" s="865"/>
      <c r="C61" s="865"/>
      <c r="D61" s="865"/>
      <c r="E61" s="865"/>
      <c r="F61" s="865"/>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50"/>
      <c r="AN61" s="850"/>
      <c r="AO61" s="850"/>
      <c r="AP61" s="850"/>
      <c r="AQ61" s="850"/>
      <c r="AR61" s="850"/>
      <c r="AS61" s="850"/>
      <c r="AT61" s="850"/>
      <c r="AU61" s="850"/>
      <c r="AV61" s="850"/>
      <c r="AW61" s="850"/>
      <c r="AX61" s="850"/>
      <c r="AY61" s="850"/>
      <c r="AZ61" s="850"/>
      <c r="BA61" s="850"/>
      <c r="BB61" s="850"/>
      <c r="BC61" s="850"/>
      <c r="BD61" s="850"/>
      <c r="BE61" s="850"/>
      <c r="BF61" s="850"/>
      <c r="BG61" s="850"/>
      <c r="BH61" s="850"/>
      <c r="BI61" s="850"/>
      <c r="BJ61" s="850"/>
      <c r="BK61" s="850"/>
      <c r="BL61" s="850"/>
      <c r="BM61" s="850"/>
      <c r="BN61" s="850"/>
      <c r="BO61" s="850"/>
      <c r="BP61" s="850"/>
      <c r="BQ61" s="850"/>
      <c r="BR61" s="850"/>
      <c r="BS61" s="850"/>
      <c r="BT61" s="850"/>
      <c r="BU61" s="850"/>
      <c r="BV61" s="865"/>
      <c r="BW61" s="865"/>
      <c r="BX61" s="865"/>
      <c r="BY61" s="865"/>
      <c r="BZ61" s="865"/>
      <c r="CA61" s="865"/>
      <c r="CB61" s="865"/>
      <c r="CC61" s="865"/>
      <c r="CD61" s="865"/>
      <c r="CE61" s="865"/>
      <c r="CF61" s="865"/>
      <c r="CG61" s="865"/>
      <c r="CH61" s="865"/>
      <c r="CI61" s="865"/>
      <c r="CJ61" s="865"/>
      <c r="CK61" s="865"/>
      <c r="CL61" s="865"/>
      <c r="CM61" s="865"/>
      <c r="CN61" s="865"/>
      <c r="CO61" s="865"/>
      <c r="CP61" s="865"/>
      <c r="CQ61" s="865"/>
      <c r="CR61" s="865"/>
      <c r="CS61" s="865"/>
      <c r="CT61" s="865"/>
      <c r="CU61" s="865"/>
      <c r="CV61" s="865"/>
      <c r="CW61" s="865"/>
      <c r="CX61" s="865"/>
      <c r="CY61" s="865"/>
      <c r="CZ61" s="865"/>
      <c r="DA61" s="865"/>
      <c r="DB61" s="865"/>
      <c r="DC61" s="865"/>
      <c r="DD61" s="865"/>
      <c r="DE61" s="865"/>
      <c r="DF61" s="865"/>
      <c r="DG61" s="865"/>
      <c r="DH61" s="865"/>
      <c r="DI61" s="865"/>
      <c r="DJ61" s="865"/>
      <c r="DK61" s="865"/>
      <c r="DL61" s="865"/>
      <c r="DM61" s="865"/>
      <c r="DN61" s="865"/>
      <c r="DO61" s="865"/>
      <c r="DP61" s="865"/>
      <c r="DQ61" s="865"/>
      <c r="DR61" s="865"/>
      <c r="DS61" s="865"/>
      <c r="DT61" s="865"/>
      <c r="DU61" s="865"/>
      <c r="DV61" s="865"/>
      <c r="DW61" s="865"/>
      <c r="DX61" s="865"/>
      <c r="DY61" s="865"/>
      <c r="DZ61" s="865"/>
      <c r="EA61" s="865"/>
      <c r="EB61" s="865"/>
      <c r="EC61" s="865"/>
      <c r="ED61" s="865"/>
      <c r="EE61" s="865"/>
      <c r="EF61" s="865"/>
      <c r="EG61" s="865"/>
      <c r="EH61" s="865"/>
      <c r="EI61" s="865"/>
      <c r="EJ61" s="865"/>
      <c r="EK61" s="865"/>
      <c r="EL61" s="865"/>
      <c r="EM61" s="865"/>
      <c r="EN61" s="865"/>
      <c r="EO61" s="865"/>
      <c r="EP61" s="865"/>
      <c r="EQ61" s="865"/>
      <c r="ER61" s="865"/>
      <c r="ES61" s="865"/>
      <c r="ET61" s="865"/>
      <c r="EU61" s="865"/>
      <c r="EV61" s="865"/>
      <c r="EW61" s="865"/>
      <c r="EX61" s="865"/>
      <c r="EY61" s="865"/>
      <c r="EZ61" s="865"/>
      <c r="FA61" s="865"/>
      <c r="FB61" s="865"/>
      <c r="FC61" s="865"/>
      <c r="FD61" s="865"/>
      <c r="FE61" s="865"/>
      <c r="FF61" s="865"/>
      <c r="FG61" s="865"/>
      <c r="FH61" s="865"/>
      <c r="FI61" s="865"/>
      <c r="FJ61" s="865"/>
      <c r="FK61" s="865"/>
      <c r="FL61" s="865"/>
      <c r="FM61" s="865"/>
      <c r="FN61" s="865"/>
      <c r="FO61" s="865"/>
      <c r="FP61" s="865"/>
      <c r="FQ61" s="865"/>
      <c r="FR61" s="865"/>
      <c r="FS61" s="865"/>
      <c r="FT61" s="865"/>
      <c r="FU61" s="865"/>
      <c r="FV61" s="865"/>
      <c r="FW61" s="865"/>
      <c r="FX61" s="865"/>
      <c r="FY61" s="865"/>
      <c r="FZ61" s="865"/>
      <c r="GA61" s="865"/>
      <c r="GB61" s="865"/>
      <c r="GC61" s="865"/>
      <c r="GD61" s="865"/>
      <c r="GE61" s="865"/>
      <c r="GF61" s="865"/>
      <c r="GG61" s="865"/>
      <c r="GH61" s="865"/>
      <c r="GI61" s="865"/>
      <c r="GJ61" s="865"/>
      <c r="GK61" s="865"/>
      <c r="GL61" s="865"/>
      <c r="GM61" s="865"/>
      <c r="GN61" s="865"/>
      <c r="GO61" s="865"/>
      <c r="GP61" s="865"/>
      <c r="GQ61" s="865"/>
      <c r="GR61" s="865"/>
      <c r="GS61" s="865"/>
      <c r="GT61" s="865"/>
      <c r="GU61" s="865"/>
      <c r="GV61" s="865"/>
      <c r="GW61" s="865"/>
      <c r="GX61" s="865"/>
      <c r="GY61" s="865"/>
      <c r="GZ61" s="865"/>
      <c r="HA61" s="865"/>
      <c r="HB61" s="865"/>
      <c r="HC61" s="865"/>
      <c r="HD61" s="865"/>
      <c r="HE61" s="865"/>
      <c r="HF61" s="865"/>
      <c r="HG61" s="865"/>
      <c r="HH61" s="865"/>
      <c r="HI61" s="865"/>
      <c r="HJ61" s="865"/>
      <c r="HK61" s="865"/>
      <c r="HL61" s="865"/>
      <c r="HM61" s="865"/>
      <c r="HN61" s="865"/>
      <c r="HO61" s="865"/>
      <c r="HP61" s="865"/>
      <c r="HQ61" s="865"/>
      <c r="HR61" s="865"/>
      <c r="HS61" s="865"/>
      <c r="HT61" s="865"/>
      <c r="HU61" s="865"/>
      <c r="HV61" s="865"/>
      <c r="HW61" s="865"/>
      <c r="HX61" s="865"/>
      <c r="HY61" s="865"/>
      <c r="HZ61" s="865"/>
      <c r="IA61" s="865"/>
      <c r="IB61" s="865"/>
      <c r="IC61" s="865"/>
      <c r="ID61" s="865"/>
      <c r="IE61" s="865"/>
      <c r="IF61" s="865"/>
      <c r="IG61" s="865"/>
      <c r="IH61" s="865"/>
      <c r="II61" s="865"/>
      <c r="IJ61" s="865"/>
      <c r="IK61" s="865"/>
      <c r="IL61" s="865"/>
      <c r="IM61" s="865"/>
      <c r="IN61" s="865"/>
      <c r="IO61" s="865"/>
      <c r="IP61" s="865"/>
      <c r="IQ61" s="865"/>
      <c r="IR61" s="865"/>
      <c r="IS61" s="865"/>
      <c r="IT61" s="865"/>
      <c r="IU61" s="865"/>
      <c r="IV61" s="865"/>
      <c r="IW61" s="865"/>
      <c r="IX61" s="865"/>
      <c r="IY61" s="865"/>
      <c r="IZ61" s="865"/>
      <c r="JA61" s="865"/>
      <c r="JB61" s="865"/>
      <c r="JC61" s="865"/>
      <c r="JD61" s="865"/>
      <c r="JE61" s="865"/>
      <c r="JF61" s="865"/>
      <c r="JG61" s="865"/>
      <c r="JH61" s="865"/>
      <c r="JI61" s="865"/>
      <c r="JJ61" s="865"/>
      <c r="JK61" s="865"/>
      <c r="JL61" s="865"/>
      <c r="JM61" s="865"/>
      <c r="JN61" s="865"/>
      <c r="JO61" s="865"/>
      <c r="JP61" s="865"/>
      <c r="JQ61" s="865"/>
      <c r="JR61" s="865"/>
      <c r="JS61" s="865"/>
      <c r="JT61" s="865"/>
      <c r="JU61" s="865"/>
      <c r="JV61" s="865"/>
      <c r="JW61" s="865"/>
      <c r="JX61" s="865"/>
      <c r="JY61" s="865"/>
      <c r="JZ61" s="865"/>
      <c r="KA61" s="865"/>
      <c r="KB61" s="865"/>
      <c r="KC61" s="865"/>
      <c r="KD61" s="865"/>
      <c r="KE61" s="865"/>
      <c r="KF61" s="865"/>
      <c r="KG61" s="865"/>
      <c r="KH61" s="865"/>
      <c r="KI61" s="865"/>
      <c r="KJ61" s="865"/>
      <c r="KK61" s="865"/>
      <c r="KL61" s="865"/>
      <c r="KM61" s="865"/>
      <c r="KN61" s="865"/>
      <c r="KO61" s="865"/>
      <c r="KP61" s="865"/>
      <c r="KQ61" s="865"/>
      <c r="KR61" s="865"/>
      <c r="KS61" s="865"/>
      <c r="KT61" s="865"/>
      <c r="KU61" s="865"/>
      <c r="KV61" s="865"/>
      <c r="KW61" s="865"/>
      <c r="KX61" s="865"/>
      <c r="KY61" s="865"/>
      <c r="KZ61" s="865"/>
      <c r="LA61" s="865"/>
      <c r="LB61" s="865"/>
      <c r="LC61" s="865"/>
      <c r="LD61" s="865"/>
      <c r="LE61" s="865"/>
      <c r="LF61" s="865"/>
      <c r="LG61" s="865"/>
      <c r="LH61" s="865"/>
      <c r="LI61" s="865"/>
      <c r="LJ61" s="865"/>
      <c r="LK61" s="865"/>
      <c r="LL61" s="865"/>
      <c r="LM61" s="865"/>
      <c r="LN61" s="865"/>
      <c r="LO61" s="865"/>
      <c r="LP61" s="865"/>
      <c r="LQ61" s="865"/>
      <c r="LR61" s="865"/>
      <c r="LS61" s="865"/>
      <c r="LT61" s="865"/>
      <c r="LU61" s="865"/>
      <c r="LV61" s="865"/>
      <c r="LW61" s="865"/>
      <c r="LX61" s="865"/>
      <c r="LY61" s="865"/>
      <c r="LZ61" s="865"/>
      <c r="MA61" s="865"/>
      <c r="MB61" s="865"/>
      <c r="MC61" s="865"/>
      <c r="MD61" s="865"/>
      <c r="ME61" s="865"/>
      <c r="MF61" s="865"/>
      <c r="MG61" s="865"/>
      <c r="MH61" s="865"/>
      <c r="MI61" s="865"/>
      <c r="MJ61" s="865"/>
      <c r="MK61" s="865"/>
      <c r="ML61" s="865"/>
      <c r="MM61" s="865"/>
      <c r="MN61" s="865"/>
      <c r="MO61" s="865"/>
      <c r="MP61" s="865"/>
      <c r="MQ61" s="865"/>
      <c r="MR61" s="865"/>
      <c r="MS61" s="865"/>
      <c r="MT61" s="865"/>
      <c r="MU61" s="865"/>
      <c r="MV61" s="865"/>
      <c r="MW61" s="865"/>
      <c r="MX61" s="865"/>
      <c r="MY61" s="865"/>
      <c r="MZ61" s="865"/>
      <c r="NA61" s="865"/>
      <c r="NB61" s="865"/>
      <c r="NC61" s="865"/>
      <c r="ND61" s="865"/>
      <c r="NE61" s="865"/>
      <c r="NF61" s="865"/>
      <c r="NG61" s="865"/>
      <c r="NH61" s="865"/>
      <c r="NI61" s="865"/>
      <c r="NJ61" s="865"/>
      <c r="NK61" s="865"/>
      <c r="NL61" s="865"/>
      <c r="NM61" s="865"/>
      <c r="NN61" s="865"/>
      <c r="NO61" s="865"/>
      <c r="NP61" s="865"/>
      <c r="NQ61" s="865"/>
      <c r="NR61" s="865"/>
      <c r="NS61" s="865"/>
      <c r="NT61" s="865"/>
      <c r="NU61" s="865"/>
      <c r="NV61" s="865"/>
      <c r="NW61" s="865"/>
      <c r="NX61" s="865"/>
      <c r="NY61" s="865"/>
      <c r="NZ61" s="865"/>
      <c r="OA61" s="865"/>
      <c r="OB61" s="865"/>
      <c r="OC61" s="865"/>
      <c r="OD61" s="865"/>
      <c r="OE61" s="865"/>
      <c r="OF61" s="865"/>
      <c r="OG61" s="865"/>
      <c r="OH61" s="865"/>
      <c r="OI61" s="865"/>
      <c r="OJ61" s="865"/>
      <c r="OK61" s="865"/>
      <c r="OL61" s="865"/>
      <c r="OM61" s="865"/>
      <c r="ON61" s="865"/>
      <c r="OO61" s="865"/>
      <c r="OP61" s="865"/>
      <c r="OQ61" s="865"/>
      <c r="OR61" s="865"/>
      <c r="OS61" s="865"/>
      <c r="OT61" s="865"/>
      <c r="OU61" s="865"/>
      <c r="OV61" s="865"/>
      <c r="OW61" s="865"/>
      <c r="OX61" s="865"/>
      <c r="OY61" s="865"/>
      <c r="OZ61" s="865"/>
      <c r="PA61" s="865"/>
      <c r="PB61" s="865"/>
      <c r="PC61" s="865"/>
      <c r="PD61" s="865"/>
      <c r="PE61" s="865"/>
      <c r="PF61" s="865"/>
      <c r="PG61" s="865"/>
      <c r="PH61" s="865"/>
      <c r="PI61" s="865"/>
      <c r="PJ61" s="865"/>
      <c r="PK61" s="865"/>
      <c r="PL61" s="865"/>
      <c r="PM61" s="865"/>
      <c r="PN61" s="865"/>
      <c r="PO61" s="865"/>
      <c r="PP61" s="865"/>
      <c r="PQ61" s="865"/>
      <c r="PR61" s="865"/>
      <c r="PS61" s="865"/>
      <c r="PT61" s="865"/>
      <c r="PU61" s="865"/>
      <c r="PV61" s="865"/>
      <c r="PW61" s="865"/>
      <c r="PX61" s="865"/>
      <c r="PY61" s="865"/>
      <c r="PZ61" s="865"/>
      <c r="QA61" s="865"/>
      <c r="QB61" s="865"/>
      <c r="QC61" s="865"/>
      <c r="QD61" s="865"/>
      <c r="QE61" s="865"/>
      <c r="QF61" s="865"/>
      <c r="QG61" s="865"/>
      <c r="QH61" s="865"/>
      <c r="QI61" s="865"/>
      <c r="QJ61" s="865"/>
      <c r="QK61" s="865"/>
      <c r="QL61" s="865"/>
      <c r="QM61" s="865"/>
      <c r="QN61" s="865"/>
      <c r="QO61" s="865"/>
      <c r="QP61" s="865"/>
      <c r="QQ61" s="865"/>
      <c r="QR61" s="865"/>
      <c r="QS61" s="865"/>
      <c r="QT61" s="865"/>
      <c r="QU61" s="865"/>
      <c r="QV61" s="865"/>
      <c r="QW61" s="865"/>
      <c r="QX61" s="865"/>
      <c r="QY61" s="865"/>
      <c r="QZ61" s="865"/>
      <c r="RA61" s="865"/>
      <c r="RB61" s="865"/>
      <c r="RC61" s="865"/>
      <c r="RD61" s="865"/>
      <c r="RE61" s="865"/>
      <c r="RF61" s="865"/>
      <c r="RG61" s="865"/>
      <c r="RH61" s="865"/>
      <c r="RI61" s="865"/>
      <c r="RJ61" s="865"/>
      <c r="RK61" s="865"/>
      <c r="RL61" s="865"/>
      <c r="RM61" s="865"/>
      <c r="RN61" s="865"/>
      <c r="RO61" s="865"/>
      <c r="RP61" s="865"/>
      <c r="RQ61" s="865"/>
      <c r="RR61" s="865"/>
      <c r="RS61" s="865"/>
      <c r="RT61" s="865"/>
      <c r="RU61" s="865"/>
      <c r="RV61" s="865"/>
      <c r="RW61" s="865"/>
      <c r="RX61" s="865"/>
    </row>
    <row r="62" spans="1:492" s="165" customFormat="1">
      <c r="A62" s="865"/>
      <c r="B62" s="865"/>
      <c r="C62" s="865"/>
      <c r="D62" s="865"/>
      <c r="E62" s="865"/>
      <c r="F62" s="865"/>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50"/>
      <c r="AN62" s="850"/>
      <c r="AO62" s="850"/>
      <c r="AP62" s="850"/>
      <c r="AQ62" s="850"/>
      <c r="AR62" s="850"/>
      <c r="AS62" s="850"/>
      <c r="AT62" s="850"/>
      <c r="AU62" s="850"/>
      <c r="AV62" s="850"/>
      <c r="AW62" s="850"/>
      <c r="AX62" s="850"/>
      <c r="AY62" s="850"/>
      <c r="AZ62" s="850"/>
      <c r="BA62" s="850"/>
      <c r="BB62" s="850"/>
      <c r="BC62" s="850"/>
      <c r="BD62" s="850"/>
      <c r="BE62" s="850"/>
      <c r="BF62" s="850"/>
      <c r="BG62" s="850"/>
      <c r="BH62" s="850"/>
      <c r="BI62" s="850"/>
      <c r="BJ62" s="850"/>
      <c r="BK62" s="850"/>
      <c r="BL62" s="850"/>
      <c r="BM62" s="850"/>
      <c r="BN62" s="850"/>
      <c r="BO62" s="850"/>
      <c r="BP62" s="850"/>
      <c r="BQ62" s="850"/>
      <c r="BR62" s="850"/>
      <c r="BS62" s="850"/>
      <c r="BT62" s="850"/>
      <c r="BU62" s="850"/>
      <c r="BV62" s="865"/>
      <c r="BW62" s="865"/>
      <c r="BX62" s="865"/>
      <c r="BY62" s="865"/>
      <c r="BZ62" s="865"/>
      <c r="CA62" s="865"/>
      <c r="CB62" s="865"/>
      <c r="CC62" s="865"/>
      <c r="CD62" s="865"/>
      <c r="CE62" s="865"/>
      <c r="CF62" s="865"/>
      <c r="CG62" s="865"/>
      <c r="CH62" s="865"/>
      <c r="CI62" s="865"/>
      <c r="CJ62" s="865"/>
      <c r="CK62" s="865"/>
      <c r="CL62" s="865"/>
      <c r="CM62" s="865"/>
      <c r="CN62" s="865"/>
      <c r="CO62" s="865"/>
      <c r="CP62" s="865"/>
      <c r="CQ62" s="865"/>
      <c r="CR62" s="865"/>
      <c r="CS62" s="865"/>
      <c r="CT62" s="865"/>
      <c r="CU62" s="865"/>
      <c r="CV62" s="865"/>
      <c r="CW62" s="865"/>
      <c r="CX62" s="865"/>
      <c r="CY62" s="865"/>
      <c r="CZ62" s="865"/>
      <c r="DA62" s="865"/>
      <c r="DB62" s="865"/>
      <c r="DC62" s="865"/>
      <c r="DD62" s="865"/>
      <c r="DE62" s="865"/>
      <c r="DF62" s="865"/>
      <c r="DG62" s="865"/>
      <c r="DH62" s="865"/>
      <c r="DI62" s="865"/>
      <c r="DJ62" s="865"/>
      <c r="DK62" s="865"/>
      <c r="DL62" s="865"/>
      <c r="DM62" s="865"/>
      <c r="DN62" s="865"/>
      <c r="DO62" s="865"/>
      <c r="DP62" s="865"/>
      <c r="DQ62" s="865"/>
      <c r="DR62" s="865"/>
      <c r="DS62" s="865"/>
      <c r="DT62" s="865"/>
      <c r="DU62" s="865"/>
      <c r="DV62" s="865"/>
      <c r="DW62" s="865"/>
      <c r="DX62" s="865"/>
      <c r="DY62" s="865"/>
      <c r="DZ62" s="865"/>
      <c r="EA62" s="865"/>
      <c r="EB62" s="865"/>
      <c r="EC62" s="865"/>
      <c r="ED62" s="865"/>
      <c r="EE62" s="865"/>
      <c r="EF62" s="865"/>
      <c r="EG62" s="865"/>
      <c r="EH62" s="865"/>
      <c r="EI62" s="865"/>
      <c r="EJ62" s="865"/>
      <c r="EK62" s="865"/>
      <c r="EL62" s="865"/>
      <c r="EM62" s="865"/>
      <c r="EN62" s="865"/>
      <c r="EO62" s="865"/>
      <c r="EP62" s="865"/>
      <c r="EQ62" s="865"/>
      <c r="ER62" s="865"/>
      <c r="ES62" s="865"/>
      <c r="ET62" s="865"/>
      <c r="EU62" s="865"/>
      <c r="EV62" s="865"/>
      <c r="EW62" s="865"/>
      <c r="EX62" s="865"/>
      <c r="EY62" s="865"/>
      <c r="EZ62" s="865"/>
      <c r="FA62" s="865"/>
      <c r="FB62" s="865"/>
      <c r="FC62" s="865"/>
      <c r="FD62" s="865"/>
      <c r="FE62" s="865"/>
      <c r="FF62" s="865"/>
      <c r="FG62" s="865"/>
      <c r="FH62" s="865"/>
      <c r="FI62" s="865"/>
      <c r="FJ62" s="865"/>
      <c r="FK62" s="865"/>
      <c r="FL62" s="865"/>
      <c r="FM62" s="865"/>
      <c r="FN62" s="865"/>
      <c r="FO62" s="865"/>
      <c r="FP62" s="865"/>
      <c r="FQ62" s="865"/>
      <c r="FR62" s="865"/>
      <c r="FS62" s="865"/>
      <c r="FT62" s="865"/>
      <c r="FU62" s="865"/>
      <c r="FV62" s="865"/>
      <c r="FW62" s="865"/>
      <c r="FX62" s="865"/>
      <c r="FY62" s="865"/>
      <c r="FZ62" s="865"/>
      <c r="GA62" s="865"/>
      <c r="GB62" s="865"/>
      <c r="GC62" s="865"/>
      <c r="GD62" s="865"/>
      <c r="GE62" s="865"/>
      <c r="GF62" s="865"/>
      <c r="GG62" s="865"/>
      <c r="GH62" s="865"/>
      <c r="GI62" s="865"/>
      <c r="GJ62" s="865"/>
      <c r="GK62" s="865"/>
      <c r="GL62" s="865"/>
      <c r="GM62" s="865"/>
      <c r="GN62" s="865"/>
      <c r="GO62" s="865"/>
      <c r="GP62" s="865"/>
      <c r="GQ62" s="865"/>
      <c r="GR62" s="865"/>
      <c r="GS62" s="865"/>
      <c r="GT62" s="865"/>
      <c r="GU62" s="865"/>
      <c r="GV62" s="865"/>
      <c r="GW62" s="865"/>
      <c r="GX62" s="865"/>
      <c r="GY62" s="865"/>
      <c r="GZ62" s="865"/>
      <c r="HA62" s="865"/>
      <c r="HB62" s="865"/>
      <c r="HC62" s="865"/>
      <c r="HD62" s="865"/>
      <c r="HE62" s="865"/>
      <c r="HF62" s="865"/>
      <c r="HG62" s="865"/>
      <c r="HH62" s="865"/>
      <c r="HI62" s="865"/>
      <c r="HJ62" s="865"/>
      <c r="HK62" s="865"/>
      <c r="HL62" s="865"/>
      <c r="HM62" s="865"/>
      <c r="HN62" s="865"/>
      <c r="HO62" s="865"/>
      <c r="HP62" s="865"/>
      <c r="HQ62" s="865"/>
      <c r="HR62" s="865"/>
      <c r="HS62" s="865"/>
      <c r="HT62" s="865"/>
      <c r="HU62" s="865"/>
      <c r="HV62" s="865"/>
      <c r="HW62" s="865"/>
      <c r="HX62" s="865"/>
      <c r="HY62" s="865"/>
      <c r="HZ62" s="865"/>
      <c r="IA62" s="865"/>
      <c r="IB62" s="865"/>
      <c r="IC62" s="865"/>
      <c r="ID62" s="865"/>
      <c r="IE62" s="865"/>
      <c r="IF62" s="865"/>
      <c r="IG62" s="865"/>
      <c r="IH62" s="865"/>
      <c r="II62" s="865"/>
      <c r="IJ62" s="865"/>
      <c r="IK62" s="865"/>
      <c r="IL62" s="865"/>
      <c r="IM62" s="865"/>
      <c r="IN62" s="865"/>
      <c r="IO62" s="865"/>
      <c r="IP62" s="865"/>
      <c r="IQ62" s="865"/>
      <c r="IR62" s="865"/>
      <c r="IS62" s="865"/>
      <c r="IT62" s="865"/>
      <c r="IU62" s="865"/>
      <c r="IV62" s="865"/>
      <c r="IW62" s="865"/>
      <c r="IX62" s="865"/>
      <c r="IY62" s="865"/>
      <c r="IZ62" s="865"/>
      <c r="JA62" s="865"/>
      <c r="JB62" s="865"/>
      <c r="JC62" s="865"/>
      <c r="JD62" s="865"/>
      <c r="JE62" s="865"/>
      <c r="JF62" s="865"/>
      <c r="JG62" s="865"/>
      <c r="JH62" s="865"/>
      <c r="JI62" s="865"/>
      <c r="JJ62" s="865"/>
      <c r="JK62" s="865"/>
      <c r="JL62" s="865"/>
      <c r="JM62" s="865"/>
      <c r="JN62" s="865"/>
      <c r="JO62" s="865"/>
      <c r="JP62" s="865"/>
      <c r="JQ62" s="865"/>
      <c r="JR62" s="865"/>
      <c r="JS62" s="865"/>
      <c r="JT62" s="865"/>
      <c r="JU62" s="865"/>
      <c r="JV62" s="865"/>
      <c r="JW62" s="865"/>
      <c r="JX62" s="865"/>
      <c r="JY62" s="865"/>
      <c r="JZ62" s="865"/>
      <c r="KA62" s="865"/>
      <c r="KB62" s="865"/>
      <c r="KC62" s="865"/>
      <c r="KD62" s="865"/>
      <c r="KE62" s="865"/>
      <c r="KF62" s="865"/>
      <c r="KG62" s="865"/>
      <c r="KH62" s="865"/>
      <c r="KI62" s="865"/>
      <c r="KJ62" s="865"/>
      <c r="KK62" s="865"/>
      <c r="KL62" s="865"/>
      <c r="KM62" s="865"/>
      <c r="KN62" s="865"/>
      <c r="KO62" s="865"/>
      <c r="KP62" s="865"/>
      <c r="KQ62" s="865"/>
      <c r="KR62" s="865"/>
      <c r="KS62" s="865"/>
      <c r="KT62" s="865"/>
      <c r="KU62" s="865"/>
      <c r="KV62" s="865"/>
      <c r="KW62" s="865"/>
      <c r="KX62" s="865"/>
      <c r="KY62" s="865"/>
      <c r="KZ62" s="865"/>
      <c r="LA62" s="865"/>
      <c r="LB62" s="865"/>
      <c r="LC62" s="865"/>
      <c r="LD62" s="865"/>
      <c r="LE62" s="865"/>
      <c r="LF62" s="865"/>
      <c r="LG62" s="865"/>
      <c r="LH62" s="865"/>
      <c r="LI62" s="865"/>
      <c r="LJ62" s="865"/>
      <c r="LK62" s="865"/>
      <c r="LL62" s="865"/>
      <c r="LM62" s="865"/>
      <c r="LN62" s="865"/>
      <c r="LO62" s="865"/>
      <c r="LP62" s="865"/>
      <c r="LQ62" s="865"/>
      <c r="LR62" s="865"/>
      <c r="LS62" s="865"/>
      <c r="LT62" s="865"/>
      <c r="LU62" s="865"/>
      <c r="LV62" s="865"/>
      <c r="LW62" s="865"/>
      <c r="LX62" s="865"/>
      <c r="LY62" s="865"/>
      <c r="LZ62" s="865"/>
      <c r="MA62" s="865"/>
      <c r="MB62" s="865"/>
      <c r="MC62" s="865"/>
      <c r="MD62" s="865"/>
      <c r="ME62" s="865"/>
      <c r="MF62" s="865"/>
      <c r="MG62" s="865"/>
      <c r="MH62" s="865"/>
      <c r="MI62" s="865"/>
      <c r="MJ62" s="865"/>
      <c r="MK62" s="865"/>
      <c r="ML62" s="865"/>
      <c r="MM62" s="865"/>
      <c r="MN62" s="865"/>
      <c r="MO62" s="865"/>
      <c r="MP62" s="865"/>
      <c r="MQ62" s="865"/>
      <c r="MR62" s="865"/>
      <c r="MS62" s="865"/>
      <c r="MT62" s="865"/>
      <c r="MU62" s="865"/>
      <c r="MV62" s="865"/>
      <c r="MW62" s="865"/>
      <c r="MX62" s="865"/>
      <c r="MY62" s="865"/>
      <c r="MZ62" s="865"/>
      <c r="NA62" s="865"/>
      <c r="NB62" s="865"/>
      <c r="NC62" s="865"/>
      <c r="ND62" s="865"/>
      <c r="NE62" s="865"/>
      <c r="NF62" s="865"/>
      <c r="NG62" s="865"/>
      <c r="NH62" s="865"/>
      <c r="NI62" s="865"/>
      <c r="NJ62" s="865"/>
      <c r="NK62" s="865"/>
      <c r="NL62" s="865"/>
      <c r="NM62" s="865"/>
      <c r="NN62" s="865"/>
      <c r="NO62" s="865"/>
      <c r="NP62" s="865"/>
      <c r="NQ62" s="865"/>
      <c r="NR62" s="865"/>
      <c r="NS62" s="865"/>
      <c r="NT62" s="865"/>
      <c r="NU62" s="865"/>
      <c r="NV62" s="865"/>
      <c r="NW62" s="865"/>
      <c r="NX62" s="865"/>
      <c r="NY62" s="865"/>
      <c r="NZ62" s="865"/>
      <c r="OA62" s="865"/>
      <c r="OB62" s="865"/>
      <c r="OC62" s="865"/>
      <c r="OD62" s="865"/>
      <c r="OE62" s="865"/>
      <c r="OF62" s="865"/>
      <c r="OG62" s="865"/>
      <c r="OH62" s="865"/>
      <c r="OI62" s="865"/>
      <c r="OJ62" s="865"/>
      <c r="OK62" s="865"/>
      <c r="OL62" s="865"/>
      <c r="OM62" s="865"/>
      <c r="ON62" s="865"/>
      <c r="OO62" s="865"/>
      <c r="OP62" s="865"/>
      <c r="OQ62" s="865"/>
      <c r="OR62" s="865"/>
      <c r="OS62" s="865"/>
      <c r="OT62" s="865"/>
      <c r="OU62" s="865"/>
      <c r="OV62" s="865"/>
      <c r="OW62" s="865"/>
      <c r="OX62" s="865"/>
      <c r="OY62" s="865"/>
      <c r="OZ62" s="865"/>
      <c r="PA62" s="865"/>
      <c r="PB62" s="865"/>
      <c r="PC62" s="865"/>
      <c r="PD62" s="865"/>
      <c r="PE62" s="865"/>
      <c r="PF62" s="865"/>
      <c r="PG62" s="865"/>
      <c r="PH62" s="865"/>
      <c r="PI62" s="865"/>
      <c r="PJ62" s="865"/>
      <c r="PK62" s="865"/>
      <c r="PL62" s="865"/>
      <c r="PM62" s="865"/>
      <c r="PN62" s="865"/>
      <c r="PO62" s="865"/>
      <c r="PP62" s="865"/>
      <c r="PQ62" s="865"/>
      <c r="PR62" s="865"/>
      <c r="PS62" s="865"/>
      <c r="PT62" s="865"/>
      <c r="PU62" s="865"/>
      <c r="PV62" s="865"/>
      <c r="PW62" s="865"/>
      <c r="PX62" s="865"/>
      <c r="PY62" s="865"/>
      <c r="PZ62" s="865"/>
      <c r="QA62" s="865"/>
      <c r="QB62" s="865"/>
      <c r="QC62" s="865"/>
      <c r="QD62" s="865"/>
      <c r="QE62" s="865"/>
      <c r="QF62" s="865"/>
      <c r="QG62" s="865"/>
      <c r="QH62" s="865"/>
      <c r="QI62" s="865"/>
      <c r="QJ62" s="865"/>
      <c r="QK62" s="865"/>
      <c r="QL62" s="865"/>
      <c r="QM62" s="865"/>
      <c r="QN62" s="865"/>
      <c r="QO62" s="865"/>
      <c r="QP62" s="865"/>
      <c r="QQ62" s="865"/>
      <c r="QR62" s="865"/>
      <c r="QS62" s="865"/>
      <c r="QT62" s="865"/>
      <c r="QU62" s="865"/>
      <c r="QV62" s="865"/>
      <c r="QW62" s="865"/>
      <c r="QX62" s="865"/>
      <c r="QY62" s="865"/>
      <c r="QZ62" s="865"/>
      <c r="RA62" s="865"/>
      <c r="RB62" s="865"/>
      <c r="RC62" s="865"/>
      <c r="RD62" s="865"/>
      <c r="RE62" s="865"/>
      <c r="RF62" s="865"/>
      <c r="RG62" s="865"/>
      <c r="RH62" s="865"/>
      <c r="RI62" s="865"/>
      <c r="RJ62" s="865"/>
      <c r="RK62" s="865"/>
      <c r="RL62" s="865"/>
      <c r="RM62" s="865"/>
      <c r="RN62" s="865"/>
      <c r="RO62" s="865"/>
      <c r="RP62" s="865"/>
      <c r="RQ62" s="865"/>
      <c r="RR62" s="865"/>
      <c r="RS62" s="865"/>
      <c r="RT62" s="865"/>
      <c r="RU62" s="865"/>
      <c r="RV62" s="865"/>
      <c r="RW62" s="865"/>
      <c r="RX62" s="865"/>
    </row>
    <row r="63" spans="1:492" s="165" customFormat="1">
      <c r="A63" s="865"/>
      <c r="B63" s="865"/>
      <c r="C63" s="865"/>
      <c r="D63" s="865"/>
      <c r="E63" s="865"/>
      <c r="F63" s="865"/>
      <c r="G63" s="865"/>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50"/>
      <c r="AN63" s="850"/>
      <c r="AO63" s="850"/>
      <c r="AP63" s="850"/>
      <c r="AQ63" s="850"/>
      <c r="AR63" s="850"/>
      <c r="AS63" s="850"/>
      <c r="AT63" s="850"/>
      <c r="AU63" s="850"/>
      <c r="AV63" s="850"/>
      <c r="AW63" s="850"/>
      <c r="AX63" s="850"/>
      <c r="AY63" s="850"/>
      <c r="AZ63" s="850"/>
      <c r="BA63" s="850"/>
      <c r="BB63" s="850"/>
      <c r="BC63" s="850"/>
      <c r="BD63" s="850"/>
      <c r="BE63" s="850"/>
      <c r="BF63" s="850"/>
      <c r="BG63" s="850"/>
      <c r="BH63" s="850"/>
      <c r="BI63" s="850"/>
      <c r="BJ63" s="850"/>
      <c r="BK63" s="850"/>
      <c r="BL63" s="850"/>
      <c r="BM63" s="850"/>
      <c r="BN63" s="850"/>
      <c r="BO63" s="850"/>
      <c r="BP63" s="850"/>
      <c r="BQ63" s="850"/>
      <c r="BR63" s="850"/>
      <c r="BS63" s="850"/>
      <c r="BT63" s="850"/>
      <c r="BU63" s="850"/>
      <c r="BV63" s="865"/>
      <c r="BW63" s="865"/>
      <c r="BX63" s="865"/>
      <c r="BY63" s="865"/>
      <c r="BZ63" s="865"/>
      <c r="CA63" s="865"/>
      <c r="CB63" s="865"/>
      <c r="CC63" s="865"/>
      <c r="CD63" s="865"/>
      <c r="CE63" s="865"/>
      <c r="CF63" s="865"/>
      <c r="CG63" s="865"/>
      <c r="CH63" s="865"/>
      <c r="CI63" s="865"/>
      <c r="CJ63" s="865"/>
      <c r="CK63" s="865"/>
      <c r="CL63" s="865"/>
      <c r="CM63" s="865"/>
      <c r="CN63" s="865"/>
      <c r="CO63" s="865"/>
      <c r="CP63" s="865"/>
      <c r="CQ63" s="865"/>
      <c r="CR63" s="865"/>
      <c r="CS63" s="865"/>
      <c r="CT63" s="865"/>
      <c r="CU63" s="865"/>
      <c r="CV63" s="865"/>
      <c r="CW63" s="865"/>
      <c r="CX63" s="865"/>
      <c r="CY63" s="865"/>
      <c r="CZ63" s="865"/>
      <c r="DA63" s="865"/>
      <c r="DB63" s="865"/>
      <c r="DC63" s="865"/>
      <c r="DD63" s="865"/>
      <c r="DE63" s="865"/>
      <c r="DF63" s="865"/>
      <c r="DG63" s="865"/>
      <c r="DH63" s="865"/>
      <c r="DI63" s="865"/>
      <c r="DJ63" s="865"/>
      <c r="DK63" s="865"/>
      <c r="DL63" s="865"/>
      <c r="DM63" s="865"/>
      <c r="DN63" s="865"/>
      <c r="DO63" s="865"/>
      <c r="DP63" s="865"/>
      <c r="DQ63" s="865"/>
      <c r="DR63" s="865"/>
      <c r="DS63" s="865"/>
      <c r="DT63" s="865"/>
      <c r="DU63" s="865"/>
      <c r="DV63" s="865"/>
      <c r="DW63" s="865"/>
      <c r="DX63" s="865"/>
      <c r="DY63" s="865"/>
      <c r="DZ63" s="865"/>
      <c r="EA63" s="865"/>
      <c r="EB63" s="865"/>
      <c r="EC63" s="865"/>
      <c r="ED63" s="865"/>
      <c r="EE63" s="865"/>
      <c r="EF63" s="865"/>
      <c r="EG63" s="865"/>
      <c r="EH63" s="865"/>
      <c r="EI63" s="865"/>
      <c r="EJ63" s="865"/>
      <c r="EK63" s="865"/>
      <c r="EL63" s="865"/>
      <c r="EM63" s="865"/>
      <c r="EN63" s="865"/>
      <c r="EO63" s="865"/>
      <c r="EP63" s="865"/>
      <c r="EQ63" s="865"/>
      <c r="ER63" s="865"/>
      <c r="ES63" s="865"/>
      <c r="ET63" s="865"/>
      <c r="EU63" s="865"/>
      <c r="EV63" s="865"/>
      <c r="EW63" s="865"/>
      <c r="EX63" s="865"/>
      <c r="EY63" s="865"/>
      <c r="EZ63" s="865"/>
      <c r="FA63" s="865"/>
      <c r="FB63" s="865"/>
      <c r="FC63" s="865"/>
      <c r="FD63" s="865"/>
      <c r="FE63" s="865"/>
      <c r="FF63" s="865"/>
      <c r="FG63" s="865"/>
      <c r="FH63" s="865"/>
      <c r="FI63" s="865"/>
      <c r="FJ63" s="865"/>
      <c r="FK63" s="865"/>
      <c r="FL63" s="865"/>
      <c r="FM63" s="865"/>
      <c r="FN63" s="865"/>
      <c r="FO63" s="865"/>
      <c r="FP63" s="865"/>
      <c r="FQ63" s="865"/>
      <c r="FR63" s="865"/>
      <c r="FS63" s="865"/>
      <c r="FT63" s="865"/>
      <c r="FU63" s="865"/>
      <c r="FV63" s="865"/>
      <c r="FW63" s="865"/>
      <c r="FX63" s="865"/>
      <c r="FY63" s="865"/>
      <c r="FZ63" s="865"/>
      <c r="GA63" s="865"/>
      <c r="GB63" s="865"/>
      <c r="GC63" s="865"/>
      <c r="GD63" s="865"/>
      <c r="GE63" s="865"/>
      <c r="GF63" s="865"/>
      <c r="GG63" s="865"/>
      <c r="GH63" s="865"/>
      <c r="GI63" s="865"/>
      <c r="GJ63" s="865"/>
      <c r="GK63" s="865"/>
      <c r="GL63" s="865"/>
      <c r="GM63" s="865"/>
      <c r="GN63" s="865"/>
      <c r="GO63" s="865"/>
      <c r="GP63" s="865"/>
      <c r="GQ63" s="865"/>
      <c r="GR63" s="865"/>
      <c r="GS63" s="865"/>
      <c r="GT63" s="865"/>
      <c r="GU63" s="865"/>
      <c r="GV63" s="865"/>
      <c r="GW63" s="865"/>
      <c r="GX63" s="865"/>
      <c r="GY63" s="865"/>
      <c r="GZ63" s="865"/>
      <c r="HA63" s="865"/>
      <c r="HB63" s="865"/>
      <c r="HC63" s="865"/>
      <c r="HD63" s="865"/>
      <c r="HE63" s="865"/>
      <c r="HF63" s="865"/>
      <c r="HG63" s="865"/>
      <c r="HH63" s="865"/>
      <c r="HI63" s="865"/>
      <c r="HJ63" s="865"/>
      <c r="HK63" s="865"/>
      <c r="HL63" s="865"/>
      <c r="HM63" s="865"/>
      <c r="HN63" s="865"/>
      <c r="HO63" s="865"/>
      <c r="HP63" s="865"/>
      <c r="HQ63" s="865"/>
      <c r="HR63" s="865"/>
      <c r="HS63" s="865"/>
      <c r="HT63" s="865"/>
      <c r="HU63" s="865"/>
      <c r="HV63" s="865"/>
      <c r="HW63" s="865"/>
      <c r="HX63" s="865"/>
      <c r="HY63" s="865"/>
      <c r="HZ63" s="865"/>
      <c r="IA63" s="865"/>
      <c r="IB63" s="865"/>
      <c r="IC63" s="865"/>
      <c r="ID63" s="865"/>
      <c r="IE63" s="865"/>
      <c r="IF63" s="865"/>
      <c r="IG63" s="865"/>
      <c r="IH63" s="865"/>
      <c r="II63" s="865"/>
      <c r="IJ63" s="865"/>
      <c r="IK63" s="865"/>
      <c r="IL63" s="865"/>
      <c r="IM63" s="865"/>
      <c r="IN63" s="865"/>
      <c r="IO63" s="865"/>
      <c r="IP63" s="865"/>
      <c r="IQ63" s="865"/>
      <c r="IR63" s="865"/>
      <c r="IS63" s="865"/>
      <c r="IT63" s="865"/>
      <c r="IU63" s="865"/>
      <c r="IV63" s="865"/>
      <c r="IW63" s="865"/>
      <c r="IX63" s="865"/>
      <c r="IY63" s="865"/>
      <c r="IZ63" s="865"/>
      <c r="JA63" s="865"/>
      <c r="JB63" s="865"/>
      <c r="JC63" s="865"/>
      <c r="JD63" s="865"/>
      <c r="JE63" s="865"/>
      <c r="JF63" s="865"/>
      <c r="JG63" s="865"/>
      <c r="JH63" s="865"/>
      <c r="JI63" s="865"/>
      <c r="JJ63" s="865"/>
      <c r="JK63" s="865"/>
      <c r="JL63" s="865"/>
      <c r="JM63" s="865"/>
      <c r="JN63" s="865"/>
      <c r="JO63" s="865"/>
      <c r="JP63" s="865"/>
      <c r="JQ63" s="865"/>
      <c r="JR63" s="865"/>
      <c r="JS63" s="865"/>
      <c r="JT63" s="865"/>
      <c r="JU63" s="865"/>
      <c r="JV63" s="865"/>
      <c r="JW63" s="865"/>
      <c r="JX63" s="865"/>
      <c r="JY63" s="865"/>
      <c r="JZ63" s="865"/>
      <c r="KA63" s="865"/>
      <c r="KB63" s="865"/>
      <c r="KC63" s="865"/>
      <c r="KD63" s="865"/>
      <c r="KE63" s="865"/>
      <c r="KF63" s="865"/>
      <c r="KG63" s="865"/>
      <c r="KH63" s="865"/>
      <c r="KI63" s="865"/>
      <c r="KJ63" s="865"/>
      <c r="KK63" s="865"/>
      <c r="KL63" s="865"/>
      <c r="KM63" s="865"/>
      <c r="KN63" s="865"/>
      <c r="KO63" s="865"/>
      <c r="KP63" s="865"/>
      <c r="KQ63" s="865"/>
      <c r="KR63" s="865"/>
      <c r="KS63" s="865"/>
      <c r="KT63" s="865"/>
      <c r="KU63" s="865"/>
      <c r="KV63" s="865"/>
      <c r="KW63" s="865"/>
      <c r="KX63" s="865"/>
      <c r="KY63" s="865"/>
      <c r="KZ63" s="865"/>
      <c r="LA63" s="865"/>
      <c r="LB63" s="865"/>
      <c r="LC63" s="865"/>
      <c r="LD63" s="865"/>
      <c r="LE63" s="865"/>
      <c r="LF63" s="865"/>
      <c r="LG63" s="865"/>
      <c r="LH63" s="865"/>
      <c r="LI63" s="865"/>
      <c r="LJ63" s="865"/>
      <c r="LK63" s="865"/>
      <c r="LL63" s="865"/>
      <c r="LM63" s="865"/>
      <c r="LN63" s="865"/>
      <c r="LO63" s="865"/>
      <c r="LP63" s="865"/>
      <c r="LQ63" s="865"/>
      <c r="LR63" s="865"/>
      <c r="LS63" s="865"/>
      <c r="LT63" s="865"/>
      <c r="LU63" s="865"/>
      <c r="LV63" s="865"/>
      <c r="LW63" s="865"/>
      <c r="LX63" s="865"/>
      <c r="LY63" s="865"/>
      <c r="LZ63" s="865"/>
      <c r="MA63" s="865"/>
      <c r="MB63" s="865"/>
      <c r="MC63" s="865"/>
      <c r="MD63" s="865"/>
      <c r="ME63" s="865"/>
      <c r="MF63" s="865"/>
      <c r="MG63" s="865"/>
      <c r="MH63" s="865"/>
      <c r="MI63" s="865"/>
      <c r="MJ63" s="865"/>
      <c r="MK63" s="865"/>
      <c r="ML63" s="865"/>
      <c r="MM63" s="865"/>
      <c r="MN63" s="865"/>
      <c r="MO63" s="865"/>
      <c r="MP63" s="865"/>
      <c r="MQ63" s="865"/>
      <c r="MR63" s="865"/>
      <c r="MS63" s="865"/>
      <c r="MT63" s="865"/>
      <c r="MU63" s="865"/>
      <c r="MV63" s="865"/>
      <c r="MW63" s="865"/>
      <c r="MX63" s="865"/>
      <c r="MY63" s="865"/>
      <c r="MZ63" s="865"/>
      <c r="NA63" s="865"/>
      <c r="NB63" s="865"/>
      <c r="NC63" s="865"/>
      <c r="ND63" s="865"/>
      <c r="NE63" s="865"/>
      <c r="NF63" s="865"/>
      <c r="NG63" s="865"/>
      <c r="NH63" s="865"/>
      <c r="NI63" s="865"/>
      <c r="NJ63" s="865"/>
      <c r="NK63" s="865"/>
      <c r="NL63" s="865"/>
      <c r="NM63" s="865"/>
      <c r="NN63" s="865"/>
      <c r="NO63" s="865"/>
      <c r="NP63" s="865"/>
      <c r="NQ63" s="865"/>
      <c r="NR63" s="865"/>
      <c r="NS63" s="865"/>
      <c r="NT63" s="865"/>
      <c r="NU63" s="865"/>
      <c r="NV63" s="865"/>
      <c r="NW63" s="865"/>
      <c r="NX63" s="865"/>
      <c r="NY63" s="865"/>
      <c r="NZ63" s="865"/>
      <c r="OA63" s="865"/>
      <c r="OB63" s="865"/>
      <c r="OC63" s="865"/>
      <c r="OD63" s="865"/>
      <c r="OE63" s="865"/>
      <c r="OF63" s="865"/>
      <c r="OG63" s="865"/>
      <c r="OH63" s="865"/>
      <c r="OI63" s="865"/>
      <c r="OJ63" s="865"/>
      <c r="OK63" s="865"/>
      <c r="OL63" s="865"/>
      <c r="OM63" s="865"/>
      <c r="ON63" s="865"/>
      <c r="OO63" s="865"/>
      <c r="OP63" s="865"/>
      <c r="OQ63" s="865"/>
      <c r="OR63" s="865"/>
      <c r="OS63" s="865"/>
      <c r="OT63" s="865"/>
      <c r="OU63" s="865"/>
      <c r="OV63" s="865"/>
      <c r="OW63" s="865"/>
      <c r="OX63" s="865"/>
      <c r="OY63" s="865"/>
      <c r="OZ63" s="865"/>
      <c r="PA63" s="865"/>
      <c r="PB63" s="865"/>
      <c r="PC63" s="865"/>
      <c r="PD63" s="865"/>
      <c r="PE63" s="865"/>
      <c r="PF63" s="865"/>
      <c r="PG63" s="865"/>
      <c r="PH63" s="865"/>
      <c r="PI63" s="865"/>
      <c r="PJ63" s="865"/>
      <c r="PK63" s="865"/>
      <c r="PL63" s="865"/>
      <c r="PM63" s="865"/>
      <c r="PN63" s="865"/>
      <c r="PO63" s="865"/>
      <c r="PP63" s="865"/>
      <c r="PQ63" s="865"/>
      <c r="PR63" s="865"/>
      <c r="PS63" s="865"/>
      <c r="PT63" s="865"/>
      <c r="PU63" s="865"/>
      <c r="PV63" s="865"/>
      <c r="PW63" s="865"/>
      <c r="PX63" s="865"/>
      <c r="PY63" s="865"/>
      <c r="PZ63" s="865"/>
      <c r="QA63" s="865"/>
      <c r="QB63" s="865"/>
      <c r="QC63" s="865"/>
      <c r="QD63" s="865"/>
      <c r="QE63" s="865"/>
      <c r="QF63" s="865"/>
      <c r="QG63" s="865"/>
      <c r="QH63" s="865"/>
      <c r="QI63" s="865"/>
      <c r="QJ63" s="865"/>
      <c r="QK63" s="865"/>
      <c r="QL63" s="865"/>
      <c r="QM63" s="865"/>
      <c r="QN63" s="865"/>
      <c r="QO63" s="865"/>
      <c r="QP63" s="865"/>
      <c r="QQ63" s="865"/>
      <c r="QR63" s="865"/>
      <c r="QS63" s="865"/>
      <c r="QT63" s="865"/>
      <c r="QU63" s="865"/>
      <c r="QV63" s="865"/>
      <c r="QW63" s="865"/>
      <c r="QX63" s="865"/>
      <c r="QY63" s="865"/>
      <c r="QZ63" s="865"/>
      <c r="RA63" s="865"/>
      <c r="RB63" s="865"/>
      <c r="RC63" s="865"/>
      <c r="RD63" s="865"/>
      <c r="RE63" s="865"/>
      <c r="RF63" s="865"/>
      <c r="RG63" s="865"/>
      <c r="RH63" s="865"/>
      <c r="RI63" s="865"/>
      <c r="RJ63" s="865"/>
      <c r="RK63" s="865"/>
      <c r="RL63" s="865"/>
      <c r="RM63" s="865"/>
      <c r="RN63" s="865"/>
      <c r="RO63" s="865"/>
      <c r="RP63" s="865"/>
      <c r="RQ63" s="865"/>
      <c r="RR63" s="865"/>
      <c r="RS63" s="865"/>
      <c r="RT63" s="865"/>
      <c r="RU63" s="865"/>
      <c r="RV63" s="865"/>
      <c r="RW63" s="865"/>
      <c r="RX63" s="865"/>
    </row>
    <row r="64" spans="1:492" s="165" customFormat="1">
      <c r="A64" s="865"/>
      <c r="B64" s="865"/>
      <c r="C64" s="865"/>
      <c r="D64" s="865"/>
      <c r="E64" s="865"/>
      <c r="F64" s="865"/>
      <c r="G64" s="865"/>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0"/>
      <c r="BJ64" s="850"/>
      <c r="BK64" s="850"/>
      <c r="BL64" s="850"/>
      <c r="BM64" s="850"/>
      <c r="BN64" s="850"/>
      <c r="BO64" s="850"/>
      <c r="BP64" s="850"/>
      <c r="BQ64" s="850"/>
      <c r="BR64" s="850"/>
      <c r="BS64" s="850"/>
      <c r="BT64" s="850"/>
      <c r="BU64" s="850"/>
      <c r="BV64" s="865"/>
      <c r="BW64" s="865"/>
      <c r="BX64" s="865"/>
      <c r="BY64" s="865"/>
      <c r="BZ64" s="865"/>
      <c r="CA64" s="865"/>
      <c r="CB64" s="865"/>
      <c r="CC64" s="865"/>
      <c r="CD64" s="865"/>
      <c r="CE64" s="865"/>
      <c r="CF64" s="865"/>
      <c r="CG64" s="865"/>
      <c r="CH64" s="865"/>
      <c r="CI64" s="865"/>
      <c r="CJ64" s="865"/>
      <c r="CK64" s="865"/>
      <c r="CL64" s="865"/>
      <c r="CM64" s="865"/>
      <c r="CN64" s="865"/>
      <c r="CO64" s="865"/>
      <c r="CP64" s="865"/>
      <c r="CQ64" s="865"/>
      <c r="CR64" s="865"/>
      <c r="CS64" s="865"/>
      <c r="CT64" s="865"/>
      <c r="CU64" s="865"/>
      <c r="CV64" s="865"/>
      <c r="CW64" s="865"/>
      <c r="CX64" s="865"/>
      <c r="CY64" s="865"/>
      <c r="CZ64" s="865"/>
      <c r="DA64" s="865"/>
      <c r="DB64" s="865"/>
      <c r="DC64" s="865"/>
      <c r="DD64" s="865"/>
      <c r="DE64" s="865"/>
      <c r="DF64" s="865"/>
      <c r="DG64" s="865"/>
      <c r="DH64" s="865"/>
      <c r="DI64" s="865"/>
      <c r="DJ64" s="865"/>
      <c r="DK64" s="865"/>
      <c r="DL64" s="865"/>
      <c r="DM64" s="865"/>
      <c r="DN64" s="865"/>
      <c r="DO64" s="865"/>
      <c r="DP64" s="865"/>
      <c r="DQ64" s="865"/>
      <c r="DR64" s="865"/>
      <c r="DS64" s="865"/>
      <c r="DT64" s="865"/>
      <c r="DU64" s="865"/>
      <c r="DV64" s="865"/>
      <c r="DW64" s="865"/>
      <c r="DX64" s="865"/>
      <c r="DY64" s="865"/>
      <c r="DZ64" s="865"/>
      <c r="EA64" s="865"/>
      <c r="EB64" s="865"/>
      <c r="EC64" s="865"/>
      <c r="ED64" s="865"/>
      <c r="EE64" s="865"/>
      <c r="EF64" s="865"/>
      <c r="EG64" s="865"/>
      <c r="EH64" s="865"/>
      <c r="EI64" s="865"/>
      <c r="EJ64" s="865"/>
      <c r="EK64" s="865"/>
      <c r="EL64" s="865"/>
      <c r="EM64" s="865"/>
      <c r="EN64" s="865"/>
      <c r="EO64" s="865"/>
      <c r="EP64" s="865"/>
      <c r="EQ64" s="865"/>
      <c r="ER64" s="865"/>
      <c r="ES64" s="865"/>
      <c r="ET64" s="865"/>
      <c r="EU64" s="865"/>
      <c r="EV64" s="865"/>
      <c r="EW64" s="865"/>
      <c r="EX64" s="865"/>
      <c r="EY64" s="865"/>
      <c r="EZ64" s="865"/>
      <c r="FA64" s="865"/>
      <c r="FB64" s="865"/>
      <c r="FC64" s="865"/>
      <c r="FD64" s="865"/>
      <c r="FE64" s="865"/>
      <c r="FF64" s="865"/>
      <c r="FG64" s="865"/>
      <c r="FH64" s="865"/>
      <c r="FI64" s="865"/>
      <c r="FJ64" s="865"/>
      <c r="FK64" s="865"/>
      <c r="FL64" s="865"/>
      <c r="FM64" s="865"/>
      <c r="FN64" s="865"/>
      <c r="FO64" s="865"/>
      <c r="FP64" s="865"/>
      <c r="FQ64" s="865"/>
      <c r="FR64" s="865"/>
      <c r="FS64" s="865"/>
      <c r="FT64" s="865"/>
      <c r="FU64" s="865"/>
      <c r="FV64" s="865"/>
      <c r="FW64" s="865"/>
      <c r="FX64" s="865"/>
      <c r="FY64" s="865"/>
      <c r="FZ64" s="865"/>
      <c r="GA64" s="865"/>
      <c r="GB64" s="865"/>
      <c r="GC64" s="865"/>
      <c r="GD64" s="865"/>
      <c r="GE64" s="865"/>
      <c r="GF64" s="865"/>
      <c r="GG64" s="865"/>
      <c r="GH64" s="865"/>
      <c r="GI64" s="865"/>
      <c r="GJ64" s="865"/>
      <c r="GK64" s="865"/>
      <c r="GL64" s="865"/>
      <c r="GM64" s="865"/>
      <c r="GN64" s="865"/>
      <c r="GO64" s="865"/>
      <c r="GP64" s="865"/>
      <c r="GQ64" s="865"/>
      <c r="GR64" s="865"/>
      <c r="GS64" s="865"/>
      <c r="GT64" s="865"/>
      <c r="GU64" s="865"/>
      <c r="GV64" s="865"/>
      <c r="GW64" s="865"/>
      <c r="GX64" s="865"/>
      <c r="GY64" s="865"/>
      <c r="GZ64" s="865"/>
      <c r="HA64" s="865"/>
      <c r="HB64" s="865"/>
      <c r="HC64" s="865"/>
      <c r="HD64" s="865"/>
      <c r="HE64" s="865"/>
      <c r="HF64" s="865"/>
      <c r="HG64" s="865"/>
      <c r="HH64" s="865"/>
      <c r="HI64" s="865"/>
      <c r="HJ64" s="865"/>
      <c r="HK64" s="865"/>
      <c r="HL64" s="865"/>
      <c r="HM64" s="865"/>
      <c r="HN64" s="865"/>
      <c r="HO64" s="865"/>
      <c r="HP64" s="865"/>
      <c r="HQ64" s="865"/>
      <c r="HR64" s="865"/>
      <c r="HS64" s="865"/>
      <c r="HT64" s="865"/>
      <c r="HU64" s="865"/>
      <c r="HV64" s="865"/>
      <c r="HW64" s="865"/>
      <c r="HX64" s="865"/>
      <c r="HY64" s="865"/>
      <c r="HZ64" s="865"/>
      <c r="IA64" s="865"/>
      <c r="IB64" s="865"/>
      <c r="IC64" s="865"/>
      <c r="ID64" s="865"/>
      <c r="IE64" s="865"/>
      <c r="IF64" s="865"/>
      <c r="IG64" s="865"/>
      <c r="IH64" s="865"/>
      <c r="II64" s="865"/>
      <c r="IJ64" s="865"/>
      <c r="IK64" s="865"/>
      <c r="IL64" s="865"/>
      <c r="IM64" s="865"/>
      <c r="IN64" s="865"/>
      <c r="IO64" s="865"/>
      <c r="IP64" s="865"/>
      <c r="IQ64" s="865"/>
      <c r="IR64" s="865"/>
      <c r="IS64" s="865"/>
      <c r="IT64" s="865"/>
      <c r="IU64" s="865"/>
      <c r="IV64" s="865"/>
      <c r="IW64" s="865"/>
      <c r="IX64" s="865"/>
      <c r="IY64" s="865"/>
      <c r="IZ64" s="865"/>
      <c r="JA64" s="865"/>
      <c r="JB64" s="865"/>
      <c r="JC64" s="865"/>
      <c r="JD64" s="865"/>
      <c r="JE64" s="865"/>
      <c r="JF64" s="865"/>
      <c r="JG64" s="865"/>
      <c r="JH64" s="865"/>
      <c r="JI64" s="865"/>
      <c r="JJ64" s="865"/>
      <c r="JK64" s="865"/>
      <c r="JL64" s="865"/>
      <c r="JM64" s="865"/>
      <c r="JN64" s="865"/>
      <c r="JO64" s="865"/>
      <c r="JP64" s="865"/>
      <c r="JQ64" s="865"/>
      <c r="JR64" s="865"/>
      <c r="JS64" s="865"/>
      <c r="JT64" s="865"/>
      <c r="JU64" s="865"/>
      <c r="JV64" s="865"/>
      <c r="JW64" s="865"/>
      <c r="JX64" s="865"/>
      <c r="JY64" s="865"/>
      <c r="JZ64" s="865"/>
      <c r="KA64" s="865"/>
      <c r="KB64" s="865"/>
      <c r="KC64" s="865"/>
      <c r="KD64" s="865"/>
      <c r="KE64" s="865"/>
      <c r="KF64" s="865"/>
      <c r="KG64" s="865"/>
      <c r="KH64" s="865"/>
      <c r="KI64" s="865"/>
      <c r="KJ64" s="865"/>
      <c r="KK64" s="865"/>
      <c r="KL64" s="865"/>
      <c r="KM64" s="865"/>
      <c r="KN64" s="865"/>
      <c r="KO64" s="865"/>
      <c r="KP64" s="865"/>
      <c r="KQ64" s="865"/>
      <c r="KR64" s="865"/>
      <c r="KS64" s="865"/>
      <c r="KT64" s="865"/>
      <c r="KU64" s="865"/>
      <c r="KV64" s="865"/>
      <c r="KW64" s="865"/>
      <c r="KX64" s="865"/>
      <c r="KY64" s="865"/>
      <c r="KZ64" s="865"/>
      <c r="LA64" s="865"/>
      <c r="LB64" s="865"/>
      <c r="LC64" s="865"/>
      <c r="LD64" s="865"/>
      <c r="LE64" s="865"/>
      <c r="LF64" s="865"/>
      <c r="LG64" s="865"/>
      <c r="LH64" s="865"/>
      <c r="LI64" s="865"/>
      <c r="LJ64" s="865"/>
      <c r="LK64" s="865"/>
      <c r="LL64" s="865"/>
      <c r="LM64" s="865"/>
      <c r="LN64" s="865"/>
      <c r="LO64" s="865"/>
      <c r="LP64" s="865"/>
      <c r="LQ64" s="865"/>
      <c r="LR64" s="865"/>
      <c r="LS64" s="865"/>
      <c r="LT64" s="865"/>
      <c r="LU64" s="865"/>
      <c r="LV64" s="865"/>
      <c r="LW64" s="865"/>
      <c r="LX64" s="865"/>
      <c r="LY64" s="865"/>
      <c r="LZ64" s="865"/>
      <c r="MA64" s="865"/>
      <c r="MB64" s="865"/>
      <c r="MC64" s="865"/>
      <c r="MD64" s="865"/>
      <c r="ME64" s="865"/>
      <c r="MF64" s="865"/>
      <c r="MG64" s="865"/>
      <c r="MH64" s="865"/>
      <c r="MI64" s="865"/>
      <c r="MJ64" s="865"/>
      <c r="MK64" s="865"/>
      <c r="ML64" s="865"/>
      <c r="MM64" s="865"/>
      <c r="MN64" s="865"/>
      <c r="MO64" s="865"/>
      <c r="MP64" s="865"/>
      <c r="MQ64" s="865"/>
      <c r="MR64" s="865"/>
      <c r="MS64" s="865"/>
      <c r="MT64" s="865"/>
      <c r="MU64" s="865"/>
      <c r="MV64" s="865"/>
      <c r="MW64" s="865"/>
      <c r="MX64" s="865"/>
      <c r="MY64" s="865"/>
      <c r="MZ64" s="865"/>
      <c r="NA64" s="865"/>
      <c r="NB64" s="865"/>
      <c r="NC64" s="865"/>
      <c r="ND64" s="865"/>
      <c r="NE64" s="865"/>
      <c r="NF64" s="865"/>
      <c r="NG64" s="865"/>
      <c r="NH64" s="865"/>
      <c r="NI64" s="865"/>
      <c r="NJ64" s="865"/>
      <c r="NK64" s="865"/>
      <c r="NL64" s="865"/>
      <c r="NM64" s="865"/>
      <c r="NN64" s="865"/>
      <c r="NO64" s="865"/>
      <c r="NP64" s="865"/>
      <c r="NQ64" s="865"/>
      <c r="NR64" s="865"/>
      <c r="NS64" s="865"/>
      <c r="NT64" s="865"/>
      <c r="NU64" s="865"/>
      <c r="NV64" s="865"/>
      <c r="NW64" s="865"/>
      <c r="NX64" s="865"/>
      <c r="NY64" s="865"/>
      <c r="NZ64" s="865"/>
      <c r="OA64" s="865"/>
      <c r="OB64" s="865"/>
      <c r="OC64" s="865"/>
      <c r="OD64" s="865"/>
      <c r="OE64" s="865"/>
      <c r="OF64" s="865"/>
      <c r="OG64" s="865"/>
      <c r="OH64" s="865"/>
      <c r="OI64" s="865"/>
      <c r="OJ64" s="865"/>
      <c r="OK64" s="865"/>
      <c r="OL64" s="865"/>
      <c r="OM64" s="865"/>
      <c r="ON64" s="865"/>
      <c r="OO64" s="865"/>
      <c r="OP64" s="865"/>
      <c r="OQ64" s="865"/>
      <c r="OR64" s="865"/>
      <c r="OS64" s="865"/>
      <c r="OT64" s="865"/>
      <c r="OU64" s="865"/>
      <c r="OV64" s="865"/>
      <c r="OW64" s="865"/>
      <c r="OX64" s="865"/>
      <c r="OY64" s="865"/>
      <c r="OZ64" s="865"/>
      <c r="PA64" s="865"/>
      <c r="PB64" s="865"/>
      <c r="PC64" s="865"/>
      <c r="PD64" s="865"/>
      <c r="PE64" s="865"/>
      <c r="PF64" s="865"/>
      <c r="PG64" s="865"/>
      <c r="PH64" s="865"/>
      <c r="PI64" s="865"/>
      <c r="PJ64" s="865"/>
      <c r="PK64" s="865"/>
      <c r="PL64" s="865"/>
      <c r="PM64" s="865"/>
      <c r="PN64" s="865"/>
      <c r="PO64" s="865"/>
      <c r="PP64" s="865"/>
      <c r="PQ64" s="865"/>
      <c r="PR64" s="865"/>
      <c r="PS64" s="865"/>
      <c r="PT64" s="865"/>
      <c r="PU64" s="865"/>
      <c r="PV64" s="865"/>
      <c r="PW64" s="865"/>
      <c r="PX64" s="865"/>
      <c r="PY64" s="865"/>
      <c r="PZ64" s="865"/>
      <c r="QA64" s="865"/>
      <c r="QB64" s="865"/>
      <c r="QC64" s="865"/>
      <c r="QD64" s="865"/>
      <c r="QE64" s="865"/>
      <c r="QF64" s="865"/>
      <c r="QG64" s="865"/>
      <c r="QH64" s="865"/>
      <c r="QI64" s="865"/>
      <c r="QJ64" s="865"/>
      <c r="QK64" s="865"/>
      <c r="QL64" s="865"/>
      <c r="QM64" s="865"/>
      <c r="QN64" s="865"/>
      <c r="QO64" s="865"/>
      <c r="QP64" s="865"/>
      <c r="QQ64" s="865"/>
      <c r="QR64" s="865"/>
      <c r="QS64" s="865"/>
      <c r="QT64" s="865"/>
      <c r="QU64" s="865"/>
      <c r="QV64" s="865"/>
      <c r="QW64" s="865"/>
      <c r="QX64" s="865"/>
      <c r="QY64" s="865"/>
      <c r="QZ64" s="865"/>
      <c r="RA64" s="865"/>
      <c r="RB64" s="865"/>
      <c r="RC64" s="865"/>
      <c r="RD64" s="865"/>
      <c r="RE64" s="865"/>
      <c r="RF64" s="865"/>
      <c r="RG64" s="865"/>
      <c r="RH64" s="865"/>
      <c r="RI64" s="865"/>
      <c r="RJ64" s="865"/>
      <c r="RK64" s="865"/>
      <c r="RL64" s="865"/>
      <c r="RM64" s="865"/>
      <c r="RN64" s="865"/>
      <c r="RO64" s="865"/>
      <c r="RP64" s="865"/>
      <c r="RQ64" s="865"/>
      <c r="RR64" s="865"/>
      <c r="RS64" s="865"/>
      <c r="RT64" s="865"/>
      <c r="RU64" s="865"/>
      <c r="RV64" s="865"/>
      <c r="RW64" s="865"/>
      <c r="RX64" s="865"/>
    </row>
    <row r="65" spans="1:492" s="165" customFormat="1">
      <c r="A65" s="865"/>
      <c r="B65" s="865"/>
      <c r="C65" s="865"/>
      <c r="D65" s="865"/>
      <c r="E65" s="865"/>
      <c r="F65" s="865"/>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50"/>
      <c r="AN65" s="850"/>
      <c r="AO65" s="850"/>
      <c r="AP65" s="850"/>
      <c r="AQ65" s="850"/>
      <c r="AR65" s="850"/>
      <c r="AS65" s="850"/>
      <c r="AT65" s="850"/>
      <c r="AU65" s="850"/>
      <c r="AV65" s="850"/>
      <c r="AW65" s="850"/>
      <c r="AX65" s="850"/>
      <c r="AY65" s="850"/>
      <c r="AZ65" s="850"/>
      <c r="BA65" s="850"/>
      <c r="BB65" s="850"/>
      <c r="BC65" s="850"/>
      <c r="BD65" s="850"/>
      <c r="BE65" s="850"/>
      <c r="BF65" s="850"/>
      <c r="BG65" s="850"/>
      <c r="BH65" s="850"/>
      <c r="BI65" s="850"/>
      <c r="BJ65" s="850"/>
      <c r="BK65" s="850"/>
      <c r="BL65" s="850"/>
      <c r="BM65" s="850"/>
      <c r="BN65" s="850"/>
      <c r="BO65" s="850"/>
      <c r="BP65" s="850"/>
      <c r="BQ65" s="850"/>
      <c r="BR65" s="850"/>
      <c r="BS65" s="850"/>
      <c r="BT65" s="850"/>
      <c r="BU65" s="850"/>
      <c r="BV65" s="865"/>
      <c r="BW65" s="865"/>
      <c r="BX65" s="865"/>
      <c r="BY65" s="865"/>
      <c r="BZ65" s="865"/>
      <c r="CA65" s="865"/>
      <c r="CB65" s="865"/>
      <c r="CC65" s="865"/>
      <c r="CD65" s="865"/>
      <c r="CE65" s="865"/>
      <c r="CF65" s="865"/>
      <c r="CG65" s="865"/>
      <c r="CH65" s="865"/>
      <c r="CI65" s="865"/>
      <c r="CJ65" s="865"/>
      <c r="CK65" s="865"/>
      <c r="CL65" s="865"/>
      <c r="CM65" s="865"/>
      <c r="CN65" s="865"/>
      <c r="CO65" s="865"/>
      <c r="CP65" s="865"/>
      <c r="CQ65" s="865"/>
      <c r="CR65" s="865"/>
      <c r="CS65" s="865"/>
      <c r="CT65" s="865"/>
      <c r="CU65" s="865"/>
      <c r="CV65" s="865"/>
      <c r="CW65" s="865"/>
      <c r="CX65" s="865"/>
      <c r="CY65" s="865"/>
      <c r="CZ65" s="865"/>
      <c r="DA65" s="865"/>
      <c r="DB65" s="865"/>
      <c r="DC65" s="865"/>
      <c r="DD65" s="865"/>
      <c r="DE65" s="865"/>
      <c r="DF65" s="865"/>
      <c r="DG65" s="865"/>
      <c r="DH65" s="865"/>
      <c r="DI65" s="865"/>
      <c r="DJ65" s="865"/>
      <c r="DK65" s="865"/>
      <c r="DL65" s="865"/>
      <c r="DM65" s="865"/>
      <c r="DN65" s="865"/>
      <c r="DO65" s="865"/>
      <c r="DP65" s="865"/>
      <c r="DQ65" s="865"/>
      <c r="DR65" s="865"/>
      <c r="DS65" s="865"/>
      <c r="DT65" s="865"/>
      <c r="DU65" s="865"/>
      <c r="DV65" s="865"/>
      <c r="DW65" s="865"/>
      <c r="DX65" s="865"/>
      <c r="DY65" s="865"/>
      <c r="DZ65" s="865"/>
      <c r="EA65" s="865"/>
      <c r="EB65" s="865"/>
      <c r="EC65" s="865"/>
      <c r="ED65" s="865"/>
      <c r="EE65" s="865"/>
      <c r="EF65" s="865"/>
      <c r="EG65" s="865"/>
      <c r="EH65" s="865"/>
      <c r="EI65" s="865"/>
      <c r="EJ65" s="865"/>
      <c r="EK65" s="865"/>
      <c r="EL65" s="865"/>
      <c r="EM65" s="865"/>
      <c r="EN65" s="865"/>
      <c r="EO65" s="865"/>
      <c r="EP65" s="865"/>
      <c r="EQ65" s="865"/>
      <c r="ER65" s="865"/>
      <c r="ES65" s="865"/>
      <c r="ET65" s="865"/>
      <c r="EU65" s="865"/>
      <c r="EV65" s="865"/>
      <c r="EW65" s="865"/>
      <c r="EX65" s="865"/>
      <c r="EY65" s="865"/>
      <c r="EZ65" s="865"/>
      <c r="FA65" s="865"/>
      <c r="FB65" s="865"/>
      <c r="FC65" s="865"/>
      <c r="FD65" s="865"/>
      <c r="FE65" s="865"/>
      <c r="FF65" s="865"/>
      <c r="FG65" s="865"/>
      <c r="FH65" s="865"/>
      <c r="FI65" s="865"/>
      <c r="FJ65" s="865"/>
      <c r="FK65" s="865"/>
      <c r="FL65" s="865"/>
      <c r="FM65" s="865"/>
      <c r="FN65" s="865"/>
      <c r="FO65" s="865"/>
      <c r="FP65" s="865"/>
      <c r="FQ65" s="865"/>
      <c r="FR65" s="865"/>
      <c r="FS65" s="865"/>
      <c r="FT65" s="865"/>
      <c r="FU65" s="865"/>
      <c r="FV65" s="865"/>
      <c r="FW65" s="865"/>
      <c r="FX65" s="865"/>
      <c r="FY65" s="865"/>
      <c r="FZ65" s="865"/>
      <c r="GA65" s="865"/>
      <c r="GB65" s="865"/>
      <c r="GC65" s="865"/>
      <c r="GD65" s="865"/>
      <c r="GE65" s="865"/>
      <c r="GF65" s="865"/>
      <c r="GG65" s="865"/>
      <c r="GH65" s="865"/>
      <c r="GI65" s="865"/>
      <c r="GJ65" s="865"/>
      <c r="GK65" s="865"/>
      <c r="GL65" s="865"/>
      <c r="GM65" s="865"/>
      <c r="GN65" s="865"/>
      <c r="GO65" s="865"/>
      <c r="GP65" s="865"/>
      <c r="GQ65" s="865"/>
      <c r="GR65" s="865"/>
      <c r="GS65" s="865"/>
      <c r="GT65" s="865"/>
      <c r="GU65" s="865"/>
      <c r="GV65" s="865"/>
      <c r="GW65" s="865"/>
      <c r="GX65" s="865"/>
      <c r="GY65" s="865"/>
      <c r="GZ65" s="865"/>
      <c r="HA65" s="865"/>
      <c r="HB65" s="865"/>
      <c r="HC65" s="865"/>
      <c r="HD65" s="865"/>
      <c r="HE65" s="865"/>
      <c r="HF65" s="865"/>
      <c r="HG65" s="865"/>
      <c r="HH65" s="865"/>
      <c r="HI65" s="865"/>
      <c r="HJ65" s="865"/>
      <c r="HK65" s="865"/>
      <c r="HL65" s="865"/>
      <c r="HM65" s="865"/>
      <c r="HN65" s="865"/>
      <c r="HO65" s="865"/>
      <c r="HP65" s="865"/>
      <c r="HQ65" s="865"/>
      <c r="HR65" s="865"/>
      <c r="HS65" s="865"/>
      <c r="HT65" s="865"/>
      <c r="HU65" s="865"/>
      <c r="HV65" s="865"/>
      <c r="HW65" s="865"/>
      <c r="HX65" s="865"/>
      <c r="HY65" s="865"/>
      <c r="HZ65" s="865"/>
      <c r="IA65" s="865"/>
      <c r="IB65" s="865"/>
      <c r="IC65" s="865"/>
      <c r="ID65" s="865"/>
      <c r="IE65" s="865"/>
      <c r="IF65" s="865"/>
      <c r="IG65" s="865"/>
      <c r="IH65" s="865"/>
      <c r="II65" s="865"/>
      <c r="IJ65" s="865"/>
      <c r="IK65" s="865"/>
      <c r="IL65" s="865"/>
      <c r="IM65" s="865"/>
      <c r="IN65" s="865"/>
      <c r="IO65" s="865"/>
      <c r="IP65" s="865"/>
      <c r="IQ65" s="865"/>
      <c r="IR65" s="865"/>
      <c r="IS65" s="865"/>
      <c r="IT65" s="865"/>
      <c r="IU65" s="865"/>
      <c r="IV65" s="865"/>
      <c r="IW65" s="865"/>
      <c r="IX65" s="865"/>
      <c r="IY65" s="865"/>
      <c r="IZ65" s="865"/>
      <c r="JA65" s="865"/>
      <c r="JB65" s="865"/>
      <c r="JC65" s="865"/>
      <c r="JD65" s="865"/>
      <c r="JE65" s="865"/>
      <c r="JF65" s="865"/>
      <c r="JG65" s="865"/>
      <c r="JH65" s="865"/>
      <c r="JI65" s="865"/>
      <c r="JJ65" s="865"/>
      <c r="JK65" s="865"/>
      <c r="JL65" s="865"/>
      <c r="JM65" s="865"/>
      <c r="JN65" s="865"/>
      <c r="JO65" s="865"/>
      <c r="JP65" s="865"/>
      <c r="JQ65" s="865"/>
      <c r="JR65" s="865"/>
      <c r="JS65" s="865"/>
      <c r="JT65" s="865"/>
      <c r="JU65" s="865"/>
      <c r="JV65" s="865"/>
      <c r="JW65" s="865"/>
      <c r="JX65" s="865"/>
      <c r="JY65" s="865"/>
      <c r="JZ65" s="865"/>
      <c r="KA65" s="865"/>
      <c r="KB65" s="865"/>
      <c r="KC65" s="865"/>
      <c r="KD65" s="865"/>
      <c r="KE65" s="865"/>
      <c r="KF65" s="865"/>
      <c r="KG65" s="865"/>
      <c r="KH65" s="865"/>
      <c r="KI65" s="865"/>
      <c r="KJ65" s="865"/>
      <c r="KK65" s="865"/>
      <c r="KL65" s="865"/>
      <c r="KM65" s="865"/>
      <c r="KN65" s="865"/>
      <c r="KO65" s="865"/>
      <c r="KP65" s="865"/>
      <c r="KQ65" s="865"/>
      <c r="KR65" s="865"/>
      <c r="KS65" s="865"/>
      <c r="KT65" s="865"/>
      <c r="KU65" s="865"/>
      <c r="KV65" s="865"/>
      <c r="KW65" s="865"/>
      <c r="KX65" s="865"/>
      <c r="KY65" s="865"/>
      <c r="KZ65" s="865"/>
      <c r="LA65" s="865"/>
      <c r="LB65" s="865"/>
      <c r="LC65" s="865"/>
      <c r="LD65" s="865"/>
      <c r="LE65" s="865"/>
      <c r="LF65" s="865"/>
      <c r="LG65" s="865"/>
      <c r="LH65" s="865"/>
      <c r="LI65" s="865"/>
      <c r="LJ65" s="865"/>
      <c r="LK65" s="865"/>
      <c r="LL65" s="865"/>
      <c r="LM65" s="865"/>
      <c r="LN65" s="865"/>
      <c r="LO65" s="865"/>
      <c r="LP65" s="865"/>
      <c r="LQ65" s="865"/>
      <c r="LR65" s="865"/>
      <c r="LS65" s="865"/>
      <c r="LT65" s="865"/>
      <c r="LU65" s="865"/>
      <c r="LV65" s="865"/>
      <c r="LW65" s="865"/>
      <c r="LX65" s="865"/>
      <c r="LY65" s="865"/>
      <c r="LZ65" s="865"/>
      <c r="MA65" s="865"/>
      <c r="MB65" s="865"/>
      <c r="MC65" s="865"/>
      <c r="MD65" s="865"/>
      <c r="ME65" s="865"/>
      <c r="MF65" s="865"/>
      <c r="MG65" s="865"/>
      <c r="MH65" s="865"/>
      <c r="MI65" s="865"/>
      <c r="MJ65" s="865"/>
      <c r="MK65" s="865"/>
      <c r="ML65" s="865"/>
      <c r="MM65" s="865"/>
      <c r="MN65" s="865"/>
      <c r="MO65" s="865"/>
      <c r="MP65" s="865"/>
      <c r="MQ65" s="865"/>
      <c r="MR65" s="865"/>
      <c r="MS65" s="865"/>
      <c r="MT65" s="865"/>
      <c r="MU65" s="865"/>
      <c r="MV65" s="865"/>
      <c r="MW65" s="865"/>
      <c r="MX65" s="865"/>
      <c r="MY65" s="865"/>
      <c r="MZ65" s="865"/>
      <c r="NA65" s="865"/>
      <c r="NB65" s="865"/>
      <c r="NC65" s="865"/>
      <c r="ND65" s="865"/>
      <c r="NE65" s="865"/>
      <c r="NF65" s="865"/>
      <c r="NG65" s="865"/>
      <c r="NH65" s="865"/>
      <c r="NI65" s="865"/>
      <c r="NJ65" s="865"/>
      <c r="NK65" s="865"/>
      <c r="NL65" s="865"/>
      <c r="NM65" s="865"/>
      <c r="NN65" s="865"/>
      <c r="NO65" s="865"/>
      <c r="NP65" s="865"/>
      <c r="NQ65" s="865"/>
      <c r="NR65" s="865"/>
      <c r="NS65" s="865"/>
      <c r="NT65" s="865"/>
      <c r="NU65" s="865"/>
      <c r="NV65" s="865"/>
      <c r="NW65" s="865"/>
      <c r="NX65" s="865"/>
      <c r="NY65" s="865"/>
      <c r="NZ65" s="865"/>
      <c r="OA65" s="865"/>
      <c r="OB65" s="865"/>
      <c r="OC65" s="865"/>
      <c r="OD65" s="865"/>
      <c r="OE65" s="865"/>
      <c r="OF65" s="865"/>
      <c r="OG65" s="865"/>
      <c r="OH65" s="865"/>
      <c r="OI65" s="865"/>
      <c r="OJ65" s="865"/>
      <c r="OK65" s="865"/>
      <c r="OL65" s="865"/>
      <c r="OM65" s="865"/>
      <c r="ON65" s="865"/>
      <c r="OO65" s="865"/>
      <c r="OP65" s="865"/>
      <c r="OQ65" s="865"/>
      <c r="OR65" s="865"/>
      <c r="OS65" s="865"/>
      <c r="OT65" s="865"/>
      <c r="OU65" s="865"/>
      <c r="OV65" s="865"/>
      <c r="OW65" s="865"/>
      <c r="OX65" s="865"/>
      <c r="OY65" s="865"/>
      <c r="OZ65" s="865"/>
      <c r="PA65" s="865"/>
      <c r="PB65" s="865"/>
      <c r="PC65" s="865"/>
      <c r="PD65" s="865"/>
      <c r="PE65" s="865"/>
      <c r="PF65" s="865"/>
      <c r="PG65" s="865"/>
      <c r="PH65" s="865"/>
      <c r="PI65" s="865"/>
      <c r="PJ65" s="865"/>
      <c r="PK65" s="865"/>
      <c r="PL65" s="865"/>
      <c r="PM65" s="865"/>
      <c r="PN65" s="865"/>
      <c r="PO65" s="865"/>
      <c r="PP65" s="865"/>
      <c r="PQ65" s="865"/>
      <c r="PR65" s="865"/>
      <c r="PS65" s="865"/>
      <c r="PT65" s="865"/>
      <c r="PU65" s="865"/>
      <c r="PV65" s="865"/>
      <c r="PW65" s="865"/>
      <c r="PX65" s="865"/>
      <c r="PY65" s="865"/>
      <c r="PZ65" s="865"/>
      <c r="QA65" s="865"/>
      <c r="QB65" s="865"/>
      <c r="QC65" s="865"/>
      <c r="QD65" s="865"/>
      <c r="QE65" s="865"/>
      <c r="QF65" s="865"/>
      <c r="QG65" s="865"/>
      <c r="QH65" s="865"/>
      <c r="QI65" s="865"/>
      <c r="QJ65" s="865"/>
      <c r="QK65" s="865"/>
      <c r="QL65" s="865"/>
      <c r="QM65" s="865"/>
      <c r="QN65" s="865"/>
      <c r="QO65" s="865"/>
      <c r="QP65" s="865"/>
      <c r="QQ65" s="865"/>
      <c r="QR65" s="865"/>
      <c r="QS65" s="865"/>
      <c r="QT65" s="865"/>
      <c r="QU65" s="865"/>
      <c r="QV65" s="865"/>
      <c r="QW65" s="865"/>
      <c r="QX65" s="865"/>
      <c r="QY65" s="865"/>
      <c r="QZ65" s="865"/>
      <c r="RA65" s="865"/>
      <c r="RB65" s="865"/>
      <c r="RC65" s="865"/>
      <c r="RD65" s="865"/>
      <c r="RE65" s="865"/>
      <c r="RF65" s="865"/>
      <c r="RG65" s="865"/>
      <c r="RH65" s="865"/>
      <c r="RI65" s="865"/>
      <c r="RJ65" s="865"/>
      <c r="RK65" s="865"/>
      <c r="RL65" s="865"/>
      <c r="RM65" s="865"/>
      <c r="RN65" s="865"/>
      <c r="RO65" s="865"/>
      <c r="RP65" s="865"/>
      <c r="RQ65" s="865"/>
      <c r="RR65" s="865"/>
      <c r="RS65" s="865"/>
      <c r="RT65" s="865"/>
      <c r="RU65" s="865"/>
      <c r="RV65" s="865"/>
      <c r="RW65" s="865"/>
      <c r="RX65" s="865"/>
    </row>
    <row r="66" spans="1:492" s="165" customFormat="1">
      <c r="A66" s="865"/>
      <c r="B66" s="865"/>
      <c r="C66" s="865"/>
      <c r="D66" s="865"/>
      <c r="E66" s="865"/>
      <c r="F66" s="865"/>
      <c r="G66" s="865"/>
      <c r="H66" s="865"/>
      <c r="I66" s="865"/>
      <c r="J66" s="865"/>
      <c r="K66" s="865"/>
      <c r="L66" s="865"/>
      <c r="M66" s="865"/>
      <c r="N66" s="865"/>
      <c r="O66" s="865"/>
      <c r="P66" s="865"/>
      <c r="Q66" s="865"/>
      <c r="R66" s="865"/>
      <c r="S66" s="865"/>
      <c r="T66" s="865"/>
      <c r="U66" s="865"/>
      <c r="V66" s="865"/>
      <c r="W66" s="865"/>
      <c r="X66" s="865"/>
      <c r="Y66" s="865"/>
      <c r="Z66" s="865"/>
      <c r="AA66" s="865"/>
      <c r="AB66" s="865"/>
      <c r="AC66" s="865"/>
      <c r="AD66" s="865"/>
      <c r="AE66" s="865"/>
      <c r="AF66" s="865"/>
      <c r="AG66" s="865"/>
      <c r="AH66" s="865"/>
      <c r="AI66" s="865"/>
      <c r="AJ66" s="865"/>
      <c r="AK66" s="865"/>
      <c r="AL66" s="865"/>
      <c r="AM66" s="850"/>
      <c r="AN66" s="850"/>
      <c r="AO66" s="850"/>
      <c r="AP66" s="850"/>
      <c r="AQ66" s="850"/>
      <c r="AR66" s="850"/>
      <c r="AS66" s="850"/>
      <c r="AT66" s="850"/>
      <c r="AU66" s="850"/>
      <c r="AV66" s="850"/>
      <c r="AW66" s="850"/>
      <c r="AX66" s="850"/>
      <c r="AY66" s="850"/>
      <c r="AZ66" s="850"/>
      <c r="BA66" s="850"/>
      <c r="BB66" s="850"/>
      <c r="BC66" s="850"/>
      <c r="BD66" s="850"/>
      <c r="BE66" s="850"/>
      <c r="BF66" s="850"/>
      <c r="BG66" s="850"/>
      <c r="BH66" s="850"/>
      <c r="BI66" s="850"/>
      <c r="BJ66" s="850"/>
      <c r="BK66" s="850"/>
      <c r="BL66" s="850"/>
      <c r="BM66" s="850"/>
      <c r="BN66" s="850"/>
      <c r="BO66" s="850"/>
      <c r="BP66" s="850"/>
      <c r="BQ66" s="850"/>
      <c r="BR66" s="850"/>
      <c r="BS66" s="850"/>
      <c r="BT66" s="850"/>
      <c r="BU66" s="850"/>
      <c r="BV66" s="865"/>
      <c r="BW66" s="865"/>
      <c r="BX66" s="865"/>
      <c r="BY66" s="865"/>
      <c r="BZ66" s="865"/>
      <c r="CA66" s="865"/>
      <c r="CB66" s="865"/>
      <c r="CC66" s="865"/>
      <c r="CD66" s="865"/>
      <c r="CE66" s="865"/>
      <c r="CF66" s="865"/>
      <c r="CG66" s="865"/>
      <c r="CH66" s="865"/>
      <c r="CI66" s="865"/>
      <c r="CJ66" s="865"/>
      <c r="CK66" s="865"/>
      <c r="CL66" s="865"/>
      <c r="CM66" s="865"/>
      <c r="CN66" s="865"/>
      <c r="CO66" s="865"/>
      <c r="CP66" s="865"/>
      <c r="CQ66" s="865"/>
      <c r="CR66" s="865"/>
      <c r="CS66" s="865"/>
      <c r="CT66" s="865"/>
      <c r="CU66" s="865"/>
      <c r="CV66" s="865"/>
      <c r="CW66" s="865"/>
      <c r="CX66" s="865"/>
      <c r="CY66" s="865"/>
      <c r="CZ66" s="865"/>
      <c r="DA66" s="865"/>
      <c r="DB66" s="865"/>
      <c r="DC66" s="865"/>
      <c r="DD66" s="865"/>
      <c r="DE66" s="865"/>
      <c r="DF66" s="865"/>
      <c r="DG66" s="865"/>
      <c r="DH66" s="865"/>
      <c r="DI66" s="865"/>
      <c r="DJ66" s="865"/>
      <c r="DK66" s="865"/>
      <c r="DL66" s="865"/>
      <c r="DM66" s="865"/>
      <c r="DN66" s="865"/>
      <c r="DO66" s="865"/>
      <c r="DP66" s="865"/>
      <c r="DQ66" s="865"/>
      <c r="DR66" s="865"/>
      <c r="DS66" s="865"/>
      <c r="DT66" s="865"/>
      <c r="DU66" s="865"/>
      <c r="DV66" s="865"/>
      <c r="DW66" s="865"/>
      <c r="DX66" s="865"/>
      <c r="DY66" s="865"/>
      <c r="DZ66" s="865"/>
      <c r="EA66" s="865"/>
      <c r="EB66" s="865"/>
      <c r="EC66" s="865"/>
      <c r="ED66" s="865"/>
      <c r="EE66" s="865"/>
      <c r="EF66" s="865"/>
      <c r="EG66" s="865"/>
      <c r="EH66" s="865"/>
      <c r="EI66" s="865"/>
      <c r="EJ66" s="865"/>
      <c r="EK66" s="865"/>
      <c r="EL66" s="865"/>
      <c r="EM66" s="865"/>
      <c r="EN66" s="865"/>
      <c r="EO66" s="865"/>
      <c r="EP66" s="865"/>
      <c r="EQ66" s="865"/>
      <c r="ER66" s="865"/>
      <c r="ES66" s="865"/>
      <c r="ET66" s="865"/>
      <c r="EU66" s="865"/>
      <c r="EV66" s="865"/>
      <c r="EW66" s="865"/>
      <c r="EX66" s="865"/>
      <c r="EY66" s="865"/>
      <c r="EZ66" s="865"/>
      <c r="FA66" s="865"/>
      <c r="FB66" s="865"/>
      <c r="FC66" s="865"/>
      <c r="FD66" s="865"/>
      <c r="FE66" s="865"/>
      <c r="FF66" s="865"/>
      <c r="FG66" s="865"/>
      <c r="FH66" s="865"/>
      <c r="FI66" s="865"/>
      <c r="FJ66" s="865"/>
      <c r="FK66" s="865"/>
      <c r="FL66" s="865"/>
      <c r="FM66" s="865"/>
      <c r="FN66" s="865"/>
      <c r="FO66" s="865"/>
      <c r="FP66" s="865"/>
      <c r="FQ66" s="865"/>
      <c r="FR66" s="865"/>
      <c r="FS66" s="865"/>
      <c r="FT66" s="865"/>
      <c r="FU66" s="865"/>
      <c r="FV66" s="865"/>
      <c r="FW66" s="865"/>
      <c r="FX66" s="865"/>
      <c r="FY66" s="865"/>
      <c r="FZ66" s="865"/>
      <c r="GA66" s="865"/>
      <c r="GB66" s="865"/>
      <c r="GC66" s="865"/>
      <c r="GD66" s="865"/>
      <c r="GE66" s="865"/>
      <c r="GF66" s="865"/>
      <c r="GG66" s="865"/>
      <c r="GH66" s="865"/>
      <c r="GI66" s="865"/>
      <c r="GJ66" s="865"/>
      <c r="GK66" s="865"/>
      <c r="GL66" s="865"/>
      <c r="GM66" s="865"/>
      <c r="GN66" s="865"/>
      <c r="GO66" s="865"/>
      <c r="GP66" s="865"/>
      <c r="GQ66" s="865"/>
      <c r="GR66" s="865"/>
      <c r="GS66" s="865"/>
      <c r="GT66" s="865"/>
      <c r="GU66" s="865"/>
      <c r="GV66" s="865"/>
      <c r="GW66" s="865"/>
      <c r="GX66" s="865"/>
      <c r="GY66" s="865"/>
      <c r="GZ66" s="865"/>
      <c r="HA66" s="865"/>
      <c r="HB66" s="865"/>
      <c r="HC66" s="865"/>
      <c r="HD66" s="865"/>
      <c r="HE66" s="865"/>
      <c r="HF66" s="865"/>
      <c r="HG66" s="865"/>
      <c r="HH66" s="865"/>
      <c r="HI66" s="865"/>
      <c r="HJ66" s="865"/>
      <c r="HK66" s="865"/>
      <c r="HL66" s="865"/>
      <c r="HM66" s="865"/>
      <c r="HN66" s="865"/>
      <c r="HO66" s="865"/>
      <c r="HP66" s="865"/>
      <c r="HQ66" s="865"/>
      <c r="HR66" s="865"/>
      <c r="HS66" s="865"/>
      <c r="HT66" s="865"/>
      <c r="HU66" s="865"/>
      <c r="HV66" s="865"/>
      <c r="HW66" s="865"/>
      <c r="HX66" s="865"/>
      <c r="HY66" s="865"/>
      <c r="HZ66" s="865"/>
      <c r="IA66" s="865"/>
      <c r="IB66" s="865"/>
      <c r="IC66" s="865"/>
      <c r="ID66" s="865"/>
      <c r="IE66" s="865"/>
      <c r="IF66" s="865"/>
      <c r="IG66" s="865"/>
      <c r="IH66" s="865"/>
      <c r="II66" s="865"/>
      <c r="IJ66" s="865"/>
      <c r="IK66" s="865"/>
      <c r="IL66" s="865"/>
      <c r="IM66" s="865"/>
      <c r="IN66" s="865"/>
      <c r="IO66" s="865"/>
      <c r="IP66" s="865"/>
      <c r="IQ66" s="865"/>
      <c r="IR66" s="865"/>
      <c r="IS66" s="865"/>
      <c r="IT66" s="865"/>
      <c r="IU66" s="865"/>
      <c r="IV66" s="865"/>
      <c r="IW66" s="865"/>
      <c r="IX66" s="865"/>
      <c r="IY66" s="865"/>
      <c r="IZ66" s="865"/>
      <c r="JA66" s="865"/>
      <c r="JB66" s="865"/>
      <c r="JC66" s="865"/>
      <c r="JD66" s="865"/>
      <c r="JE66" s="865"/>
      <c r="JF66" s="865"/>
      <c r="JG66" s="865"/>
      <c r="JH66" s="865"/>
      <c r="JI66" s="865"/>
      <c r="JJ66" s="865"/>
      <c r="JK66" s="865"/>
      <c r="JL66" s="865"/>
      <c r="JM66" s="865"/>
      <c r="JN66" s="865"/>
      <c r="JO66" s="865"/>
      <c r="JP66" s="865"/>
      <c r="JQ66" s="865"/>
      <c r="JR66" s="865"/>
      <c r="JS66" s="865"/>
      <c r="JT66" s="865"/>
      <c r="JU66" s="865"/>
      <c r="JV66" s="865"/>
      <c r="JW66" s="865"/>
      <c r="JX66" s="865"/>
      <c r="JY66" s="865"/>
      <c r="JZ66" s="865"/>
      <c r="KA66" s="865"/>
      <c r="KB66" s="865"/>
      <c r="KC66" s="865"/>
      <c r="KD66" s="865"/>
      <c r="KE66" s="865"/>
      <c r="KF66" s="865"/>
      <c r="KG66" s="865"/>
      <c r="KH66" s="865"/>
      <c r="KI66" s="865"/>
      <c r="KJ66" s="865"/>
      <c r="KK66" s="865"/>
      <c r="KL66" s="865"/>
      <c r="KM66" s="865"/>
      <c r="KN66" s="865"/>
      <c r="KO66" s="865"/>
      <c r="KP66" s="865"/>
      <c r="KQ66" s="865"/>
      <c r="KR66" s="865"/>
      <c r="KS66" s="865"/>
      <c r="KT66" s="865"/>
      <c r="KU66" s="865"/>
      <c r="KV66" s="865"/>
      <c r="KW66" s="865"/>
      <c r="KX66" s="865"/>
      <c r="KY66" s="865"/>
      <c r="KZ66" s="865"/>
      <c r="LA66" s="865"/>
      <c r="LB66" s="865"/>
      <c r="LC66" s="865"/>
      <c r="LD66" s="865"/>
      <c r="LE66" s="865"/>
      <c r="LF66" s="865"/>
      <c r="LG66" s="865"/>
      <c r="LH66" s="865"/>
      <c r="LI66" s="865"/>
      <c r="LJ66" s="865"/>
      <c r="LK66" s="865"/>
      <c r="LL66" s="865"/>
      <c r="LM66" s="865"/>
      <c r="LN66" s="865"/>
      <c r="LO66" s="865"/>
      <c r="LP66" s="865"/>
      <c r="LQ66" s="865"/>
      <c r="LR66" s="865"/>
      <c r="LS66" s="865"/>
      <c r="LT66" s="865"/>
      <c r="LU66" s="865"/>
      <c r="LV66" s="865"/>
      <c r="LW66" s="865"/>
      <c r="LX66" s="865"/>
      <c r="LY66" s="865"/>
      <c r="LZ66" s="865"/>
      <c r="MA66" s="865"/>
      <c r="MB66" s="865"/>
      <c r="MC66" s="865"/>
      <c r="MD66" s="865"/>
      <c r="ME66" s="865"/>
      <c r="MF66" s="865"/>
      <c r="MG66" s="865"/>
      <c r="MH66" s="865"/>
      <c r="MI66" s="865"/>
      <c r="MJ66" s="865"/>
      <c r="MK66" s="865"/>
      <c r="ML66" s="865"/>
      <c r="MM66" s="865"/>
      <c r="MN66" s="865"/>
      <c r="MO66" s="865"/>
      <c r="MP66" s="865"/>
      <c r="MQ66" s="865"/>
      <c r="MR66" s="865"/>
      <c r="MS66" s="865"/>
      <c r="MT66" s="865"/>
      <c r="MU66" s="865"/>
      <c r="MV66" s="865"/>
      <c r="MW66" s="865"/>
      <c r="MX66" s="865"/>
      <c r="MY66" s="865"/>
      <c r="MZ66" s="865"/>
      <c r="NA66" s="865"/>
      <c r="NB66" s="865"/>
      <c r="NC66" s="865"/>
      <c r="ND66" s="865"/>
      <c r="NE66" s="865"/>
      <c r="NF66" s="865"/>
      <c r="NG66" s="865"/>
      <c r="NH66" s="865"/>
      <c r="NI66" s="865"/>
      <c r="NJ66" s="865"/>
      <c r="NK66" s="865"/>
      <c r="NL66" s="865"/>
      <c r="NM66" s="865"/>
      <c r="NN66" s="865"/>
      <c r="NO66" s="865"/>
      <c r="NP66" s="865"/>
      <c r="NQ66" s="865"/>
      <c r="NR66" s="865"/>
      <c r="NS66" s="865"/>
      <c r="NT66" s="865"/>
      <c r="NU66" s="865"/>
      <c r="NV66" s="865"/>
      <c r="NW66" s="865"/>
      <c r="NX66" s="865"/>
      <c r="NY66" s="865"/>
      <c r="NZ66" s="865"/>
      <c r="OA66" s="865"/>
      <c r="OB66" s="865"/>
      <c r="OC66" s="865"/>
      <c r="OD66" s="865"/>
      <c r="OE66" s="865"/>
      <c r="OF66" s="865"/>
      <c r="OG66" s="865"/>
      <c r="OH66" s="865"/>
      <c r="OI66" s="865"/>
      <c r="OJ66" s="865"/>
      <c r="OK66" s="865"/>
      <c r="OL66" s="865"/>
      <c r="OM66" s="865"/>
      <c r="ON66" s="865"/>
      <c r="OO66" s="865"/>
      <c r="OP66" s="865"/>
      <c r="OQ66" s="865"/>
      <c r="OR66" s="865"/>
      <c r="OS66" s="865"/>
      <c r="OT66" s="865"/>
      <c r="OU66" s="865"/>
      <c r="OV66" s="865"/>
      <c r="OW66" s="865"/>
      <c r="OX66" s="865"/>
      <c r="OY66" s="865"/>
      <c r="OZ66" s="865"/>
      <c r="PA66" s="865"/>
      <c r="PB66" s="865"/>
      <c r="PC66" s="865"/>
      <c r="PD66" s="865"/>
      <c r="PE66" s="865"/>
      <c r="PF66" s="865"/>
      <c r="PG66" s="865"/>
      <c r="PH66" s="865"/>
      <c r="PI66" s="865"/>
      <c r="PJ66" s="865"/>
      <c r="PK66" s="865"/>
      <c r="PL66" s="865"/>
      <c r="PM66" s="865"/>
      <c r="PN66" s="865"/>
      <c r="PO66" s="865"/>
      <c r="PP66" s="865"/>
      <c r="PQ66" s="865"/>
      <c r="PR66" s="865"/>
      <c r="PS66" s="865"/>
      <c r="PT66" s="865"/>
      <c r="PU66" s="865"/>
      <c r="PV66" s="865"/>
      <c r="PW66" s="865"/>
      <c r="PX66" s="865"/>
      <c r="PY66" s="865"/>
      <c r="PZ66" s="865"/>
      <c r="QA66" s="865"/>
      <c r="QB66" s="865"/>
      <c r="QC66" s="865"/>
      <c r="QD66" s="865"/>
      <c r="QE66" s="865"/>
      <c r="QF66" s="865"/>
      <c r="QG66" s="865"/>
      <c r="QH66" s="865"/>
      <c r="QI66" s="865"/>
      <c r="QJ66" s="865"/>
      <c r="QK66" s="865"/>
      <c r="QL66" s="865"/>
      <c r="QM66" s="865"/>
      <c r="QN66" s="865"/>
      <c r="QO66" s="865"/>
      <c r="QP66" s="865"/>
      <c r="QQ66" s="865"/>
      <c r="QR66" s="865"/>
      <c r="QS66" s="865"/>
      <c r="QT66" s="865"/>
      <c r="QU66" s="865"/>
      <c r="QV66" s="865"/>
      <c r="QW66" s="865"/>
      <c r="QX66" s="865"/>
      <c r="QY66" s="865"/>
      <c r="QZ66" s="865"/>
      <c r="RA66" s="865"/>
      <c r="RB66" s="865"/>
      <c r="RC66" s="865"/>
      <c r="RD66" s="865"/>
      <c r="RE66" s="865"/>
      <c r="RF66" s="865"/>
      <c r="RG66" s="865"/>
      <c r="RH66" s="865"/>
      <c r="RI66" s="865"/>
      <c r="RJ66" s="865"/>
      <c r="RK66" s="865"/>
      <c r="RL66" s="865"/>
      <c r="RM66" s="865"/>
      <c r="RN66" s="865"/>
      <c r="RO66" s="865"/>
      <c r="RP66" s="865"/>
      <c r="RQ66" s="865"/>
      <c r="RR66" s="865"/>
      <c r="RS66" s="865"/>
      <c r="RT66" s="865"/>
      <c r="RU66" s="865"/>
      <c r="RV66" s="865"/>
      <c r="RW66" s="865"/>
      <c r="RX66" s="865"/>
    </row>
    <row r="67" spans="1:492" s="165" customFormat="1">
      <c r="A67" s="865"/>
      <c r="B67" s="865"/>
      <c r="C67" s="865"/>
      <c r="D67" s="865"/>
      <c r="E67" s="865"/>
      <c r="F67" s="865"/>
      <c r="G67" s="865"/>
      <c r="H67" s="865"/>
      <c r="I67" s="865"/>
      <c r="J67" s="865"/>
      <c r="K67" s="865"/>
      <c r="L67" s="865"/>
      <c r="M67" s="865"/>
      <c r="N67" s="865"/>
      <c r="O67" s="865"/>
      <c r="P67" s="865"/>
      <c r="Q67" s="865"/>
      <c r="R67" s="865"/>
      <c r="S67" s="865"/>
      <c r="T67" s="865"/>
      <c r="U67" s="865"/>
      <c r="V67" s="865"/>
      <c r="W67" s="865"/>
      <c r="X67" s="865"/>
      <c r="Y67" s="865"/>
      <c r="Z67" s="865"/>
      <c r="AA67" s="865"/>
      <c r="AB67" s="865"/>
      <c r="AC67" s="865"/>
      <c r="AD67" s="865"/>
      <c r="AE67" s="865"/>
      <c r="AF67" s="865"/>
      <c r="AG67" s="865"/>
      <c r="AH67" s="865"/>
      <c r="AI67" s="865"/>
      <c r="AJ67" s="865"/>
      <c r="AK67" s="865"/>
      <c r="AL67" s="865"/>
      <c r="AM67" s="850"/>
      <c r="AN67" s="850"/>
      <c r="AO67" s="850"/>
      <c r="AP67" s="850"/>
      <c r="AQ67" s="850"/>
      <c r="AR67" s="850"/>
      <c r="AS67" s="850"/>
      <c r="AT67" s="850"/>
      <c r="AU67" s="850"/>
      <c r="AV67" s="850"/>
      <c r="AW67" s="850"/>
      <c r="AX67" s="850"/>
      <c r="AY67" s="850"/>
      <c r="AZ67" s="850"/>
      <c r="BA67" s="850"/>
      <c r="BB67" s="850"/>
      <c r="BC67" s="850"/>
      <c r="BD67" s="850"/>
      <c r="BE67" s="850"/>
      <c r="BF67" s="850"/>
      <c r="BG67" s="850"/>
      <c r="BH67" s="850"/>
      <c r="BI67" s="850"/>
      <c r="BJ67" s="850"/>
      <c r="BK67" s="850"/>
      <c r="BL67" s="850"/>
      <c r="BM67" s="850"/>
      <c r="BN67" s="850"/>
      <c r="BO67" s="850"/>
      <c r="BP67" s="850"/>
      <c r="BQ67" s="850"/>
      <c r="BR67" s="850"/>
      <c r="BS67" s="850"/>
      <c r="BT67" s="850"/>
      <c r="BU67" s="850"/>
      <c r="BV67" s="865"/>
      <c r="BW67" s="865"/>
      <c r="BX67" s="865"/>
      <c r="BY67" s="865"/>
      <c r="BZ67" s="865"/>
      <c r="CA67" s="865"/>
      <c r="CB67" s="865"/>
      <c r="CC67" s="865"/>
      <c r="CD67" s="865"/>
      <c r="CE67" s="865"/>
      <c r="CF67" s="865"/>
      <c r="CG67" s="865"/>
      <c r="CH67" s="865"/>
      <c r="CI67" s="865"/>
      <c r="CJ67" s="865"/>
      <c r="CK67" s="865"/>
      <c r="CL67" s="865"/>
      <c r="CM67" s="865"/>
      <c r="CN67" s="865"/>
      <c r="CO67" s="865"/>
      <c r="CP67" s="865"/>
      <c r="CQ67" s="865"/>
      <c r="CR67" s="865"/>
      <c r="CS67" s="865"/>
      <c r="CT67" s="865"/>
      <c r="CU67" s="865"/>
      <c r="CV67" s="865"/>
      <c r="CW67" s="865"/>
      <c r="CX67" s="865"/>
      <c r="CY67" s="865"/>
      <c r="CZ67" s="865"/>
      <c r="DA67" s="865"/>
      <c r="DB67" s="865"/>
      <c r="DC67" s="865"/>
      <c r="DD67" s="865"/>
      <c r="DE67" s="865"/>
      <c r="DF67" s="865"/>
      <c r="DG67" s="865"/>
      <c r="DH67" s="865"/>
      <c r="DI67" s="865"/>
      <c r="DJ67" s="865"/>
      <c r="DK67" s="865"/>
      <c r="DL67" s="865"/>
      <c r="DM67" s="865"/>
      <c r="DN67" s="865"/>
      <c r="DO67" s="865"/>
      <c r="DP67" s="865"/>
      <c r="DQ67" s="865"/>
      <c r="DR67" s="865"/>
      <c r="DS67" s="865"/>
      <c r="DT67" s="865"/>
      <c r="DU67" s="865"/>
      <c r="DV67" s="865"/>
      <c r="DW67" s="865"/>
      <c r="DX67" s="865"/>
      <c r="DY67" s="865"/>
      <c r="DZ67" s="865"/>
      <c r="EA67" s="865"/>
      <c r="EB67" s="865"/>
      <c r="EC67" s="865"/>
      <c r="ED67" s="865"/>
      <c r="EE67" s="865"/>
      <c r="EF67" s="865"/>
      <c r="EG67" s="865"/>
      <c r="EH67" s="865"/>
      <c r="EI67" s="865"/>
      <c r="EJ67" s="865"/>
      <c r="EK67" s="865"/>
      <c r="EL67" s="865"/>
      <c r="EM67" s="865"/>
      <c r="EN67" s="865"/>
      <c r="EO67" s="865"/>
      <c r="EP67" s="865"/>
      <c r="EQ67" s="865"/>
      <c r="ER67" s="865"/>
      <c r="ES67" s="865"/>
      <c r="ET67" s="865"/>
      <c r="EU67" s="865"/>
      <c r="EV67" s="865"/>
      <c r="EW67" s="865"/>
      <c r="EX67" s="865"/>
      <c r="EY67" s="865"/>
      <c r="EZ67" s="865"/>
      <c r="FA67" s="865"/>
      <c r="FB67" s="865"/>
      <c r="FC67" s="865"/>
      <c r="FD67" s="865"/>
      <c r="FE67" s="865"/>
      <c r="FF67" s="865"/>
      <c r="FG67" s="865"/>
      <c r="FH67" s="865"/>
      <c r="FI67" s="865"/>
      <c r="FJ67" s="865"/>
      <c r="FK67" s="865"/>
      <c r="FL67" s="865"/>
      <c r="FM67" s="865"/>
      <c r="FN67" s="865"/>
      <c r="FO67" s="865"/>
      <c r="FP67" s="865"/>
      <c r="FQ67" s="865"/>
      <c r="FR67" s="865"/>
      <c r="FS67" s="865"/>
      <c r="FT67" s="865"/>
      <c r="FU67" s="865"/>
      <c r="FV67" s="865"/>
      <c r="FW67" s="865"/>
      <c r="FX67" s="865"/>
      <c r="FY67" s="865"/>
      <c r="FZ67" s="865"/>
      <c r="GA67" s="865"/>
      <c r="GB67" s="865"/>
      <c r="GC67" s="865"/>
      <c r="GD67" s="865"/>
      <c r="GE67" s="865"/>
      <c r="GF67" s="865"/>
      <c r="GG67" s="865"/>
      <c r="GH67" s="865"/>
      <c r="GI67" s="865"/>
      <c r="GJ67" s="865"/>
      <c r="GK67" s="865"/>
      <c r="GL67" s="865"/>
      <c r="GM67" s="865"/>
      <c r="GN67" s="865"/>
      <c r="GO67" s="865"/>
      <c r="GP67" s="865"/>
      <c r="GQ67" s="865"/>
      <c r="GR67" s="865"/>
      <c r="GS67" s="865"/>
      <c r="GT67" s="865"/>
      <c r="GU67" s="865"/>
      <c r="GV67" s="865"/>
      <c r="GW67" s="865"/>
      <c r="GX67" s="865"/>
      <c r="GY67" s="865"/>
      <c r="GZ67" s="865"/>
      <c r="HA67" s="865"/>
      <c r="HB67" s="865"/>
      <c r="HC67" s="865"/>
      <c r="HD67" s="865"/>
      <c r="HE67" s="865"/>
      <c r="HF67" s="865"/>
      <c r="HG67" s="865"/>
      <c r="HH67" s="865"/>
      <c r="HI67" s="865"/>
      <c r="HJ67" s="865"/>
      <c r="HK67" s="865"/>
      <c r="HL67" s="865"/>
      <c r="HM67" s="865"/>
      <c r="HN67" s="865"/>
      <c r="HO67" s="865"/>
      <c r="HP67" s="865"/>
      <c r="HQ67" s="865"/>
      <c r="HR67" s="865"/>
      <c r="HS67" s="865"/>
      <c r="HT67" s="865"/>
      <c r="HU67" s="865"/>
      <c r="HV67" s="865"/>
      <c r="HW67" s="865"/>
      <c r="HX67" s="865"/>
      <c r="HY67" s="865"/>
      <c r="HZ67" s="865"/>
      <c r="IA67" s="865"/>
      <c r="IB67" s="865"/>
      <c r="IC67" s="865"/>
      <c r="ID67" s="865"/>
      <c r="IE67" s="865"/>
      <c r="IF67" s="865"/>
      <c r="IG67" s="865"/>
      <c r="IH67" s="865"/>
      <c r="II67" s="865"/>
      <c r="IJ67" s="865"/>
      <c r="IK67" s="865"/>
      <c r="IL67" s="865"/>
      <c r="IM67" s="865"/>
      <c r="IN67" s="865"/>
      <c r="IO67" s="865"/>
      <c r="IP67" s="865"/>
      <c r="IQ67" s="865"/>
      <c r="IR67" s="865"/>
      <c r="IS67" s="865"/>
      <c r="IT67" s="865"/>
      <c r="IU67" s="865"/>
      <c r="IV67" s="865"/>
      <c r="IW67" s="865"/>
      <c r="IX67" s="865"/>
      <c r="IY67" s="865"/>
      <c r="IZ67" s="865"/>
      <c r="JA67" s="865"/>
      <c r="JB67" s="865"/>
      <c r="JC67" s="865"/>
      <c r="JD67" s="865"/>
      <c r="JE67" s="865"/>
      <c r="JF67" s="865"/>
      <c r="JG67" s="865"/>
      <c r="JH67" s="865"/>
      <c r="JI67" s="865"/>
      <c r="JJ67" s="865"/>
      <c r="JK67" s="865"/>
      <c r="JL67" s="865"/>
      <c r="JM67" s="865"/>
      <c r="JN67" s="865"/>
      <c r="JO67" s="865"/>
      <c r="JP67" s="865"/>
      <c r="JQ67" s="865"/>
      <c r="JR67" s="865"/>
      <c r="JS67" s="865"/>
      <c r="JT67" s="865"/>
      <c r="JU67" s="865"/>
      <c r="JV67" s="865"/>
      <c r="JW67" s="865"/>
      <c r="JX67" s="865"/>
      <c r="JY67" s="865"/>
      <c r="JZ67" s="865"/>
      <c r="KA67" s="865"/>
      <c r="KB67" s="865"/>
      <c r="KC67" s="865"/>
      <c r="KD67" s="865"/>
      <c r="KE67" s="865"/>
      <c r="KF67" s="865"/>
      <c r="KG67" s="865"/>
      <c r="KH67" s="865"/>
      <c r="KI67" s="865"/>
      <c r="KJ67" s="865"/>
      <c r="KK67" s="865"/>
      <c r="KL67" s="865"/>
      <c r="KM67" s="865"/>
      <c r="KN67" s="865"/>
      <c r="KO67" s="865"/>
      <c r="KP67" s="865"/>
      <c r="KQ67" s="865"/>
      <c r="KR67" s="865"/>
      <c r="KS67" s="865"/>
      <c r="KT67" s="865"/>
      <c r="KU67" s="865"/>
      <c r="KV67" s="865"/>
      <c r="KW67" s="865"/>
      <c r="KX67" s="865"/>
      <c r="KY67" s="865"/>
      <c r="KZ67" s="865"/>
      <c r="LA67" s="865"/>
      <c r="LB67" s="865"/>
      <c r="LC67" s="865"/>
      <c r="LD67" s="865"/>
      <c r="LE67" s="865"/>
      <c r="LF67" s="865"/>
      <c r="LG67" s="865"/>
      <c r="LH67" s="865"/>
      <c r="LI67" s="865"/>
      <c r="LJ67" s="865"/>
      <c r="LK67" s="865"/>
      <c r="LL67" s="865"/>
      <c r="LM67" s="865"/>
      <c r="LN67" s="865"/>
      <c r="LO67" s="865"/>
      <c r="LP67" s="865"/>
      <c r="LQ67" s="865"/>
      <c r="LR67" s="865"/>
      <c r="LS67" s="865"/>
      <c r="LT67" s="865"/>
      <c r="LU67" s="865"/>
      <c r="LV67" s="865"/>
      <c r="LW67" s="865"/>
      <c r="LX67" s="865"/>
      <c r="LY67" s="865"/>
      <c r="LZ67" s="865"/>
      <c r="MA67" s="865"/>
      <c r="MB67" s="865"/>
      <c r="MC67" s="865"/>
      <c r="MD67" s="865"/>
      <c r="ME67" s="865"/>
      <c r="MF67" s="865"/>
      <c r="MG67" s="865"/>
      <c r="MH67" s="865"/>
      <c r="MI67" s="865"/>
      <c r="MJ67" s="865"/>
      <c r="MK67" s="865"/>
      <c r="ML67" s="865"/>
      <c r="MM67" s="865"/>
      <c r="MN67" s="865"/>
      <c r="MO67" s="865"/>
      <c r="MP67" s="865"/>
      <c r="MQ67" s="865"/>
      <c r="MR67" s="865"/>
      <c r="MS67" s="865"/>
      <c r="MT67" s="865"/>
      <c r="MU67" s="865"/>
      <c r="MV67" s="865"/>
      <c r="MW67" s="865"/>
      <c r="MX67" s="865"/>
      <c r="MY67" s="865"/>
      <c r="MZ67" s="865"/>
      <c r="NA67" s="865"/>
      <c r="NB67" s="865"/>
      <c r="NC67" s="865"/>
      <c r="ND67" s="865"/>
      <c r="NE67" s="865"/>
      <c r="NF67" s="865"/>
      <c r="NG67" s="865"/>
      <c r="NH67" s="865"/>
      <c r="NI67" s="865"/>
      <c r="NJ67" s="865"/>
      <c r="NK67" s="865"/>
      <c r="NL67" s="865"/>
      <c r="NM67" s="865"/>
      <c r="NN67" s="865"/>
      <c r="NO67" s="865"/>
      <c r="NP67" s="865"/>
      <c r="NQ67" s="865"/>
      <c r="NR67" s="865"/>
      <c r="NS67" s="865"/>
      <c r="NT67" s="865"/>
      <c r="NU67" s="865"/>
      <c r="NV67" s="865"/>
      <c r="NW67" s="865"/>
      <c r="NX67" s="865"/>
      <c r="NY67" s="865"/>
      <c r="NZ67" s="865"/>
      <c r="OA67" s="865"/>
      <c r="OB67" s="865"/>
      <c r="OC67" s="865"/>
      <c r="OD67" s="865"/>
      <c r="OE67" s="865"/>
      <c r="OF67" s="865"/>
      <c r="OG67" s="865"/>
      <c r="OH67" s="865"/>
      <c r="OI67" s="865"/>
      <c r="OJ67" s="865"/>
      <c r="OK67" s="865"/>
      <c r="OL67" s="865"/>
      <c r="OM67" s="865"/>
      <c r="ON67" s="865"/>
      <c r="OO67" s="865"/>
      <c r="OP67" s="865"/>
      <c r="OQ67" s="865"/>
      <c r="OR67" s="865"/>
      <c r="OS67" s="865"/>
      <c r="OT67" s="865"/>
      <c r="OU67" s="865"/>
      <c r="OV67" s="865"/>
      <c r="OW67" s="865"/>
      <c r="OX67" s="865"/>
      <c r="OY67" s="865"/>
      <c r="OZ67" s="865"/>
      <c r="PA67" s="865"/>
      <c r="PB67" s="865"/>
      <c r="PC67" s="865"/>
      <c r="PD67" s="865"/>
      <c r="PE67" s="865"/>
      <c r="PF67" s="865"/>
      <c r="PG67" s="865"/>
      <c r="PH67" s="865"/>
      <c r="PI67" s="865"/>
      <c r="PJ67" s="865"/>
      <c r="PK67" s="865"/>
      <c r="PL67" s="865"/>
      <c r="PM67" s="865"/>
      <c r="PN67" s="865"/>
      <c r="PO67" s="865"/>
      <c r="PP67" s="865"/>
      <c r="PQ67" s="865"/>
      <c r="PR67" s="865"/>
      <c r="PS67" s="865"/>
      <c r="PT67" s="865"/>
      <c r="PU67" s="865"/>
      <c r="PV67" s="865"/>
      <c r="PW67" s="865"/>
      <c r="PX67" s="865"/>
      <c r="PY67" s="865"/>
      <c r="PZ67" s="865"/>
      <c r="QA67" s="865"/>
      <c r="QB67" s="865"/>
      <c r="QC67" s="865"/>
      <c r="QD67" s="865"/>
      <c r="QE67" s="865"/>
      <c r="QF67" s="865"/>
      <c r="QG67" s="865"/>
      <c r="QH67" s="865"/>
      <c r="QI67" s="865"/>
      <c r="QJ67" s="865"/>
      <c r="QK67" s="865"/>
      <c r="QL67" s="865"/>
      <c r="QM67" s="865"/>
      <c r="QN67" s="865"/>
      <c r="QO67" s="865"/>
      <c r="QP67" s="865"/>
      <c r="QQ67" s="865"/>
      <c r="QR67" s="865"/>
      <c r="QS67" s="865"/>
      <c r="QT67" s="865"/>
      <c r="QU67" s="865"/>
      <c r="QV67" s="865"/>
      <c r="QW67" s="865"/>
      <c r="QX67" s="865"/>
      <c r="QY67" s="865"/>
      <c r="QZ67" s="865"/>
      <c r="RA67" s="865"/>
      <c r="RB67" s="865"/>
      <c r="RC67" s="865"/>
      <c r="RD67" s="865"/>
      <c r="RE67" s="865"/>
      <c r="RF67" s="865"/>
      <c r="RG67" s="865"/>
      <c r="RH67" s="865"/>
      <c r="RI67" s="865"/>
      <c r="RJ67" s="865"/>
      <c r="RK67" s="865"/>
      <c r="RL67" s="865"/>
      <c r="RM67" s="865"/>
      <c r="RN67" s="865"/>
      <c r="RO67" s="865"/>
      <c r="RP67" s="865"/>
      <c r="RQ67" s="865"/>
      <c r="RR67" s="865"/>
      <c r="RS67" s="865"/>
      <c r="RT67" s="865"/>
      <c r="RU67" s="865"/>
      <c r="RV67" s="865"/>
      <c r="RW67" s="865"/>
      <c r="RX67" s="865"/>
    </row>
    <row r="68" spans="1:492" s="165" customFormat="1">
      <c r="A68" s="865"/>
      <c r="B68" s="865"/>
      <c r="C68" s="865"/>
      <c r="D68" s="865"/>
      <c r="E68" s="865"/>
      <c r="F68" s="865"/>
      <c r="G68" s="865"/>
      <c r="H68" s="865"/>
      <c r="I68" s="865"/>
      <c r="J68" s="865"/>
      <c r="K68" s="865"/>
      <c r="L68" s="865"/>
      <c r="M68" s="865"/>
      <c r="N68" s="865"/>
      <c r="O68" s="865"/>
      <c r="P68" s="865"/>
      <c r="Q68" s="865"/>
      <c r="R68" s="865"/>
      <c r="S68" s="865"/>
      <c r="T68" s="865"/>
      <c r="U68" s="865"/>
      <c r="V68" s="865"/>
      <c r="W68" s="865"/>
      <c r="X68" s="865"/>
      <c r="Y68" s="865"/>
      <c r="Z68" s="865"/>
      <c r="AA68" s="865"/>
      <c r="AB68" s="865"/>
      <c r="AC68" s="865"/>
      <c r="AD68" s="865"/>
      <c r="AE68" s="865"/>
      <c r="AF68" s="865"/>
      <c r="AG68" s="865"/>
      <c r="AH68" s="865"/>
      <c r="AI68" s="865"/>
      <c r="AJ68" s="865"/>
      <c r="AK68" s="865"/>
      <c r="AL68" s="865"/>
      <c r="AM68" s="850"/>
      <c r="AN68" s="850"/>
      <c r="AO68" s="850"/>
      <c r="AP68" s="850"/>
      <c r="AQ68" s="850"/>
      <c r="AR68" s="850"/>
      <c r="AS68" s="850"/>
      <c r="AT68" s="850"/>
      <c r="AU68" s="850"/>
      <c r="AV68" s="850"/>
      <c r="AW68" s="850"/>
      <c r="AX68" s="850"/>
      <c r="AY68" s="850"/>
      <c r="AZ68" s="850"/>
      <c r="BA68" s="850"/>
      <c r="BB68" s="850"/>
      <c r="BC68" s="850"/>
      <c r="BD68" s="850"/>
      <c r="BE68" s="850"/>
      <c r="BF68" s="850"/>
      <c r="BG68" s="850"/>
      <c r="BH68" s="850"/>
      <c r="BI68" s="850"/>
      <c r="BJ68" s="850"/>
      <c r="BK68" s="850"/>
      <c r="BL68" s="850"/>
      <c r="BM68" s="850"/>
      <c r="BN68" s="850"/>
      <c r="BO68" s="850"/>
      <c r="BP68" s="850"/>
      <c r="BQ68" s="850"/>
      <c r="BR68" s="850"/>
      <c r="BS68" s="850"/>
      <c r="BT68" s="850"/>
      <c r="BU68" s="850"/>
      <c r="BV68" s="865"/>
      <c r="BW68" s="865"/>
      <c r="BX68" s="865"/>
      <c r="BY68" s="865"/>
      <c r="BZ68" s="865"/>
      <c r="CA68" s="865"/>
      <c r="CB68" s="865"/>
      <c r="CC68" s="865"/>
      <c r="CD68" s="865"/>
      <c r="CE68" s="865"/>
      <c r="CF68" s="865"/>
      <c r="CG68" s="865"/>
      <c r="CH68" s="865"/>
      <c r="CI68" s="865"/>
      <c r="CJ68" s="865"/>
      <c r="CK68" s="865"/>
      <c r="CL68" s="865"/>
      <c r="CM68" s="865"/>
      <c r="CN68" s="865"/>
      <c r="CO68" s="865"/>
      <c r="CP68" s="865"/>
      <c r="CQ68" s="865"/>
      <c r="CR68" s="865"/>
      <c r="CS68" s="865"/>
      <c r="CT68" s="865"/>
      <c r="CU68" s="865"/>
      <c r="CV68" s="865"/>
      <c r="CW68" s="865"/>
      <c r="CX68" s="865"/>
      <c r="CY68" s="865"/>
      <c r="CZ68" s="865"/>
      <c r="DA68" s="865"/>
      <c r="DB68" s="865"/>
      <c r="DC68" s="865"/>
      <c r="DD68" s="865"/>
      <c r="DE68" s="865"/>
      <c r="DF68" s="865"/>
      <c r="DG68" s="865"/>
      <c r="DH68" s="865"/>
      <c r="DI68" s="865"/>
      <c r="DJ68" s="865"/>
      <c r="DK68" s="865"/>
      <c r="DL68" s="865"/>
      <c r="DM68" s="865"/>
      <c r="DN68" s="865"/>
      <c r="DO68" s="865"/>
      <c r="DP68" s="865"/>
      <c r="DQ68" s="865"/>
      <c r="DR68" s="865"/>
      <c r="DS68" s="865"/>
      <c r="DT68" s="865"/>
      <c r="DU68" s="865"/>
      <c r="DV68" s="865"/>
      <c r="DW68" s="865"/>
      <c r="DX68" s="865"/>
      <c r="DY68" s="865"/>
      <c r="DZ68" s="865"/>
      <c r="EA68" s="865"/>
      <c r="EB68" s="865"/>
      <c r="EC68" s="865"/>
      <c r="ED68" s="865"/>
      <c r="EE68" s="865"/>
      <c r="EF68" s="865"/>
      <c r="EG68" s="865"/>
      <c r="EH68" s="865"/>
      <c r="EI68" s="865"/>
      <c r="EJ68" s="865"/>
      <c r="EK68" s="865"/>
      <c r="EL68" s="865"/>
      <c r="EM68" s="865"/>
      <c r="EN68" s="865"/>
      <c r="EO68" s="865"/>
      <c r="EP68" s="865"/>
      <c r="EQ68" s="865"/>
      <c r="ER68" s="865"/>
      <c r="ES68" s="865"/>
      <c r="ET68" s="865"/>
      <c r="EU68" s="865"/>
      <c r="EV68" s="865"/>
      <c r="EW68" s="865"/>
      <c r="EX68" s="865"/>
      <c r="EY68" s="865"/>
      <c r="EZ68" s="865"/>
      <c r="FA68" s="865"/>
      <c r="FB68" s="865"/>
      <c r="FC68" s="865"/>
      <c r="FD68" s="865"/>
      <c r="FE68" s="865"/>
      <c r="FF68" s="865"/>
      <c r="FG68" s="865"/>
      <c r="FH68" s="865"/>
      <c r="FI68" s="865"/>
      <c r="FJ68" s="865"/>
      <c r="FK68" s="865"/>
      <c r="FL68" s="865"/>
      <c r="FM68" s="865"/>
      <c r="FN68" s="865"/>
      <c r="FO68" s="865"/>
      <c r="FP68" s="865"/>
      <c r="FQ68" s="865"/>
      <c r="FR68" s="865"/>
      <c r="FS68" s="865"/>
      <c r="FT68" s="865"/>
      <c r="FU68" s="865"/>
      <c r="FV68" s="865"/>
      <c r="FW68" s="865"/>
      <c r="FX68" s="865"/>
      <c r="FY68" s="865"/>
      <c r="FZ68" s="865"/>
      <c r="GA68" s="865"/>
      <c r="GB68" s="865"/>
      <c r="GC68" s="865"/>
      <c r="GD68" s="865"/>
      <c r="GE68" s="865"/>
      <c r="GF68" s="865"/>
      <c r="GG68" s="865"/>
      <c r="GH68" s="865"/>
      <c r="GI68" s="865"/>
      <c r="GJ68" s="865"/>
      <c r="GK68" s="865"/>
      <c r="GL68" s="865"/>
      <c r="GM68" s="865"/>
      <c r="GN68" s="865"/>
      <c r="GO68" s="865"/>
      <c r="GP68" s="865"/>
      <c r="GQ68" s="865"/>
      <c r="GR68" s="865"/>
      <c r="GS68" s="865"/>
      <c r="GT68" s="865"/>
      <c r="GU68" s="865"/>
      <c r="GV68" s="865"/>
      <c r="GW68" s="865"/>
      <c r="GX68" s="865"/>
      <c r="GY68" s="865"/>
      <c r="GZ68" s="865"/>
      <c r="HA68" s="865"/>
      <c r="HB68" s="865"/>
      <c r="HC68" s="865"/>
      <c r="HD68" s="865"/>
      <c r="HE68" s="865"/>
      <c r="HF68" s="865"/>
      <c r="HG68" s="865"/>
      <c r="HH68" s="865"/>
      <c r="HI68" s="865"/>
      <c r="HJ68" s="865"/>
      <c r="HK68" s="865"/>
      <c r="HL68" s="865"/>
      <c r="HM68" s="865"/>
      <c r="HN68" s="865"/>
      <c r="HO68" s="865"/>
      <c r="HP68" s="865"/>
      <c r="HQ68" s="865"/>
      <c r="HR68" s="865"/>
      <c r="HS68" s="865"/>
      <c r="HT68" s="865"/>
      <c r="HU68" s="865"/>
      <c r="HV68" s="865"/>
      <c r="HW68" s="865"/>
      <c r="HX68" s="865"/>
      <c r="HY68" s="865"/>
      <c r="HZ68" s="865"/>
      <c r="IA68" s="865"/>
      <c r="IB68" s="865"/>
      <c r="IC68" s="865"/>
      <c r="ID68" s="865"/>
      <c r="IE68" s="865"/>
      <c r="IF68" s="865"/>
      <c r="IG68" s="865"/>
      <c r="IH68" s="865"/>
      <c r="II68" s="865"/>
      <c r="IJ68" s="865"/>
      <c r="IK68" s="865"/>
      <c r="IL68" s="865"/>
      <c r="IM68" s="865"/>
      <c r="IN68" s="865"/>
      <c r="IO68" s="865"/>
      <c r="IP68" s="865"/>
      <c r="IQ68" s="865"/>
      <c r="IR68" s="865"/>
      <c r="IS68" s="865"/>
      <c r="IT68" s="865"/>
      <c r="IU68" s="865"/>
      <c r="IV68" s="865"/>
      <c r="IW68" s="865"/>
      <c r="IX68" s="865"/>
      <c r="IY68" s="865"/>
      <c r="IZ68" s="865"/>
      <c r="JA68" s="865"/>
      <c r="JB68" s="865"/>
      <c r="JC68" s="865"/>
      <c r="JD68" s="865"/>
      <c r="JE68" s="865"/>
      <c r="JF68" s="865"/>
      <c r="JG68" s="865"/>
      <c r="JH68" s="865"/>
      <c r="JI68" s="865"/>
      <c r="JJ68" s="865"/>
      <c r="JK68" s="865"/>
      <c r="JL68" s="865"/>
      <c r="JM68" s="865"/>
      <c r="JN68" s="865"/>
      <c r="JO68" s="865"/>
      <c r="JP68" s="865"/>
      <c r="JQ68" s="865"/>
      <c r="JR68" s="865"/>
      <c r="JS68" s="865"/>
      <c r="JT68" s="865"/>
      <c r="JU68" s="865"/>
      <c r="JV68" s="865"/>
      <c r="JW68" s="865"/>
      <c r="JX68" s="865"/>
      <c r="JY68" s="865"/>
      <c r="JZ68" s="865"/>
      <c r="KA68" s="865"/>
      <c r="KB68" s="865"/>
      <c r="KC68" s="865"/>
      <c r="KD68" s="865"/>
      <c r="KE68" s="865"/>
      <c r="KF68" s="865"/>
      <c r="KG68" s="865"/>
      <c r="KH68" s="865"/>
      <c r="KI68" s="865"/>
      <c r="KJ68" s="865"/>
      <c r="KK68" s="865"/>
      <c r="KL68" s="865"/>
      <c r="KM68" s="865"/>
      <c r="KN68" s="865"/>
      <c r="KO68" s="865"/>
      <c r="KP68" s="865"/>
      <c r="KQ68" s="865"/>
      <c r="KR68" s="865"/>
      <c r="KS68" s="865"/>
      <c r="KT68" s="865"/>
      <c r="KU68" s="865"/>
      <c r="KV68" s="865"/>
      <c r="KW68" s="865"/>
      <c r="KX68" s="865"/>
      <c r="KY68" s="865"/>
      <c r="KZ68" s="865"/>
      <c r="LA68" s="865"/>
      <c r="LB68" s="865"/>
      <c r="LC68" s="865"/>
      <c r="LD68" s="865"/>
      <c r="LE68" s="865"/>
      <c r="LF68" s="865"/>
      <c r="LG68" s="865"/>
      <c r="LH68" s="865"/>
      <c r="LI68" s="865"/>
      <c r="LJ68" s="865"/>
      <c r="LK68" s="865"/>
      <c r="LL68" s="865"/>
      <c r="LM68" s="865"/>
      <c r="LN68" s="865"/>
      <c r="LO68" s="865"/>
      <c r="LP68" s="865"/>
      <c r="LQ68" s="865"/>
      <c r="LR68" s="865"/>
      <c r="LS68" s="865"/>
      <c r="LT68" s="865"/>
      <c r="LU68" s="865"/>
      <c r="LV68" s="865"/>
      <c r="LW68" s="865"/>
      <c r="LX68" s="865"/>
      <c r="LY68" s="865"/>
      <c r="LZ68" s="865"/>
      <c r="MA68" s="865"/>
      <c r="MB68" s="865"/>
      <c r="MC68" s="865"/>
      <c r="MD68" s="865"/>
      <c r="ME68" s="865"/>
      <c r="MF68" s="865"/>
      <c r="MG68" s="865"/>
      <c r="MH68" s="865"/>
      <c r="MI68" s="865"/>
      <c r="MJ68" s="865"/>
      <c r="MK68" s="865"/>
      <c r="ML68" s="865"/>
      <c r="MM68" s="865"/>
      <c r="MN68" s="865"/>
      <c r="MO68" s="865"/>
      <c r="MP68" s="865"/>
      <c r="MQ68" s="865"/>
      <c r="MR68" s="865"/>
      <c r="MS68" s="865"/>
      <c r="MT68" s="865"/>
      <c r="MU68" s="865"/>
      <c r="MV68" s="865"/>
      <c r="MW68" s="865"/>
      <c r="MX68" s="865"/>
      <c r="MY68" s="865"/>
      <c r="MZ68" s="865"/>
      <c r="NA68" s="865"/>
      <c r="NB68" s="865"/>
      <c r="NC68" s="865"/>
      <c r="ND68" s="865"/>
      <c r="NE68" s="865"/>
      <c r="NF68" s="865"/>
      <c r="NG68" s="865"/>
      <c r="NH68" s="865"/>
      <c r="NI68" s="865"/>
      <c r="NJ68" s="865"/>
      <c r="NK68" s="865"/>
      <c r="NL68" s="865"/>
      <c r="NM68" s="865"/>
      <c r="NN68" s="865"/>
      <c r="NO68" s="865"/>
      <c r="NP68" s="865"/>
      <c r="NQ68" s="865"/>
      <c r="NR68" s="865"/>
      <c r="NS68" s="865"/>
      <c r="NT68" s="865"/>
      <c r="NU68" s="865"/>
      <c r="NV68" s="865"/>
      <c r="NW68" s="865"/>
      <c r="NX68" s="865"/>
      <c r="NY68" s="865"/>
      <c r="NZ68" s="865"/>
      <c r="OA68" s="865"/>
      <c r="OB68" s="865"/>
      <c r="OC68" s="865"/>
      <c r="OD68" s="865"/>
      <c r="OE68" s="865"/>
      <c r="OF68" s="865"/>
      <c r="OG68" s="865"/>
      <c r="OH68" s="865"/>
      <c r="OI68" s="865"/>
      <c r="OJ68" s="865"/>
      <c r="OK68" s="865"/>
      <c r="OL68" s="865"/>
      <c r="OM68" s="865"/>
      <c r="ON68" s="865"/>
      <c r="OO68" s="865"/>
      <c r="OP68" s="865"/>
      <c r="OQ68" s="865"/>
      <c r="OR68" s="865"/>
      <c r="OS68" s="865"/>
      <c r="OT68" s="865"/>
      <c r="OU68" s="865"/>
      <c r="OV68" s="865"/>
      <c r="OW68" s="865"/>
      <c r="OX68" s="865"/>
      <c r="OY68" s="865"/>
      <c r="OZ68" s="865"/>
      <c r="PA68" s="865"/>
      <c r="PB68" s="865"/>
      <c r="PC68" s="865"/>
      <c r="PD68" s="865"/>
      <c r="PE68" s="865"/>
      <c r="PF68" s="865"/>
      <c r="PG68" s="865"/>
      <c r="PH68" s="865"/>
      <c r="PI68" s="865"/>
      <c r="PJ68" s="865"/>
      <c r="PK68" s="865"/>
      <c r="PL68" s="865"/>
      <c r="PM68" s="865"/>
      <c r="PN68" s="865"/>
      <c r="PO68" s="865"/>
      <c r="PP68" s="865"/>
      <c r="PQ68" s="865"/>
      <c r="PR68" s="865"/>
      <c r="PS68" s="865"/>
      <c r="PT68" s="865"/>
      <c r="PU68" s="865"/>
      <c r="PV68" s="865"/>
      <c r="PW68" s="865"/>
      <c r="PX68" s="865"/>
      <c r="PY68" s="865"/>
      <c r="PZ68" s="865"/>
      <c r="QA68" s="865"/>
      <c r="QB68" s="865"/>
      <c r="QC68" s="865"/>
      <c r="QD68" s="865"/>
      <c r="QE68" s="865"/>
      <c r="QF68" s="865"/>
      <c r="QG68" s="865"/>
      <c r="QH68" s="865"/>
      <c r="QI68" s="865"/>
      <c r="QJ68" s="865"/>
      <c r="QK68" s="865"/>
      <c r="QL68" s="865"/>
      <c r="QM68" s="865"/>
      <c r="QN68" s="865"/>
      <c r="QO68" s="865"/>
      <c r="QP68" s="865"/>
      <c r="QQ68" s="865"/>
      <c r="QR68" s="865"/>
      <c r="QS68" s="865"/>
      <c r="QT68" s="865"/>
      <c r="QU68" s="865"/>
      <c r="QV68" s="865"/>
      <c r="QW68" s="865"/>
      <c r="QX68" s="865"/>
      <c r="QY68" s="865"/>
      <c r="QZ68" s="865"/>
      <c r="RA68" s="865"/>
      <c r="RB68" s="865"/>
      <c r="RC68" s="865"/>
      <c r="RD68" s="865"/>
      <c r="RE68" s="865"/>
      <c r="RF68" s="865"/>
      <c r="RG68" s="865"/>
      <c r="RH68" s="865"/>
      <c r="RI68" s="865"/>
      <c r="RJ68" s="865"/>
      <c r="RK68" s="865"/>
      <c r="RL68" s="865"/>
      <c r="RM68" s="865"/>
      <c r="RN68" s="865"/>
      <c r="RO68" s="865"/>
      <c r="RP68" s="865"/>
      <c r="RQ68" s="865"/>
      <c r="RR68" s="865"/>
      <c r="RS68" s="865"/>
      <c r="RT68" s="865"/>
      <c r="RU68" s="865"/>
      <c r="RV68" s="865"/>
      <c r="RW68" s="865"/>
      <c r="RX68" s="865"/>
    </row>
    <row r="69" spans="1:492" s="165" customFormat="1">
      <c r="A69" s="865"/>
      <c r="B69" s="865"/>
      <c r="C69" s="865"/>
      <c r="D69" s="865"/>
      <c r="E69" s="865"/>
      <c r="F69" s="865"/>
      <c r="G69" s="865"/>
      <c r="H69" s="865"/>
      <c r="I69" s="865"/>
      <c r="J69" s="865"/>
      <c r="K69" s="865"/>
      <c r="L69" s="865"/>
      <c r="M69" s="865"/>
      <c r="N69" s="865"/>
      <c r="O69" s="865"/>
      <c r="P69" s="865"/>
      <c r="Q69" s="865"/>
      <c r="R69" s="865"/>
      <c r="S69" s="865"/>
      <c r="T69" s="865"/>
      <c r="U69" s="865"/>
      <c r="V69" s="865"/>
      <c r="W69" s="865"/>
      <c r="X69" s="865"/>
      <c r="Y69" s="865"/>
      <c r="Z69" s="865"/>
      <c r="AA69" s="865"/>
      <c r="AB69" s="865"/>
      <c r="AC69" s="865"/>
      <c r="AD69" s="865"/>
      <c r="AE69" s="865"/>
      <c r="AF69" s="865"/>
      <c r="AG69" s="865"/>
      <c r="AH69" s="865"/>
      <c r="AI69" s="865"/>
      <c r="AJ69" s="865"/>
      <c r="AK69" s="865"/>
      <c r="AL69" s="865"/>
      <c r="AM69" s="850"/>
      <c r="AN69" s="850"/>
      <c r="AO69" s="850"/>
      <c r="AP69" s="850"/>
      <c r="AQ69" s="850"/>
      <c r="AR69" s="850"/>
      <c r="AS69" s="850"/>
      <c r="AT69" s="850"/>
      <c r="AU69" s="850"/>
      <c r="AV69" s="850"/>
      <c r="AW69" s="850"/>
      <c r="AX69" s="850"/>
      <c r="AY69" s="850"/>
      <c r="AZ69" s="850"/>
      <c r="BA69" s="850"/>
      <c r="BB69" s="850"/>
      <c r="BC69" s="850"/>
      <c r="BD69" s="850"/>
      <c r="BE69" s="850"/>
      <c r="BF69" s="850"/>
      <c r="BG69" s="850"/>
      <c r="BH69" s="850"/>
      <c r="BI69" s="850"/>
      <c r="BJ69" s="850"/>
      <c r="BK69" s="850"/>
      <c r="BL69" s="850"/>
      <c r="BM69" s="850"/>
      <c r="BN69" s="850"/>
      <c r="BO69" s="850"/>
      <c r="BP69" s="850"/>
      <c r="BQ69" s="850"/>
      <c r="BR69" s="850"/>
      <c r="BS69" s="850"/>
      <c r="BT69" s="850"/>
      <c r="BU69" s="850"/>
      <c r="BV69" s="865"/>
      <c r="BW69" s="865"/>
      <c r="BX69" s="865"/>
      <c r="BY69" s="865"/>
      <c r="BZ69" s="865"/>
      <c r="CA69" s="865"/>
      <c r="CB69" s="865"/>
      <c r="CC69" s="865"/>
      <c r="CD69" s="865"/>
      <c r="CE69" s="865"/>
      <c r="CF69" s="865"/>
      <c r="CG69" s="865"/>
      <c r="CH69" s="865"/>
      <c r="CI69" s="865"/>
      <c r="CJ69" s="865"/>
      <c r="CK69" s="865"/>
      <c r="CL69" s="865"/>
      <c r="CM69" s="865"/>
      <c r="CN69" s="865"/>
      <c r="CO69" s="865"/>
      <c r="CP69" s="865"/>
      <c r="CQ69" s="865"/>
      <c r="CR69" s="865"/>
      <c r="CS69" s="865"/>
      <c r="CT69" s="865"/>
      <c r="CU69" s="865"/>
      <c r="CV69" s="865"/>
      <c r="CW69" s="865"/>
      <c r="CX69" s="865"/>
      <c r="CY69" s="865"/>
      <c r="CZ69" s="865"/>
      <c r="DA69" s="865"/>
      <c r="DB69" s="865"/>
      <c r="DC69" s="865"/>
      <c r="DD69" s="865"/>
      <c r="DE69" s="865"/>
      <c r="DF69" s="865"/>
      <c r="DG69" s="865"/>
      <c r="DH69" s="865"/>
      <c r="DI69" s="865"/>
      <c r="DJ69" s="865"/>
      <c r="DK69" s="865"/>
      <c r="DL69" s="865"/>
      <c r="DM69" s="865"/>
      <c r="DN69" s="865"/>
      <c r="DO69" s="865"/>
      <c r="DP69" s="865"/>
      <c r="DQ69" s="865"/>
      <c r="DR69" s="865"/>
      <c r="DS69" s="865"/>
      <c r="DT69" s="865"/>
      <c r="DU69" s="865"/>
      <c r="DV69" s="865"/>
      <c r="DW69" s="865"/>
      <c r="DX69" s="865"/>
      <c r="DY69" s="865"/>
      <c r="DZ69" s="865"/>
      <c r="EA69" s="865"/>
      <c r="EB69" s="865"/>
      <c r="EC69" s="865"/>
      <c r="ED69" s="865"/>
      <c r="EE69" s="865"/>
      <c r="EF69" s="865"/>
      <c r="EG69" s="865"/>
      <c r="EH69" s="865"/>
      <c r="EI69" s="865"/>
      <c r="EJ69" s="865"/>
      <c r="EK69" s="865"/>
      <c r="EL69" s="865"/>
      <c r="EM69" s="865"/>
      <c r="EN69" s="865"/>
      <c r="EO69" s="865"/>
      <c r="EP69" s="865"/>
      <c r="EQ69" s="865"/>
      <c r="ER69" s="865"/>
      <c r="ES69" s="865"/>
      <c r="ET69" s="865"/>
      <c r="EU69" s="865"/>
      <c r="EV69" s="865"/>
      <c r="EW69" s="865"/>
      <c r="EX69" s="865"/>
      <c r="EY69" s="865"/>
      <c r="EZ69" s="865"/>
      <c r="FA69" s="865"/>
      <c r="FB69" s="865"/>
      <c r="FC69" s="865"/>
      <c r="FD69" s="865"/>
      <c r="FE69" s="865"/>
      <c r="FF69" s="865"/>
      <c r="FG69" s="865"/>
      <c r="FH69" s="865"/>
      <c r="FI69" s="865"/>
      <c r="FJ69" s="865"/>
      <c r="FK69" s="865"/>
      <c r="FL69" s="865"/>
      <c r="FM69" s="865"/>
      <c r="FN69" s="865"/>
      <c r="FO69" s="865"/>
      <c r="FP69" s="865"/>
      <c r="FQ69" s="865"/>
      <c r="FR69" s="865"/>
      <c r="FS69" s="865"/>
      <c r="FT69" s="865"/>
      <c r="FU69" s="865"/>
      <c r="FV69" s="865"/>
      <c r="FW69" s="865"/>
      <c r="FX69" s="865"/>
      <c r="FY69" s="865"/>
      <c r="FZ69" s="865"/>
      <c r="GA69" s="865"/>
      <c r="GB69" s="865"/>
      <c r="GC69" s="865"/>
      <c r="GD69" s="865"/>
      <c r="GE69" s="865"/>
      <c r="GF69" s="865"/>
      <c r="GG69" s="865"/>
      <c r="GH69" s="865"/>
      <c r="GI69" s="865"/>
      <c r="GJ69" s="865"/>
      <c r="GK69" s="865"/>
      <c r="GL69" s="865"/>
      <c r="GM69" s="865"/>
      <c r="GN69" s="865"/>
      <c r="GO69" s="865"/>
      <c r="GP69" s="865"/>
      <c r="GQ69" s="865"/>
      <c r="GR69" s="865"/>
      <c r="GS69" s="865"/>
      <c r="GT69" s="865"/>
      <c r="GU69" s="865"/>
      <c r="GV69" s="865"/>
      <c r="GW69" s="865"/>
      <c r="GX69" s="865"/>
      <c r="GY69" s="865"/>
      <c r="GZ69" s="865"/>
      <c r="HA69" s="865"/>
      <c r="HB69" s="865"/>
      <c r="HC69" s="865"/>
      <c r="HD69" s="865"/>
      <c r="HE69" s="865"/>
      <c r="HF69" s="865"/>
      <c r="HG69" s="865"/>
      <c r="HH69" s="865"/>
      <c r="HI69" s="865"/>
      <c r="HJ69" s="865"/>
      <c r="HK69" s="865"/>
      <c r="HL69" s="865"/>
      <c r="HM69" s="865"/>
      <c r="HN69" s="865"/>
      <c r="HO69" s="865"/>
      <c r="HP69" s="865"/>
      <c r="HQ69" s="865"/>
      <c r="HR69" s="865"/>
      <c r="HS69" s="865"/>
      <c r="HT69" s="865"/>
      <c r="HU69" s="865"/>
      <c r="HV69" s="865"/>
      <c r="HW69" s="865"/>
      <c r="HX69" s="865"/>
      <c r="HY69" s="865"/>
      <c r="HZ69" s="865"/>
      <c r="IA69" s="865"/>
      <c r="IB69" s="865"/>
      <c r="IC69" s="865"/>
      <c r="ID69" s="865"/>
      <c r="IE69" s="865"/>
      <c r="IF69" s="865"/>
      <c r="IG69" s="865"/>
      <c r="IH69" s="865"/>
      <c r="II69" s="865"/>
      <c r="IJ69" s="865"/>
      <c r="IK69" s="865"/>
      <c r="IL69" s="865"/>
      <c r="IM69" s="865"/>
      <c r="IN69" s="865"/>
      <c r="IO69" s="865"/>
      <c r="IP69" s="865"/>
      <c r="IQ69" s="865"/>
      <c r="IR69" s="865"/>
      <c r="IS69" s="865"/>
      <c r="IT69" s="865"/>
      <c r="IU69" s="865"/>
      <c r="IV69" s="865"/>
      <c r="IW69" s="865"/>
      <c r="IX69" s="865"/>
      <c r="IY69" s="865"/>
      <c r="IZ69" s="865"/>
      <c r="JA69" s="865"/>
      <c r="JB69" s="865"/>
      <c r="JC69" s="865"/>
      <c r="JD69" s="865"/>
      <c r="JE69" s="865"/>
      <c r="JF69" s="865"/>
      <c r="JG69" s="865"/>
      <c r="JH69" s="865"/>
      <c r="JI69" s="865"/>
      <c r="JJ69" s="865"/>
      <c r="JK69" s="865"/>
      <c r="JL69" s="865"/>
      <c r="JM69" s="865"/>
      <c r="JN69" s="865"/>
      <c r="JO69" s="865"/>
      <c r="JP69" s="865"/>
      <c r="JQ69" s="865"/>
      <c r="JR69" s="865"/>
      <c r="JS69" s="865"/>
      <c r="JT69" s="865"/>
      <c r="JU69" s="865"/>
      <c r="JV69" s="865"/>
      <c r="JW69" s="865"/>
      <c r="JX69" s="865"/>
      <c r="JY69" s="865"/>
      <c r="JZ69" s="865"/>
      <c r="KA69" s="865"/>
      <c r="KB69" s="865"/>
      <c r="KC69" s="865"/>
      <c r="KD69" s="865"/>
      <c r="KE69" s="865"/>
      <c r="KF69" s="865"/>
      <c r="KG69" s="865"/>
      <c r="KH69" s="865"/>
      <c r="KI69" s="865"/>
      <c r="KJ69" s="865"/>
      <c r="KK69" s="865"/>
      <c r="KL69" s="865"/>
      <c r="KM69" s="865"/>
      <c r="KN69" s="865"/>
      <c r="KO69" s="865"/>
      <c r="KP69" s="865"/>
      <c r="KQ69" s="865"/>
      <c r="KR69" s="865"/>
      <c r="KS69" s="865"/>
      <c r="KT69" s="865"/>
      <c r="KU69" s="865"/>
      <c r="KV69" s="865"/>
      <c r="KW69" s="865"/>
      <c r="KX69" s="865"/>
      <c r="KY69" s="865"/>
      <c r="KZ69" s="865"/>
      <c r="LA69" s="865"/>
      <c r="LB69" s="865"/>
      <c r="LC69" s="865"/>
      <c r="LD69" s="865"/>
      <c r="LE69" s="865"/>
      <c r="LF69" s="865"/>
      <c r="LG69" s="865"/>
      <c r="LH69" s="865"/>
      <c r="LI69" s="865"/>
      <c r="LJ69" s="865"/>
      <c r="LK69" s="865"/>
      <c r="LL69" s="865"/>
      <c r="LM69" s="865"/>
      <c r="LN69" s="865"/>
      <c r="LO69" s="865"/>
      <c r="LP69" s="865"/>
      <c r="LQ69" s="865"/>
      <c r="LR69" s="865"/>
      <c r="LS69" s="865"/>
      <c r="LT69" s="865"/>
      <c r="LU69" s="865"/>
      <c r="LV69" s="865"/>
      <c r="LW69" s="865"/>
      <c r="LX69" s="865"/>
      <c r="LY69" s="865"/>
      <c r="LZ69" s="865"/>
      <c r="MA69" s="865"/>
      <c r="MB69" s="865"/>
      <c r="MC69" s="865"/>
      <c r="MD69" s="865"/>
      <c r="ME69" s="865"/>
      <c r="MF69" s="865"/>
      <c r="MG69" s="865"/>
      <c r="MH69" s="865"/>
      <c r="MI69" s="865"/>
      <c r="MJ69" s="865"/>
      <c r="MK69" s="865"/>
      <c r="ML69" s="865"/>
      <c r="MM69" s="865"/>
      <c r="MN69" s="865"/>
      <c r="MO69" s="865"/>
      <c r="MP69" s="865"/>
      <c r="MQ69" s="865"/>
      <c r="MR69" s="865"/>
      <c r="MS69" s="865"/>
      <c r="MT69" s="865"/>
      <c r="MU69" s="865"/>
      <c r="MV69" s="865"/>
      <c r="MW69" s="865"/>
      <c r="MX69" s="865"/>
      <c r="MY69" s="865"/>
      <c r="MZ69" s="865"/>
      <c r="NA69" s="865"/>
      <c r="NB69" s="865"/>
      <c r="NC69" s="865"/>
      <c r="ND69" s="865"/>
      <c r="NE69" s="865"/>
      <c r="NF69" s="865"/>
      <c r="NG69" s="865"/>
      <c r="NH69" s="865"/>
      <c r="NI69" s="865"/>
      <c r="NJ69" s="865"/>
      <c r="NK69" s="865"/>
      <c r="NL69" s="865"/>
      <c r="NM69" s="865"/>
      <c r="NN69" s="865"/>
      <c r="NO69" s="865"/>
      <c r="NP69" s="865"/>
      <c r="NQ69" s="865"/>
      <c r="NR69" s="865"/>
      <c r="NS69" s="865"/>
      <c r="NT69" s="865"/>
      <c r="NU69" s="865"/>
      <c r="NV69" s="865"/>
      <c r="NW69" s="865"/>
      <c r="NX69" s="865"/>
      <c r="NY69" s="865"/>
      <c r="NZ69" s="865"/>
      <c r="OA69" s="865"/>
      <c r="OB69" s="865"/>
      <c r="OC69" s="865"/>
      <c r="OD69" s="865"/>
      <c r="OE69" s="865"/>
      <c r="OF69" s="865"/>
      <c r="OG69" s="865"/>
      <c r="OH69" s="865"/>
      <c r="OI69" s="865"/>
      <c r="OJ69" s="865"/>
      <c r="OK69" s="865"/>
      <c r="OL69" s="865"/>
      <c r="OM69" s="865"/>
      <c r="ON69" s="865"/>
      <c r="OO69" s="865"/>
      <c r="OP69" s="865"/>
      <c r="OQ69" s="865"/>
      <c r="OR69" s="865"/>
      <c r="OS69" s="865"/>
      <c r="OT69" s="865"/>
      <c r="OU69" s="865"/>
      <c r="OV69" s="865"/>
      <c r="OW69" s="865"/>
      <c r="OX69" s="865"/>
      <c r="OY69" s="865"/>
      <c r="OZ69" s="865"/>
      <c r="PA69" s="865"/>
      <c r="PB69" s="865"/>
      <c r="PC69" s="865"/>
      <c r="PD69" s="865"/>
      <c r="PE69" s="865"/>
      <c r="PF69" s="865"/>
      <c r="PG69" s="865"/>
      <c r="PH69" s="865"/>
      <c r="PI69" s="865"/>
      <c r="PJ69" s="865"/>
      <c r="PK69" s="865"/>
      <c r="PL69" s="865"/>
      <c r="PM69" s="865"/>
      <c r="PN69" s="865"/>
      <c r="PO69" s="865"/>
      <c r="PP69" s="865"/>
      <c r="PQ69" s="865"/>
      <c r="PR69" s="865"/>
      <c r="PS69" s="865"/>
      <c r="PT69" s="865"/>
      <c r="PU69" s="865"/>
      <c r="PV69" s="865"/>
      <c r="PW69" s="865"/>
      <c r="PX69" s="865"/>
      <c r="PY69" s="865"/>
      <c r="PZ69" s="865"/>
      <c r="QA69" s="865"/>
      <c r="QB69" s="865"/>
      <c r="QC69" s="865"/>
      <c r="QD69" s="865"/>
      <c r="QE69" s="865"/>
      <c r="QF69" s="865"/>
      <c r="QG69" s="865"/>
      <c r="QH69" s="865"/>
      <c r="QI69" s="865"/>
      <c r="QJ69" s="865"/>
      <c r="QK69" s="865"/>
      <c r="QL69" s="865"/>
      <c r="QM69" s="865"/>
      <c r="QN69" s="865"/>
      <c r="QO69" s="865"/>
      <c r="QP69" s="865"/>
      <c r="QQ69" s="865"/>
      <c r="QR69" s="865"/>
      <c r="QS69" s="865"/>
      <c r="QT69" s="865"/>
      <c r="QU69" s="865"/>
      <c r="QV69" s="865"/>
      <c r="QW69" s="865"/>
      <c r="QX69" s="865"/>
      <c r="QY69" s="865"/>
      <c r="QZ69" s="865"/>
      <c r="RA69" s="865"/>
      <c r="RB69" s="865"/>
      <c r="RC69" s="865"/>
      <c r="RD69" s="865"/>
      <c r="RE69" s="865"/>
      <c r="RF69" s="865"/>
      <c r="RG69" s="865"/>
      <c r="RH69" s="865"/>
      <c r="RI69" s="865"/>
      <c r="RJ69" s="865"/>
      <c r="RK69" s="865"/>
      <c r="RL69" s="865"/>
      <c r="RM69" s="865"/>
      <c r="RN69" s="865"/>
      <c r="RO69" s="865"/>
      <c r="RP69" s="865"/>
      <c r="RQ69" s="865"/>
      <c r="RR69" s="865"/>
      <c r="RS69" s="865"/>
      <c r="RT69" s="865"/>
      <c r="RU69" s="865"/>
      <c r="RV69" s="865"/>
      <c r="RW69" s="865"/>
      <c r="RX69" s="865"/>
    </row>
    <row r="70" spans="1:492" s="165" customFormat="1">
      <c r="AM70" s="850"/>
      <c r="AN70" s="850"/>
      <c r="AO70" s="850"/>
      <c r="AP70" s="850"/>
      <c r="AQ70" s="850"/>
      <c r="AR70" s="850"/>
      <c r="AS70" s="850"/>
      <c r="AT70" s="850"/>
      <c r="AU70" s="850"/>
      <c r="AV70" s="850"/>
      <c r="AW70" s="850"/>
      <c r="AX70" s="850"/>
      <c r="AY70" s="850"/>
      <c r="AZ70" s="850"/>
      <c r="BA70" s="850"/>
      <c r="BB70" s="850"/>
      <c r="BC70" s="850"/>
      <c r="BD70" s="850"/>
      <c r="BE70" s="850"/>
      <c r="BF70" s="850"/>
      <c r="BG70" s="850"/>
      <c r="BH70" s="850"/>
      <c r="BI70" s="850"/>
      <c r="BJ70" s="850"/>
      <c r="BK70" s="850"/>
      <c r="BL70" s="850"/>
      <c r="BM70" s="850"/>
      <c r="BN70" s="850"/>
      <c r="BO70" s="850"/>
      <c r="BP70" s="850"/>
      <c r="BQ70" s="850"/>
      <c r="BR70" s="850"/>
      <c r="BS70" s="850"/>
      <c r="BT70" s="850"/>
      <c r="BU70" s="850"/>
    </row>
    <row r="71" spans="1:492" s="165" customFormat="1">
      <c r="AM71" s="850"/>
      <c r="AN71" s="850"/>
      <c r="AO71" s="850"/>
      <c r="AP71" s="850"/>
      <c r="AQ71" s="850"/>
      <c r="AR71" s="850"/>
      <c r="AS71" s="850"/>
      <c r="AT71" s="850"/>
      <c r="AU71" s="850"/>
      <c r="AV71" s="850"/>
      <c r="AW71" s="850"/>
      <c r="AX71" s="850"/>
      <c r="AY71" s="850"/>
      <c r="AZ71" s="850"/>
      <c r="BA71" s="850"/>
      <c r="BB71" s="850"/>
      <c r="BC71" s="850"/>
      <c r="BD71" s="850"/>
      <c r="BE71" s="850"/>
      <c r="BF71" s="850"/>
      <c r="BG71" s="850"/>
      <c r="BH71" s="850"/>
      <c r="BI71" s="850"/>
      <c r="BJ71" s="850"/>
      <c r="BK71" s="850"/>
      <c r="BL71" s="850"/>
      <c r="BM71" s="850"/>
      <c r="BN71" s="850"/>
      <c r="BO71" s="850"/>
      <c r="BP71" s="850"/>
      <c r="BQ71" s="850"/>
      <c r="BR71" s="850"/>
      <c r="BS71" s="850"/>
      <c r="BT71" s="850"/>
      <c r="BU71" s="850"/>
    </row>
    <row r="72" spans="1:492" s="165" customFormat="1">
      <c r="AM72" s="850"/>
      <c r="AN72" s="850"/>
      <c r="AO72" s="850"/>
      <c r="AP72" s="850"/>
      <c r="AQ72" s="850"/>
      <c r="AR72" s="850"/>
      <c r="AS72" s="850"/>
      <c r="AT72" s="850"/>
      <c r="AU72" s="850"/>
      <c r="AV72" s="850"/>
      <c r="AW72" s="850"/>
      <c r="AX72" s="850"/>
      <c r="AY72" s="850"/>
      <c r="AZ72" s="850"/>
      <c r="BA72" s="850"/>
      <c r="BB72" s="850"/>
      <c r="BC72" s="850"/>
      <c r="BD72" s="850"/>
      <c r="BE72" s="850"/>
      <c r="BF72" s="850"/>
      <c r="BG72" s="850"/>
      <c r="BH72" s="850"/>
      <c r="BI72" s="850"/>
      <c r="BJ72" s="850"/>
      <c r="BK72" s="850"/>
      <c r="BL72" s="850"/>
      <c r="BM72" s="850"/>
      <c r="BN72" s="850"/>
      <c r="BO72" s="850"/>
      <c r="BP72" s="850"/>
      <c r="BQ72" s="850"/>
      <c r="BR72" s="850"/>
      <c r="BS72" s="850"/>
      <c r="BT72" s="850"/>
      <c r="BU72" s="850"/>
    </row>
    <row r="73" spans="1:492" s="165" customFormat="1">
      <c r="AM73" s="850"/>
      <c r="AN73" s="850"/>
      <c r="AO73" s="850"/>
      <c r="AP73" s="850"/>
      <c r="AQ73" s="850"/>
      <c r="AR73" s="850"/>
      <c r="AS73" s="850"/>
      <c r="AT73" s="850"/>
      <c r="AU73" s="850"/>
      <c r="AV73" s="850"/>
      <c r="AW73" s="850"/>
      <c r="AX73" s="850"/>
      <c r="AY73" s="850"/>
      <c r="AZ73" s="850"/>
      <c r="BA73" s="850"/>
      <c r="BB73" s="850"/>
      <c r="BC73" s="850"/>
      <c r="BD73" s="850"/>
      <c r="BE73" s="850"/>
      <c r="BF73" s="850"/>
      <c r="BG73" s="850"/>
      <c r="BH73" s="850"/>
      <c r="BI73" s="850"/>
      <c r="BJ73" s="850"/>
      <c r="BK73" s="850"/>
      <c r="BL73" s="850"/>
      <c r="BM73" s="850"/>
      <c r="BN73" s="850"/>
      <c r="BO73" s="850"/>
      <c r="BP73" s="850"/>
      <c r="BQ73" s="850"/>
      <c r="BR73" s="850"/>
      <c r="BS73" s="850"/>
      <c r="BT73" s="850"/>
      <c r="BU73" s="850"/>
    </row>
    <row r="74" spans="1:492" s="165" customFormat="1">
      <c r="AM74" s="850"/>
      <c r="AN74" s="850"/>
      <c r="AO74" s="850"/>
      <c r="AP74" s="850"/>
      <c r="AQ74" s="850"/>
      <c r="AR74" s="850"/>
      <c r="AS74" s="850"/>
      <c r="AT74" s="850"/>
      <c r="AU74" s="850"/>
      <c r="AV74" s="850"/>
      <c r="AW74" s="850"/>
      <c r="AX74" s="850"/>
      <c r="AY74" s="850"/>
      <c r="AZ74" s="850"/>
      <c r="BA74" s="850"/>
      <c r="BB74" s="850"/>
      <c r="BC74" s="850"/>
      <c r="BD74" s="850"/>
      <c r="BE74" s="850"/>
      <c r="BF74" s="850"/>
      <c r="BG74" s="850"/>
      <c r="BH74" s="850"/>
      <c r="BI74" s="850"/>
      <c r="BJ74" s="850"/>
      <c r="BK74" s="850"/>
      <c r="BL74" s="850"/>
      <c r="BM74" s="850"/>
      <c r="BN74" s="850"/>
      <c r="BO74" s="850"/>
      <c r="BP74" s="850"/>
      <c r="BQ74" s="850"/>
      <c r="BR74" s="850"/>
      <c r="BS74" s="850"/>
      <c r="BT74" s="850"/>
      <c r="BU74" s="850"/>
    </row>
    <row r="75" spans="1:492" s="165" customFormat="1">
      <c r="AM75" s="850"/>
      <c r="AN75" s="850"/>
      <c r="AO75" s="850"/>
      <c r="AP75" s="850"/>
      <c r="AQ75" s="850"/>
      <c r="AR75" s="850"/>
      <c r="AS75" s="850"/>
      <c r="AT75" s="850"/>
      <c r="AU75" s="850"/>
      <c r="AV75" s="850"/>
      <c r="AW75" s="850"/>
      <c r="AX75" s="850"/>
      <c r="AY75" s="850"/>
      <c r="AZ75" s="850"/>
      <c r="BA75" s="850"/>
      <c r="BB75" s="850"/>
      <c r="BC75" s="850"/>
      <c r="BD75" s="850"/>
      <c r="BE75" s="850"/>
      <c r="BF75" s="850"/>
      <c r="BG75" s="850"/>
      <c r="BH75" s="850"/>
      <c r="BI75" s="850"/>
      <c r="BJ75" s="850"/>
      <c r="BK75" s="850"/>
      <c r="BL75" s="850"/>
      <c r="BM75" s="850"/>
      <c r="BN75" s="850"/>
      <c r="BO75" s="850"/>
      <c r="BP75" s="850"/>
      <c r="BQ75" s="850"/>
      <c r="BR75" s="850"/>
      <c r="BS75" s="850"/>
      <c r="BT75" s="850"/>
      <c r="BU75" s="850"/>
    </row>
    <row r="76" spans="1:492" s="165" customFormat="1">
      <c r="AM76" s="850"/>
      <c r="AN76" s="850"/>
      <c r="AO76" s="850"/>
      <c r="AP76" s="850"/>
      <c r="AQ76" s="850"/>
      <c r="AR76" s="850"/>
      <c r="AS76" s="850"/>
      <c r="AT76" s="850"/>
      <c r="AU76" s="850"/>
      <c r="AV76" s="850"/>
      <c r="AW76" s="850"/>
      <c r="AX76" s="850"/>
      <c r="AY76" s="850"/>
      <c r="AZ76" s="850"/>
      <c r="BA76" s="850"/>
      <c r="BB76" s="850"/>
      <c r="BC76" s="850"/>
      <c r="BD76" s="850"/>
      <c r="BE76" s="850"/>
      <c r="BF76" s="850"/>
      <c r="BG76" s="850"/>
      <c r="BH76" s="850"/>
      <c r="BI76" s="850"/>
      <c r="BJ76" s="850"/>
      <c r="BK76" s="850"/>
      <c r="BL76" s="850"/>
      <c r="BM76" s="850"/>
      <c r="BN76" s="850"/>
      <c r="BO76" s="850"/>
      <c r="BP76" s="850"/>
      <c r="BQ76" s="850"/>
      <c r="BR76" s="850"/>
      <c r="BS76" s="850"/>
      <c r="BT76" s="850"/>
      <c r="BU76" s="850"/>
    </row>
    <row r="77" spans="1:492" s="165" customFormat="1">
      <c r="AM77" s="850"/>
      <c r="AN77" s="850"/>
      <c r="AO77" s="850"/>
      <c r="AP77" s="850"/>
      <c r="AQ77" s="850"/>
      <c r="AR77" s="850"/>
      <c r="AS77" s="850"/>
      <c r="AT77" s="850"/>
      <c r="AU77" s="850"/>
      <c r="AV77" s="850"/>
      <c r="AW77" s="850"/>
      <c r="AX77" s="850"/>
      <c r="AY77" s="850"/>
      <c r="AZ77" s="850"/>
      <c r="BA77" s="850"/>
      <c r="BB77" s="850"/>
      <c r="BC77" s="850"/>
      <c r="BD77" s="850"/>
      <c r="BE77" s="850"/>
      <c r="BF77" s="850"/>
      <c r="BG77" s="850"/>
      <c r="BH77" s="850"/>
      <c r="BI77" s="850"/>
      <c r="BJ77" s="850"/>
      <c r="BK77" s="850"/>
      <c r="BL77" s="850"/>
      <c r="BM77" s="850"/>
      <c r="BN77" s="850"/>
      <c r="BO77" s="850"/>
      <c r="BP77" s="850"/>
      <c r="BQ77" s="850"/>
      <c r="BR77" s="850"/>
      <c r="BS77" s="850"/>
      <c r="BT77" s="850"/>
      <c r="BU77" s="850"/>
    </row>
    <row r="78" spans="1:492" s="165" customFormat="1">
      <c r="AM78" s="850"/>
      <c r="AN78" s="850"/>
      <c r="AO78" s="850"/>
      <c r="AP78" s="850"/>
      <c r="AQ78" s="850"/>
      <c r="AR78" s="850"/>
      <c r="AS78" s="850"/>
      <c r="AT78" s="850"/>
      <c r="AU78" s="850"/>
      <c r="AV78" s="850"/>
      <c r="AW78" s="850"/>
      <c r="AX78" s="850"/>
      <c r="AY78" s="850"/>
      <c r="AZ78" s="850"/>
      <c r="BA78" s="850"/>
      <c r="BB78" s="850"/>
      <c r="BC78" s="850"/>
      <c r="BD78" s="850"/>
      <c r="BE78" s="850"/>
      <c r="BF78" s="850"/>
      <c r="BG78" s="850"/>
      <c r="BH78" s="850"/>
      <c r="BI78" s="850"/>
      <c r="BJ78" s="850"/>
      <c r="BK78" s="850"/>
      <c r="BL78" s="850"/>
      <c r="BM78" s="850"/>
      <c r="BN78" s="850"/>
      <c r="BO78" s="850"/>
      <c r="BP78" s="850"/>
      <c r="BQ78" s="850"/>
      <c r="BR78" s="850"/>
      <c r="BS78" s="850"/>
      <c r="BT78" s="850"/>
      <c r="BU78" s="850"/>
    </row>
    <row r="79" spans="1:492" s="165" customFormat="1">
      <c r="AM79" s="850"/>
      <c r="AN79" s="850"/>
      <c r="AO79" s="850"/>
      <c r="AP79" s="850"/>
      <c r="AQ79" s="850"/>
      <c r="AR79" s="850"/>
      <c r="AS79" s="850"/>
      <c r="AT79" s="850"/>
      <c r="AU79" s="850"/>
      <c r="AV79" s="850"/>
      <c r="AW79" s="850"/>
      <c r="AX79" s="850"/>
      <c r="AY79" s="850"/>
      <c r="AZ79" s="850"/>
      <c r="BA79" s="850"/>
      <c r="BB79" s="850"/>
      <c r="BC79" s="850"/>
      <c r="BD79" s="850"/>
      <c r="BE79" s="850"/>
      <c r="BF79" s="850"/>
      <c r="BG79" s="850"/>
      <c r="BH79" s="850"/>
      <c r="BI79" s="850"/>
      <c r="BJ79" s="850"/>
      <c r="BK79" s="850"/>
      <c r="BL79" s="850"/>
      <c r="BM79" s="850"/>
      <c r="BN79" s="850"/>
      <c r="BO79" s="850"/>
      <c r="BP79" s="850"/>
      <c r="BQ79" s="850"/>
      <c r="BR79" s="850"/>
      <c r="BS79" s="850"/>
      <c r="BT79" s="850"/>
      <c r="BU79" s="850"/>
    </row>
    <row r="80" spans="1:492" s="165" customFormat="1">
      <c r="AM80" s="850"/>
      <c r="AN80" s="850"/>
      <c r="AO80" s="850"/>
      <c r="AP80" s="850"/>
      <c r="AQ80" s="850"/>
      <c r="AR80" s="850"/>
      <c r="AS80" s="850"/>
      <c r="AT80" s="850"/>
      <c r="AU80" s="850"/>
      <c r="AV80" s="850"/>
      <c r="AW80" s="850"/>
      <c r="AX80" s="850"/>
      <c r="AY80" s="850"/>
      <c r="AZ80" s="850"/>
      <c r="BA80" s="850"/>
      <c r="BB80" s="850"/>
      <c r="BC80" s="850"/>
      <c r="BD80" s="850"/>
      <c r="BE80" s="850"/>
      <c r="BF80" s="850"/>
      <c r="BG80" s="850"/>
      <c r="BH80" s="850"/>
      <c r="BI80" s="850"/>
      <c r="BJ80" s="850"/>
      <c r="BK80" s="850"/>
      <c r="BL80" s="850"/>
      <c r="BM80" s="850"/>
      <c r="BN80" s="850"/>
      <c r="BO80" s="850"/>
      <c r="BP80" s="850"/>
      <c r="BQ80" s="850"/>
      <c r="BR80" s="850"/>
      <c r="BS80" s="850"/>
      <c r="BT80" s="850"/>
      <c r="BU80" s="850"/>
    </row>
    <row r="81" spans="39:73" s="165" customFormat="1">
      <c r="AM81" s="850"/>
      <c r="AN81" s="850"/>
      <c r="AO81" s="850"/>
      <c r="AP81" s="850"/>
      <c r="AQ81" s="850"/>
      <c r="AR81" s="850"/>
      <c r="AS81" s="850"/>
      <c r="AT81" s="850"/>
      <c r="AU81" s="850"/>
      <c r="AV81" s="850"/>
      <c r="AW81" s="850"/>
      <c r="AX81" s="850"/>
      <c r="AY81" s="850"/>
      <c r="AZ81" s="850"/>
      <c r="BA81" s="850"/>
      <c r="BB81" s="850"/>
      <c r="BC81" s="850"/>
      <c r="BD81" s="850"/>
      <c r="BE81" s="850"/>
      <c r="BF81" s="850"/>
      <c r="BG81" s="850"/>
      <c r="BH81" s="850"/>
      <c r="BI81" s="850"/>
      <c r="BJ81" s="850"/>
      <c r="BK81" s="850"/>
      <c r="BL81" s="850"/>
      <c r="BM81" s="850"/>
      <c r="BN81" s="850"/>
      <c r="BO81" s="850"/>
      <c r="BP81" s="850"/>
      <c r="BQ81" s="850"/>
      <c r="BR81" s="850"/>
      <c r="BS81" s="850"/>
      <c r="BT81" s="850"/>
      <c r="BU81" s="850"/>
    </row>
    <row r="82" spans="39:73" s="165" customFormat="1">
      <c r="AM82" s="850"/>
      <c r="AN82" s="850"/>
      <c r="AO82" s="850"/>
      <c r="AP82" s="850"/>
      <c r="AQ82" s="850"/>
      <c r="AR82" s="850"/>
      <c r="AS82" s="850"/>
      <c r="AT82" s="850"/>
      <c r="AU82" s="850"/>
      <c r="AV82" s="850"/>
      <c r="AW82" s="850"/>
      <c r="AX82" s="850"/>
      <c r="AY82" s="850"/>
      <c r="AZ82" s="850"/>
      <c r="BA82" s="850"/>
      <c r="BB82" s="850"/>
      <c r="BC82" s="850"/>
      <c r="BD82" s="850"/>
      <c r="BE82" s="850"/>
      <c r="BF82" s="850"/>
      <c r="BG82" s="850"/>
      <c r="BH82" s="850"/>
      <c r="BI82" s="850"/>
      <c r="BJ82" s="850"/>
      <c r="BK82" s="850"/>
      <c r="BL82" s="850"/>
      <c r="BM82" s="850"/>
      <c r="BN82" s="850"/>
      <c r="BO82" s="850"/>
      <c r="BP82" s="850"/>
      <c r="BQ82" s="850"/>
      <c r="BR82" s="850"/>
      <c r="BS82" s="850"/>
      <c r="BT82" s="850"/>
      <c r="BU82" s="850"/>
    </row>
    <row r="83" spans="39:73" s="165" customFormat="1">
      <c r="AM83" s="850"/>
      <c r="AN83" s="850"/>
      <c r="AO83" s="850"/>
      <c r="AP83" s="850"/>
      <c r="AQ83" s="850"/>
      <c r="AR83" s="850"/>
      <c r="AS83" s="850"/>
      <c r="AT83" s="850"/>
      <c r="AU83" s="850"/>
      <c r="AV83" s="850"/>
      <c r="AW83" s="850"/>
      <c r="AX83" s="850"/>
      <c r="AY83" s="850"/>
      <c r="AZ83" s="850"/>
      <c r="BA83" s="850"/>
      <c r="BB83" s="850"/>
      <c r="BC83" s="850"/>
      <c r="BD83" s="850"/>
      <c r="BE83" s="850"/>
      <c r="BF83" s="850"/>
      <c r="BG83" s="850"/>
      <c r="BH83" s="850"/>
      <c r="BI83" s="850"/>
      <c r="BJ83" s="850"/>
      <c r="BK83" s="850"/>
      <c r="BL83" s="850"/>
      <c r="BM83" s="850"/>
      <c r="BN83" s="850"/>
      <c r="BO83" s="850"/>
      <c r="BP83" s="850"/>
      <c r="BQ83" s="850"/>
      <c r="BR83" s="850"/>
      <c r="BS83" s="850"/>
      <c r="BT83" s="850"/>
      <c r="BU83" s="850"/>
    </row>
    <row r="84" spans="39:73" s="165" customFormat="1">
      <c r="AM84" s="850"/>
      <c r="AN84" s="850"/>
      <c r="AO84" s="850"/>
      <c r="AP84" s="850"/>
      <c r="AQ84" s="850"/>
      <c r="AR84" s="850"/>
      <c r="AS84" s="850"/>
      <c r="AT84" s="850"/>
      <c r="AU84" s="850"/>
      <c r="AV84" s="850"/>
      <c r="AW84" s="850"/>
      <c r="AX84" s="850"/>
      <c r="AY84" s="850"/>
      <c r="AZ84" s="850"/>
      <c r="BA84" s="850"/>
      <c r="BB84" s="850"/>
      <c r="BC84" s="850"/>
      <c r="BD84" s="850"/>
      <c r="BE84" s="850"/>
      <c r="BF84" s="850"/>
      <c r="BG84" s="850"/>
      <c r="BH84" s="850"/>
      <c r="BI84" s="850"/>
      <c r="BJ84" s="850"/>
      <c r="BK84" s="850"/>
      <c r="BL84" s="850"/>
      <c r="BM84" s="850"/>
      <c r="BN84" s="850"/>
      <c r="BO84" s="850"/>
      <c r="BP84" s="850"/>
      <c r="BQ84" s="850"/>
      <c r="BR84" s="850"/>
      <c r="BS84" s="850"/>
      <c r="BT84" s="850"/>
      <c r="BU84" s="850"/>
    </row>
    <row r="85" spans="39:73" s="165" customFormat="1">
      <c r="AM85" s="850"/>
      <c r="AN85" s="850"/>
      <c r="AO85" s="850"/>
      <c r="AP85" s="850"/>
      <c r="AQ85" s="850"/>
      <c r="AR85" s="850"/>
      <c r="AS85" s="850"/>
      <c r="AT85" s="850"/>
      <c r="AU85" s="850"/>
      <c r="AV85" s="850"/>
      <c r="AW85" s="850"/>
      <c r="AX85" s="850"/>
      <c r="AY85" s="850"/>
      <c r="AZ85" s="850"/>
      <c r="BA85" s="850"/>
      <c r="BB85" s="850"/>
      <c r="BC85" s="850"/>
      <c r="BD85" s="850"/>
      <c r="BE85" s="850"/>
      <c r="BF85" s="850"/>
      <c r="BG85" s="850"/>
      <c r="BH85" s="850"/>
      <c r="BI85" s="850"/>
      <c r="BJ85" s="850"/>
      <c r="BK85" s="850"/>
      <c r="BL85" s="850"/>
      <c r="BM85" s="850"/>
      <c r="BN85" s="850"/>
      <c r="BO85" s="850"/>
      <c r="BP85" s="850"/>
      <c r="BQ85" s="850"/>
      <c r="BR85" s="850"/>
      <c r="BS85" s="850"/>
      <c r="BT85" s="850"/>
      <c r="BU85" s="850"/>
    </row>
    <row r="86" spans="39:73" s="165" customFormat="1">
      <c r="AM86" s="850"/>
      <c r="AN86" s="850"/>
      <c r="AO86" s="850"/>
      <c r="AP86" s="850"/>
      <c r="AQ86" s="850"/>
      <c r="AR86" s="850"/>
      <c r="AS86" s="850"/>
      <c r="AT86" s="850"/>
      <c r="AU86" s="850"/>
      <c r="AV86" s="850"/>
      <c r="AW86" s="850"/>
      <c r="AX86" s="850"/>
      <c r="AY86" s="850"/>
      <c r="AZ86" s="850"/>
      <c r="BA86" s="850"/>
      <c r="BB86" s="850"/>
      <c r="BC86" s="850"/>
      <c r="BD86" s="850"/>
      <c r="BE86" s="850"/>
      <c r="BF86" s="850"/>
      <c r="BG86" s="850"/>
      <c r="BH86" s="850"/>
      <c r="BI86" s="850"/>
      <c r="BJ86" s="850"/>
      <c r="BK86" s="850"/>
      <c r="BL86" s="850"/>
      <c r="BM86" s="850"/>
      <c r="BN86" s="850"/>
      <c r="BO86" s="850"/>
      <c r="BP86" s="850"/>
      <c r="BQ86" s="850"/>
      <c r="BR86" s="850"/>
      <c r="BS86" s="850"/>
      <c r="BT86" s="850"/>
      <c r="BU86" s="850"/>
    </row>
    <row r="87" spans="39:73" s="165" customFormat="1">
      <c r="AM87" s="850"/>
      <c r="AN87" s="850"/>
      <c r="AO87" s="850"/>
      <c r="AP87" s="850"/>
      <c r="AQ87" s="850"/>
      <c r="AR87" s="850"/>
      <c r="AS87" s="850"/>
      <c r="AT87" s="850"/>
      <c r="AU87" s="850"/>
      <c r="AV87" s="850"/>
      <c r="AW87" s="850"/>
      <c r="AX87" s="850"/>
      <c r="AY87" s="850"/>
      <c r="AZ87" s="850"/>
      <c r="BA87" s="850"/>
      <c r="BB87" s="850"/>
      <c r="BC87" s="850"/>
      <c r="BD87" s="850"/>
      <c r="BE87" s="850"/>
      <c r="BF87" s="850"/>
      <c r="BG87" s="850"/>
      <c r="BH87" s="850"/>
      <c r="BI87" s="850"/>
      <c r="BJ87" s="850"/>
      <c r="BK87" s="850"/>
      <c r="BL87" s="850"/>
      <c r="BM87" s="850"/>
      <c r="BN87" s="850"/>
      <c r="BO87" s="850"/>
      <c r="BP87" s="850"/>
      <c r="BQ87" s="850"/>
      <c r="BR87" s="850"/>
      <c r="BS87" s="850"/>
      <c r="BT87" s="850"/>
      <c r="BU87" s="850"/>
    </row>
    <row r="88" spans="39:73" s="165" customFormat="1">
      <c r="AM88" s="850"/>
      <c r="AN88" s="850"/>
      <c r="AO88" s="850"/>
      <c r="AP88" s="850"/>
      <c r="AQ88" s="850"/>
      <c r="AR88" s="850"/>
      <c r="AS88" s="850"/>
      <c r="AT88" s="850"/>
      <c r="AU88" s="850"/>
      <c r="AV88" s="850"/>
      <c r="AW88" s="850"/>
      <c r="AX88" s="850"/>
      <c r="AY88" s="850"/>
      <c r="AZ88" s="850"/>
      <c r="BA88" s="850"/>
      <c r="BB88" s="850"/>
      <c r="BC88" s="850"/>
      <c r="BD88" s="850"/>
      <c r="BE88" s="850"/>
      <c r="BF88" s="850"/>
      <c r="BG88" s="850"/>
      <c r="BH88" s="850"/>
      <c r="BI88" s="850"/>
      <c r="BJ88" s="850"/>
      <c r="BK88" s="850"/>
      <c r="BL88" s="850"/>
      <c r="BM88" s="850"/>
      <c r="BN88" s="850"/>
      <c r="BO88" s="850"/>
      <c r="BP88" s="850"/>
      <c r="BQ88" s="850"/>
      <c r="BR88" s="850"/>
      <c r="BS88" s="850"/>
      <c r="BT88" s="850"/>
      <c r="BU88" s="850"/>
    </row>
    <row r="89" spans="39:73" s="165" customFormat="1">
      <c r="AM89" s="850"/>
      <c r="AN89" s="850"/>
      <c r="AO89" s="850"/>
      <c r="AP89" s="850"/>
      <c r="AQ89" s="850"/>
      <c r="AR89" s="850"/>
      <c r="AS89" s="850"/>
      <c r="AT89" s="850"/>
      <c r="AU89" s="850"/>
      <c r="AV89" s="850"/>
      <c r="AW89" s="850"/>
      <c r="AX89" s="850"/>
      <c r="AY89" s="850"/>
      <c r="AZ89" s="850"/>
      <c r="BA89" s="850"/>
      <c r="BB89" s="850"/>
      <c r="BC89" s="850"/>
      <c r="BD89" s="850"/>
      <c r="BE89" s="850"/>
      <c r="BF89" s="850"/>
      <c r="BG89" s="850"/>
      <c r="BH89" s="850"/>
      <c r="BI89" s="850"/>
      <c r="BJ89" s="850"/>
      <c r="BK89" s="850"/>
      <c r="BL89" s="850"/>
      <c r="BM89" s="850"/>
      <c r="BN89" s="850"/>
      <c r="BO89" s="850"/>
      <c r="BP89" s="850"/>
      <c r="BQ89" s="850"/>
      <c r="BR89" s="850"/>
      <c r="BS89" s="850"/>
      <c r="BT89" s="850"/>
      <c r="BU89" s="850"/>
    </row>
    <row r="90" spans="39:73" s="165" customFormat="1">
      <c r="AM90" s="850"/>
      <c r="AN90" s="850"/>
      <c r="AO90" s="850"/>
      <c r="AP90" s="850"/>
      <c r="AQ90" s="850"/>
      <c r="AR90" s="850"/>
      <c r="AS90" s="850"/>
      <c r="AT90" s="850"/>
      <c r="AU90" s="850"/>
      <c r="AV90" s="850"/>
      <c r="AW90" s="850"/>
      <c r="AX90" s="850"/>
      <c r="AY90" s="850"/>
      <c r="AZ90" s="850"/>
      <c r="BA90" s="850"/>
      <c r="BB90" s="850"/>
      <c r="BC90" s="850"/>
      <c r="BD90" s="850"/>
      <c r="BE90" s="850"/>
      <c r="BF90" s="850"/>
      <c r="BG90" s="850"/>
      <c r="BH90" s="850"/>
      <c r="BI90" s="850"/>
      <c r="BJ90" s="850"/>
      <c r="BK90" s="850"/>
      <c r="BL90" s="850"/>
      <c r="BM90" s="850"/>
      <c r="BN90" s="850"/>
      <c r="BO90" s="850"/>
      <c r="BP90" s="850"/>
      <c r="BQ90" s="850"/>
      <c r="BR90" s="850"/>
      <c r="BS90" s="850"/>
      <c r="BT90" s="850"/>
      <c r="BU90" s="850"/>
    </row>
    <row r="91" spans="39:73" s="165" customFormat="1">
      <c r="AM91" s="850"/>
      <c r="AN91" s="850"/>
      <c r="AO91" s="850"/>
      <c r="AP91" s="850"/>
      <c r="AQ91" s="850"/>
      <c r="AR91" s="850"/>
      <c r="AS91" s="850"/>
      <c r="AT91" s="850"/>
      <c r="AU91" s="850"/>
      <c r="AV91" s="850"/>
      <c r="AW91" s="850"/>
      <c r="AX91" s="850"/>
      <c r="AY91" s="850"/>
      <c r="AZ91" s="850"/>
      <c r="BA91" s="850"/>
      <c r="BB91" s="850"/>
      <c r="BC91" s="850"/>
      <c r="BD91" s="850"/>
      <c r="BE91" s="850"/>
      <c r="BF91" s="850"/>
      <c r="BG91" s="850"/>
      <c r="BH91" s="850"/>
      <c r="BI91" s="850"/>
      <c r="BJ91" s="850"/>
      <c r="BK91" s="850"/>
      <c r="BL91" s="850"/>
      <c r="BM91" s="850"/>
      <c r="BN91" s="850"/>
      <c r="BO91" s="850"/>
      <c r="BP91" s="850"/>
      <c r="BQ91" s="850"/>
      <c r="BR91" s="850"/>
      <c r="BS91" s="850"/>
      <c r="BT91" s="850"/>
      <c r="BU91" s="850"/>
    </row>
    <row r="92" spans="39:73" s="165" customFormat="1">
      <c r="AM92" s="850"/>
      <c r="AN92" s="850"/>
      <c r="AO92" s="850"/>
      <c r="AP92" s="850"/>
      <c r="AQ92" s="850"/>
      <c r="AR92" s="850"/>
      <c r="AS92" s="850"/>
      <c r="AT92" s="850"/>
      <c r="AU92" s="850"/>
      <c r="AV92" s="850"/>
      <c r="AW92" s="850"/>
      <c r="AX92" s="850"/>
      <c r="AY92" s="850"/>
      <c r="AZ92" s="850"/>
      <c r="BA92" s="850"/>
      <c r="BB92" s="850"/>
      <c r="BC92" s="850"/>
      <c r="BD92" s="850"/>
      <c r="BE92" s="850"/>
      <c r="BF92" s="850"/>
      <c r="BG92" s="850"/>
      <c r="BH92" s="850"/>
      <c r="BI92" s="850"/>
      <c r="BJ92" s="850"/>
      <c r="BK92" s="850"/>
      <c r="BL92" s="850"/>
      <c r="BM92" s="850"/>
      <c r="BN92" s="850"/>
      <c r="BO92" s="850"/>
      <c r="BP92" s="850"/>
      <c r="BQ92" s="850"/>
      <c r="BR92" s="850"/>
      <c r="BS92" s="850"/>
      <c r="BT92" s="850"/>
      <c r="BU92" s="850"/>
    </row>
    <row r="93" spans="39:73" s="165" customFormat="1">
      <c r="AM93" s="850"/>
      <c r="AN93" s="850"/>
      <c r="AO93" s="850"/>
      <c r="AP93" s="850"/>
      <c r="AQ93" s="850"/>
      <c r="AR93" s="850"/>
      <c r="AS93" s="850"/>
      <c r="AT93" s="850"/>
      <c r="AU93" s="850"/>
      <c r="AV93" s="850"/>
      <c r="AW93" s="850"/>
      <c r="AX93" s="850"/>
      <c r="AY93" s="850"/>
      <c r="AZ93" s="850"/>
      <c r="BA93" s="850"/>
      <c r="BB93" s="850"/>
      <c r="BC93" s="850"/>
      <c r="BD93" s="850"/>
      <c r="BE93" s="850"/>
      <c r="BF93" s="850"/>
      <c r="BG93" s="850"/>
      <c r="BH93" s="850"/>
      <c r="BI93" s="850"/>
      <c r="BJ93" s="850"/>
      <c r="BK93" s="850"/>
      <c r="BL93" s="850"/>
      <c r="BM93" s="850"/>
      <c r="BN93" s="850"/>
      <c r="BO93" s="850"/>
      <c r="BP93" s="850"/>
      <c r="BQ93" s="850"/>
      <c r="BR93" s="850"/>
      <c r="BS93" s="850"/>
      <c r="BT93" s="850"/>
      <c r="BU93" s="850"/>
    </row>
    <row r="94" spans="39:73" s="165" customFormat="1">
      <c r="AM94" s="850"/>
      <c r="AN94" s="850"/>
      <c r="AO94" s="850"/>
      <c r="AP94" s="850"/>
      <c r="AQ94" s="850"/>
      <c r="AR94" s="850"/>
      <c r="AS94" s="850"/>
      <c r="AT94" s="850"/>
      <c r="AU94" s="850"/>
      <c r="AV94" s="850"/>
      <c r="AW94" s="850"/>
      <c r="AX94" s="850"/>
      <c r="AY94" s="850"/>
      <c r="AZ94" s="850"/>
      <c r="BA94" s="850"/>
      <c r="BB94" s="850"/>
      <c r="BC94" s="850"/>
      <c r="BD94" s="850"/>
      <c r="BE94" s="850"/>
      <c r="BF94" s="850"/>
      <c r="BG94" s="850"/>
      <c r="BH94" s="850"/>
      <c r="BI94" s="850"/>
      <c r="BJ94" s="850"/>
      <c r="BK94" s="850"/>
      <c r="BL94" s="850"/>
      <c r="BM94" s="850"/>
      <c r="BN94" s="850"/>
      <c r="BO94" s="850"/>
      <c r="BP94" s="850"/>
      <c r="BQ94" s="850"/>
      <c r="BR94" s="850"/>
      <c r="BS94" s="850"/>
      <c r="BT94" s="850"/>
      <c r="BU94" s="850"/>
    </row>
    <row r="95" spans="39:73" s="165" customFormat="1">
      <c r="AM95" s="850"/>
      <c r="AN95" s="850"/>
      <c r="AO95" s="850"/>
      <c r="AP95" s="850"/>
      <c r="AQ95" s="850"/>
      <c r="AR95" s="850"/>
      <c r="AS95" s="850"/>
      <c r="AT95" s="850"/>
      <c r="AU95" s="850"/>
      <c r="AV95" s="850"/>
      <c r="AW95" s="850"/>
      <c r="AX95" s="850"/>
      <c r="AY95" s="850"/>
      <c r="AZ95" s="850"/>
      <c r="BA95" s="850"/>
      <c r="BB95" s="850"/>
      <c r="BC95" s="850"/>
      <c r="BD95" s="850"/>
      <c r="BE95" s="850"/>
      <c r="BF95" s="850"/>
      <c r="BG95" s="850"/>
      <c r="BH95" s="850"/>
      <c r="BI95" s="850"/>
      <c r="BJ95" s="850"/>
      <c r="BK95" s="850"/>
      <c r="BL95" s="850"/>
      <c r="BM95" s="850"/>
      <c r="BN95" s="850"/>
      <c r="BO95" s="850"/>
      <c r="BP95" s="850"/>
      <c r="BQ95" s="850"/>
      <c r="BR95" s="850"/>
      <c r="BS95" s="850"/>
      <c r="BT95" s="850"/>
      <c r="BU95" s="850"/>
    </row>
    <row r="96" spans="39:73" s="165" customFormat="1">
      <c r="AM96" s="850"/>
      <c r="AN96" s="850"/>
      <c r="AO96" s="850"/>
      <c r="AP96" s="850"/>
      <c r="AQ96" s="850"/>
      <c r="AR96" s="850"/>
      <c r="AS96" s="850"/>
      <c r="AT96" s="850"/>
      <c r="AU96" s="850"/>
      <c r="AV96" s="850"/>
      <c r="AW96" s="850"/>
      <c r="AX96" s="850"/>
      <c r="AY96" s="850"/>
      <c r="AZ96" s="850"/>
      <c r="BA96" s="850"/>
      <c r="BB96" s="850"/>
      <c r="BC96" s="850"/>
      <c r="BD96" s="850"/>
      <c r="BE96" s="850"/>
      <c r="BF96" s="850"/>
      <c r="BG96" s="850"/>
      <c r="BH96" s="850"/>
      <c r="BI96" s="850"/>
      <c r="BJ96" s="850"/>
      <c r="BK96" s="850"/>
      <c r="BL96" s="850"/>
      <c r="BM96" s="850"/>
      <c r="BN96" s="850"/>
      <c r="BO96" s="850"/>
      <c r="BP96" s="850"/>
      <c r="BQ96" s="850"/>
      <c r="BR96" s="850"/>
      <c r="BS96" s="850"/>
      <c r="BT96" s="850"/>
      <c r="BU96" s="850"/>
    </row>
    <row r="97" spans="39:73" s="165" customFormat="1">
      <c r="AM97" s="850"/>
      <c r="AN97" s="850"/>
      <c r="AO97" s="850"/>
      <c r="AP97" s="850"/>
      <c r="AQ97" s="850"/>
      <c r="AR97" s="850"/>
      <c r="AS97" s="850"/>
      <c r="AT97" s="850"/>
      <c r="AU97" s="850"/>
      <c r="AV97" s="850"/>
      <c r="AW97" s="850"/>
      <c r="AX97" s="850"/>
      <c r="AY97" s="850"/>
      <c r="AZ97" s="850"/>
      <c r="BA97" s="850"/>
      <c r="BB97" s="850"/>
      <c r="BC97" s="850"/>
      <c r="BD97" s="850"/>
      <c r="BE97" s="850"/>
      <c r="BF97" s="850"/>
      <c r="BG97" s="850"/>
      <c r="BH97" s="850"/>
      <c r="BI97" s="850"/>
      <c r="BJ97" s="850"/>
      <c r="BK97" s="850"/>
      <c r="BL97" s="850"/>
      <c r="BM97" s="850"/>
      <c r="BN97" s="850"/>
      <c r="BO97" s="850"/>
      <c r="BP97" s="850"/>
      <c r="BQ97" s="850"/>
      <c r="BR97" s="850"/>
      <c r="BS97" s="850"/>
      <c r="BT97" s="850"/>
      <c r="BU97" s="850"/>
    </row>
    <row r="98" spans="39:73" s="165" customFormat="1">
      <c r="AM98" s="850"/>
      <c r="AN98" s="850"/>
      <c r="AO98" s="850"/>
      <c r="AP98" s="850"/>
      <c r="AQ98" s="850"/>
      <c r="AR98" s="850"/>
      <c r="AS98" s="850"/>
      <c r="AT98" s="850"/>
      <c r="AU98" s="850"/>
      <c r="AV98" s="850"/>
      <c r="AW98" s="850"/>
      <c r="AX98" s="850"/>
      <c r="AY98" s="850"/>
      <c r="AZ98" s="850"/>
      <c r="BA98" s="850"/>
      <c r="BB98" s="850"/>
      <c r="BC98" s="850"/>
      <c r="BD98" s="850"/>
      <c r="BE98" s="850"/>
      <c r="BF98" s="850"/>
      <c r="BG98" s="850"/>
      <c r="BH98" s="850"/>
      <c r="BI98" s="850"/>
      <c r="BJ98" s="850"/>
      <c r="BK98" s="850"/>
      <c r="BL98" s="850"/>
      <c r="BM98" s="850"/>
      <c r="BN98" s="850"/>
      <c r="BO98" s="850"/>
      <c r="BP98" s="850"/>
      <c r="BQ98" s="850"/>
      <c r="BR98" s="850"/>
      <c r="BS98" s="850"/>
      <c r="BT98" s="850"/>
      <c r="BU98" s="850"/>
    </row>
    <row r="99" spans="39:73" s="165" customFormat="1">
      <c r="AM99" s="850"/>
      <c r="AN99" s="850"/>
      <c r="AO99" s="850"/>
      <c r="AP99" s="850"/>
      <c r="AQ99" s="850"/>
      <c r="AR99" s="850"/>
      <c r="AS99" s="850"/>
      <c r="AT99" s="850"/>
      <c r="AU99" s="850"/>
      <c r="AV99" s="850"/>
      <c r="AW99" s="850"/>
      <c r="AX99" s="850"/>
      <c r="AY99" s="850"/>
      <c r="AZ99" s="850"/>
      <c r="BA99" s="850"/>
      <c r="BB99" s="850"/>
      <c r="BC99" s="850"/>
      <c r="BD99" s="850"/>
      <c r="BE99" s="850"/>
      <c r="BF99" s="850"/>
      <c r="BG99" s="850"/>
      <c r="BH99" s="850"/>
      <c r="BI99" s="850"/>
      <c r="BJ99" s="850"/>
      <c r="BK99" s="850"/>
      <c r="BL99" s="850"/>
      <c r="BM99" s="850"/>
      <c r="BN99" s="850"/>
      <c r="BO99" s="850"/>
      <c r="BP99" s="850"/>
      <c r="BQ99" s="850"/>
      <c r="BR99" s="850"/>
      <c r="BS99" s="850"/>
      <c r="BT99" s="850"/>
      <c r="BU99" s="850"/>
    </row>
    <row r="100" spans="39:73" s="165" customFormat="1">
      <c r="AM100" s="850"/>
      <c r="AN100" s="850"/>
      <c r="AO100" s="850"/>
      <c r="AP100" s="850"/>
      <c r="AQ100" s="850"/>
      <c r="AR100" s="850"/>
      <c r="AS100" s="850"/>
      <c r="AT100" s="850"/>
      <c r="AU100" s="850"/>
      <c r="AV100" s="850"/>
      <c r="AW100" s="850"/>
      <c r="AX100" s="850"/>
      <c r="AY100" s="850"/>
      <c r="AZ100" s="850"/>
      <c r="BA100" s="850"/>
      <c r="BB100" s="850"/>
      <c r="BC100" s="850"/>
      <c r="BD100" s="850"/>
      <c r="BE100" s="850"/>
      <c r="BF100" s="850"/>
      <c r="BG100" s="850"/>
      <c r="BH100" s="850"/>
      <c r="BI100" s="850"/>
      <c r="BJ100" s="850"/>
      <c r="BK100" s="850"/>
      <c r="BL100" s="850"/>
      <c r="BM100" s="850"/>
      <c r="BN100" s="850"/>
      <c r="BO100" s="850"/>
      <c r="BP100" s="850"/>
      <c r="BQ100" s="850"/>
      <c r="BR100" s="850"/>
      <c r="BS100" s="850"/>
      <c r="BT100" s="850"/>
      <c r="BU100" s="850"/>
    </row>
    <row r="101" spans="39:73" s="165" customFormat="1">
      <c r="AM101" s="850"/>
      <c r="AN101" s="850"/>
      <c r="AO101" s="850"/>
      <c r="AP101" s="850"/>
      <c r="AQ101" s="850"/>
      <c r="AR101" s="850"/>
      <c r="AS101" s="850"/>
      <c r="AT101" s="850"/>
      <c r="AU101" s="850"/>
      <c r="AV101" s="850"/>
      <c r="AW101" s="850"/>
      <c r="AX101" s="850"/>
      <c r="AY101" s="850"/>
      <c r="AZ101" s="850"/>
      <c r="BA101" s="850"/>
      <c r="BB101" s="850"/>
      <c r="BC101" s="850"/>
      <c r="BD101" s="850"/>
      <c r="BE101" s="850"/>
      <c r="BF101" s="850"/>
      <c r="BG101" s="850"/>
      <c r="BH101" s="850"/>
      <c r="BI101" s="850"/>
      <c r="BJ101" s="850"/>
      <c r="BK101" s="850"/>
      <c r="BL101" s="850"/>
      <c r="BM101" s="850"/>
      <c r="BN101" s="850"/>
      <c r="BO101" s="850"/>
      <c r="BP101" s="850"/>
      <c r="BQ101" s="850"/>
      <c r="BR101" s="850"/>
      <c r="BS101" s="850"/>
      <c r="BT101" s="850"/>
      <c r="BU101" s="850"/>
    </row>
    <row r="102" spans="39:73" s="165" customFormat="1">
      <c r="AM102" s="850"/>
      <c r="AN102" s="850"/>
      <c r="AO102" s="850"/>
      <c r="AP102" s="850"/>
      <c r="AQ102" s="850"/>
      <c r="AR102" s="850"/>
      <c r="AS102" s="850"/>
      <c r="AT102" s="850"/>
      <c r="AU102" s="850"/>
      <c r="AV102" s="850"/>
      <c r="AW102" s="850"/>
      <c r="AX102" s="850"/>
      <c r="AY102" s="850"/>
      <c r="AZ102" s="850"/>
      <c r="BA102" s="850"/>
      <c r="BB102" s="850"/>
      <c r="BC102" s="850"/>
      <c r="BD102" s="850"/>
      <c r="BE102" s="850"/>
      <c r="BF102" s="850"/>
      <c r="BG102" s="850"/>
      <c r="BH102" s="850"/>
      <c r="BI102" s="850"/>
      <c r="BJ102" s="850"/>
      <c r="BK102" s="850"/>
      <c r="BL102" s="850"/>
      <c r="BM102" s="850"/>
      <c r="BN102" s="850"/>
      <c r="BO102" s="850"/>
      <c r="BP102" s="850"/>
      <c r="BQ102" s="850"/>
      <c r="BR102" s="850"/>
      <c r="BS102" s="850"/>
      <c r="BT102" s="850"/>
      <c r="BU102" s="850"/>
    </row>
    <row r="103" spans="39:73" s="165" customFormat="1">
      <c r="AM103" s="850"/>
      <c r="AN103" s="850"/>
      <c r="AO103" s="850"/>
      <c r="AP103" s="850"/>
      <c r="AQ103" s="850"/>
      <c r="AR103" s="850"/>
      <c r="AS103" s="850"/>
      <c r="AT103" s="850"/>
      <c r="AU103" s="850"/>
      <c r="AV103" s="850"/>
      <c r="AW103" s="850"/>
      <c r="AX103" s="850"/>
      <c r="AY103" s="850"/>
      <c r="AZ103" s="850"/>
      <c r="BA103" s="850"/>
      <c r="BB103" s="850"/>
      <c r="BC103" s="850"/>
      <c r="BD103" s="850"/>
      <c r="BE103" s="850"/>
      <c r="BF103" s="850"/>
      <c r="BG103" s="850"/>
      <c r="BH103" s="850"/>
      <c r="BI103" s="850"/>
      <c r="BJ103" s="850"/>
      <c r="BK103" s="850"/>
      <c r="BL103" s="850"/>
      <c r="BM103" s="850"/>
      <c r="BN103" s="850"/>
      <c r="BO103" s="850"/>
      <c r="BP103" s="850"/>
      <c r="BQ103" s="850"/>
      <c r="BR103" s="850"/>
      <c r="BS103" s="850"/>
      <c r="BT103" s="850"/>
      <c r="BU103" s="850"/>
    </row>
    <row r="104" spans="39:73" s="165" customFormat="1">
      <c r="AM104" s="850"/>
      <c r="AN104" s="850"/>
      <c r="AO104" s="850"/>
      <c r="AP104" s="850"/>
      <c r="AQ104" s="850"/>
      <c r="AR104" s="850"/>
      <c r="AS104" s="850"/>
      <c r="AT104" s="850"/>
      <c r="AU104" s="850"/>
      <c r="AV104" s="850"/>
      <c r="AW104" s="850"/>
      <c r="AX104" s="850"/>
      <c r="AY104" s="850"/>
      <c r="AZ104" s="850"/>
      <c r="BA104" s="850"/>
      <c r="BB104" s="850"/>
      <c r="BC104" s="850"/>
      <c r="BD104" s="850"/>
      <c r="BE104" s="850"/>
      <c r="BF104" s="850"/>
      <c r="BG104" s="850"/>
      <c r="BH104" s="850"/>
      <c r="BI104" s="850"/>
      <c r="BJ104" s="850"/>
      <c r="BK104" s="850"/>
      <c r="BL104" s="850"/>
      <c r="BM104" s="850"/>
      <c r="BN104" s="850"/>
      <c r="BO104" s="850"/>
      <c r="BP104" s="850"/>
      <c r="BQ104" s="850"/>
      <c r="BR104" s="850"/>
      <c r="BS104" s="850"/>
      <c r="BT104" s="850"/>
      <c r="BU104" s="850"/>
    </row>
    <row r="105" spans="39:73" s="165" customFormat="1">
      <c r="AM105" s="850"/>
      <c r="AN105" s="850"/>
      <c r="AO105" s="850"/>
      <c r="AP105" s="850"/>
      <c r="AQ105" s="850"/>
      <c r="AR105" s="850"/>
      <c r="AS105" s="850"/>
      <c r="AT105" s="850"/>
      <c r="AU105" s="850"/>
      <c r="AV105" s="850"/>
      <c r="AW105" s="850"/>
      <c r="AX105" s="850"/>
      <c r="AY105" s="850"/>
      <c r="AZ105" s="850"/>
      <c r="BA105" s="850"/>
      <c r="BB105" s="850"/>
      <c r="BC105" s="850"/>
      <c r="BD105" s="850"/>
      <c r="BE105" s="850"/>
      <c r="BF105" s="850"/>
      <c r="BG105" s="850"/>
      <c r="BH105" s="850"/>
      <c r="BI105" s="850"/>
      <c r="BJ105" s="850"/>
      <c r="BK105" s="850"/>
      <c r="BL105" s="850"/>
      <c r="BM105" s="850"/>
      <c r="BN105" s="850"/>
      <c r="BO105" s="850"/>
      <c r="BP105" s="850"/>
      <c r="BQ105" s="850"/>
      <c r="BR105" s="850"/>
      <c r="BS105" s="850"/>
      <c r="BT105" s="850"/>
      <c r="BU105" s="850"/>
    </row>
    <row r="106" spans="39:73" s="165" customFormat="1">
      <c r="AM106" s="850"/>
      <c r="AN106" s="850"/>
      <c r="AO106" s="850"/>
      <c r="AP106" s="850"/>
      <c r="AQ106" s="850"/>
      <c r="AR106" s="850"/>
      <c r="AS106" s="850"/>
      <c r="AT106" s="850"/>
      <c r="AU106" s="850"/>
      <c r="AV106" s="850"/>
      <c r="AW106" s="850"/>
      <c r="AX106" s="850"/>
      <c r="AY106" s="850"/>
      <c r="AZ106" s="850"/>
      <c r="BA106" s="850"/>
      <c r="BB106" s="850"/>
      <c r="BC106" s="850"/>
      <c r="BD106" s="850"/>
      <c r="BE106" s="850"/>
      <c r="BF106" s="850"/>
      <c r="BG106" s="850"/>
      <c r="BH106" s="850"/>
      <c r="BI106" s="850"/>
      <c r="BJ106" s="850"/>
      <c r="BK106" s="850"/>
      <c r="BL106" s="850"/>
      <c r="BM106" s="850"/>
      <c r="BN106" s="850"/>
      <c r="BO106" s="850"/>
      <c r="BP106" s="850"/>
      <c r="BQ106" s="850"/>
      <c r="BR106" s="850"/>
      <c r="BS106" s="850"/>
      <c r="BT106" s="850"/>
      <c r="BU106" s="850"/>
    </row>
    <row r="107" spans="39:73" s="165" customFormat="1">
      <c r="AM107" s="850"/>
      <c r="AN107" s="850"/>
      <c r="AO107" s="850"/>
      <c r="AP107" s="850"/>
      <c r="AQ107" s="850"/>
      <c r="AR107" s="850"/>
      <c r="AS107" s="850"/>
      <c r="AT107" s="850"/>
      <c r="AU107" s="850"/>
      <c r="AV107" s="850"/>
      <c r="AW107" s="850"/>
      <c r="AX107" s="850"/>
      <c r="AY107" s="850"/>
      <c r="AZ107" s="850"/>
      <c r="BA107" s="850"/>
      <c r="BB107" s="850"/>
      <c r="BC107" s="850"/>
      <c r="BD107" s="850"/>
      <c r="BE107" s="850"/>
      <c r="BF107" s="850"/>
      <c r="BG107" s="850"/>
      <c r="BH107" s="850"/>
      <c r="BI107" s="850"/>
      <c r="BJ107" s="850"/>
      <c r="BK107" s="850"/>
      <c r="BL107" s="850"/>
      <c r="BM107" s="850"/>
      <c r="BN107" s="850"/>
      <c r="BO107" s="850"/>
      <c r="BP107" s="850"/>
      <c r="BQ107" s="850"/>
      <c r="BR107" s="850"/>
      <c r="BS107" s="850"/>
      <c r="BT107" s="850"/>
      <c r="BU107" s="850"/>
    </row>
    <row r="108" spans="39:73" s="165" customFormat="1">
      <c r="AM108" s="850"/>
      <c r="AN108" s="850"/>
      <c r="AO108" s="850"/>
      <c r="AP108" s="850"/>
      <c r="AQ108" s="850"/>
      <c r="AR108" s="850"/>
      <c r="AS108" s="850"/>
      <c r="AT108" s="850"/>
      <c r="AU108" s="850"/>
      <c r="AV108" s="850"/>
      <c r="AW108" s="850"/>
      <c r="AX108" s="850"/>
      <c r="AY108" s="850"/>
      <c r="AZ108" s="850"/>
      <c r="BA108" s="850"/>
      <c r="BB108" s="850"/>
      <c r="BC108" s="850"/>
      <c r="BD108" s="850"/>
      <c r="BE108" s="850"/>
      <c r="BF108" s="850"/>
      <c r="BG108" s="850"/>
      <c r="BH108" s="850"/>
      <c r="BI108" s="850"/>
      <c r="BJ108" s="850"/>
      <c r="BK108" s="850"/>
      <c r="BL108" s="850"/>
      <c r="BM108" s="850"/>
      <c r="BN108" s="850"/>
      <c r="BO108" s="850"/>
      <c r="BP108" s="850"/>
      <c r="BQ108" s="850"/>
      <c r="BR108" s="850"/>
      <c r="BS108" s="850"/>
      <c r="BT108" s="850"/>
      <c r="BU108" s="850"/>
    </row>
    <row r="109" spans="39:73" s="165" customFormat="1">
      <c r="AM109" s="850"/>
      <c r="AN109" s="850"/>
      <c r="AO109" s="850"/>
      <c r="AP109" s="850"/>
      <c r="AQ109" s="850"/>
      <c r="AR109" s="850"/>
      <c r="AS109" s="850"/>
      <c r="AT109" s="850"/>
      <c r="AU109" s="850"/>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0"/>
      <c r="BQ109" s="850"/>
      <c r="BR109" s="850"/>
      <c r="BS109" s="850"/>
      <c r="BT109" s="850"/>
      <c r="BU109" s="850"/>
    </row>
    <row r="110" spans="39:73" s="165" customFormat="1">
      <c r="AM110" s="850"/>
      <c r="AN110" s="850"/>
      <c r="AO110" s="850"/>
      <c r="AP110" s="850"/>
      <c r="AQ110" s="850"/>
      <c r="AR110" s="850"/>
      <c r="AS110" s="850"/>
      <c r="AT110" s="850"/>
      <c r="AU110" s="850"/>
      <c r="AV110" s="850"/>
      <c r="AW110" s="850"/>
      <c r="AX110" s="850"/>
      <c r="AY110" s="850"/>
      <c r="AZ110" s="850"/>
      <c r="BA110" s="850"/>
      <c r="BB110" s="850"/>
      <c r="BC110" s="850"/>
      <c r="BD110" s="850"/>
      <c r="BE110" s="850"/>
      <c r="BF110" s="850"/>
      <c r="BG110" s="850"/>
      <c r="BH110" s="850"/>
      <c r="BI110" s="850"/>
      <c r="BJ110" s="850"/>
      <c r="BK110" s="850"/>
      <c r="BL110" s="850"/>
      <c r="BM110" s="850"/>
      <c r="BN110" s="850"/>
      <c r="BO110" s="850"/>
      <c r="BP110" s="850"/>
      <c r="BQ110" s="850"/>
      <c r="BR110" s="850"/>
      <c r="BS110" s="850"/>
      <c r="BT110" s="850"/>
      <c r="BU110" s="850"/>
    </row>
    <row r="111" spans="39:73" s="165" customFormat="1">
      <c r="AM111" s="850"/>
      <c r="AN111" s="850"/>
      <c r="AO111" s="850"/>
      <c r="AP111" s="850"/>
      <c r="AQ111" s="850"/>
      <c r="AR111" s="850"/>
      <c r="AS111" s="850"/>
      <c r="AT111" s="850"/>
      <c r="AU111" s="850"/>
      <c r="AV111" s="850"/>
      <c r="AW111" s="850"/>
      <c r="AX111" s="850"/>
      <c r="AY111" s="850"/>
      <c r="AZ111" s="850"/>
      <c r="BA111" s="850"/>
      <c r="BB111" s="850"/>
      <c r="BC111" s="850"/>
      <c r="BD111" s="850"/>
      <c r="BE111" s="850"/>
      <c r="BF111" s="850"/>
      <c r="BG111" s="850"/>
      <c r="BH111" s="850"/>
      <c r="BI111" s="850"/>
      <c r="BJ111" s="850"/>
      <c r="BK111" s="850"/>
      <c r="BL111" s="850"/>
      <c r="BM111" s="850"/>
      <c r="BN111" s="850"/>
      <c r="BO111" s="850"/>
      <c r="BP111" s="850"/>
      <c r="BQ111" s="850"/>
      <c r="BR111" s="850"/>
      <c r="BS111" s="850"/>
      <c r="BT111" s="850"/>
      <c r="BU111" s="850"/>
    </row>
    <row r="112" spans="39:73" s="165" customFormat="1">
      <c r="AM112" s="850"/>
      <c r="AN112" s="850"/>
      <c r="AO112" s="850"/>
      <c r="AP112" s="850"/>
      <c r="AQ112" s="850"/>
      <c r="AR112" s="850"/>
      <c r="AS112" s="850"/>
      <c r="AT112" s="850"/>
      <c r="AU112" s="850"/>
      <c r="AV112" s="850"/>
      <c r="AW112" s="850"/>
      <c r="AX112" s="850"/>
      <c r="AY112" s="850"/>
      <c r="AZ112" s="850"/>
      <c r="BA112" s="850"/>
      <c r="BB112" s="850"/>
      <c r="BC112" s="850"/>
      <c r="BD112" s="850"/>
      <c r="BE112" s="850"/>
      <c r="BF112" s="850"/>
      <c r="BG112" s="850"/>
      <c r="BH112" s="850"/>
      <c r="BI112" s="850"/>
      <c r="BJ112" s="850"/>
      <c r="BK112" s="850"/>
      <c r="BL112" s="850"/>
      <c r="BM112" s="850"/>
      <c r="BN112" s="850"/>
      <c r="BO112" s="850"/>
      <c r="BP112" s="850"/>
      <c r="BQ112" s="850"/>
      <c r="BR112" s="850"/>
      <c r="BS112" s="850"/>
      <c r="BT112" s="850"/>
      <c r="BU112" s="850"/>
    </row>
    <row r="113" spans="39:73" s="165" customFormat="1">
      <c r="AM113" s="850"/>
      <c r="AN113" s="850"/>
      <c r="AO113" s="850"/>
      <c r="AP113" s="850"/>
      <c r="AQ113" s="850"/>
      <c r="AR113" s="850"/>
      <c r="AS113" s="850"/>
      <c r="AT113" s="850"/>
      <c r="AU113" s="850"/>
      <c r="AV113" s="850"/>
      <c r="AW113" s="850"/>
      <c r="AX113" s="850"/>
      <c r="AY113" s="850"/>
      <c r="AZ113" s="850"/>
      <c r="BA113" s="850"/>
      <c r="BB113" s="850"/>
      <c r="BC113" s="850"/>
      <c r="BD113" s="850"/>
      <c r="BE113" s="850"/>
      <c r="BF113" s="850"/>
      <c r="BG113" s="850"/>
      <c r="BH113" s="850"/>
      <c r="BI113" s="850"/>
      <c r="BJ113" s="850"/>
      <c r="BK113" s="850"/>
      <c r="BL113" s="850"/>
      <c r="BM113" s="850"/>
      <c r="BN113" s="850"/>
      <c r="BO113" s="850"/>
      <c r="BP113" s="850"/>
      <c r="BQ113" s="850"/>
      <c r="BR113" s="850"/>
      <c r="BS113" s="850"/>
      <c r="BT113" s="850"/>
      <c r="BU113" s="850"/>
    </row>
    <row r="114" spans="39:73" s="165" customFormat="1">
      <c r="AM114" s="850"/>
      <c r="AN114" s="850"/>
      <c r="AO114" s="850"/>
      <c r="AP114" s="850"/>
      <c r="AQ114" s="850"/>
      <c r="AR114" s="850"/>
      <c r="AS114" s="850"/>
      <c r="AT114" s="850"/>
      <c r="AU114" s="850"/>
      <c r="AV114" s="850"/>
      <c r="AW114" s="850"/>
      <c r="AX114" s="850"/>
      <c r="AY114" s="850"/>
      <c r="AZ114" s="850"/>
      <c r="BA114" s="850"/>
      <c r="BB114" s="850"/>
      <c r="BC114" s="850"/>
      <c r="BD114" s="850"/>
      <c r="BE114" s="850"/>
      <c r="BF114" s="850"/>
      <c r="BG114" s="850"/>
      <c r="BH114" s="850"/>
      <c r="BI114" s="850"/>
      <c r="BJ114" s="850"/>
      <c r="BK114" s="850"/>
      <c r="BL114" s="850"/>
      <c r="BM114" s="850"/>
      <c r="BN114" s="850"/>
      <c r="BO114" s="850"/>
      <c r="BP114" s="850"/>
      <c r="BQ114" s="850"/>
      <c r="BR114" s="850"/>
      <c r="BS114" s="850"/>
      <c r="BT114" s="850"/>
      <c r="BU114" s="850"/>
    </row>
    <row r="115" spans="39:73" s="165" customFormat="1">
      <c r="AM115" s="850"/>
      <c r="AN115" s="850"/>
      <c r="AO115" s="850"/>
      <c r="AP115" s="850"/>
      <c r="AQ115" s="850"/>
      <c r="AR115" s="850"/>
      <c r="AS115" s="850"/>
      <c r="AT115" s="850"/>
      <c r="AU115" s="850"/>
      <c r="AV115" s="850"/>
      <c r="AW115" s="850"/>
      <c r="AX115" s="850"/>
      <c r="AY115" s="850"/>
      <c r="AZ115" s="850"/>
      <c r="BA115" s="850"/>
      <c r="BB115" s="850"/>
      <c r="BC115" s="850"/>
      <c r="BD115" s="850"/>
      <c r="BE115" s="850"/>
      <c r="BF115" s="850"/>
      <c r="BG115" s="850"/>
      <c r="BH115" s="850"/>
      <c r="BI115" s="850"/>
      <c r="BJ115" s="850"/>
      <c r="BK115" s="850"/>
      <c r="BL115" s="850"/>
      <c r="BM115" s="850"/>
      <c r="BN115" s="850"/>
      <c r="BO115" s="850"/>
      <c r="BP115" s="850"/>
      <c r="BQ115" s="850"/>
      <c r="BR115" s="850"/>
      <c r="BS115" s="850"/>
      <c r="BT115" s="850"/>
      <c r="BU115" s="850"/>
    </row>
    <row r="116" spans="39:73" s="165" customFormat="1">
      <c r="AM116" s="850"/>
      <c r="AN116" s="850"/>
      <c r="AO116" s="850"/>
      <c r="AP116" s="850"/>
      <c r="AQ116" s="850"/>
      <c r="AR116" s="850"/>
      <c r="AS116" s="850"/>
      <c r="AT116" s="850"/>
      <c r="AU116" s="850"/>
      <c r="AV116" s="850"/>
      <c r="AW116" s="850"/>
      <c r="AX116" s="850"/>
      <c r="AY116" s="850"/>
      <c r="AZ116" s="850"/>
      <c r="BA116" s="850"/>
      <c r="BB116" s="850"/>
      <c r="BC116" s="850"/>
      <c r="BD116" s="850"/>
      <c r="BE116" s="850"/>
      <c r="BF116" s="850"/>
      <c r="BG116" s="850"/>
      <c r="BH116" s="850"/>
      <c r="BI116" s="850"/>
      <c r="BJ116" s="850"/>
      <c r="BK116" s="850"/>
      <c r="BL116" s="850"/>
      <c r="BM116" s="850"/>
      <c r="BN116" s="850"/>
      <c r="BO116" s="850"/>
      <c r="BP116" s="850"/>
      <c r="BQ116" s="850"/>
      <c r="BR116" s="850"/>
      <c r="BS116" s="850"/>
      <c r="BT116" s="850"/>
      <c r="BU116" s="850"/>
    </row>
    <row r="117" spans="39:73" s="165" customFormat="1">
      <c r="AM117" s="850"/>
      <c r="AN117" s="850"/>
      <c r="AO117" s="850"/>
      <c r="AP117" s="850"/>
      <c r="AQ117" s="850"/>
      <c r="AR117" s="850"/>
      <c r="AS117" s="850"/>
      <c r="AT117" s="850"/>
      <c r="AU117" s="850"/>
      <c r="AV117" s="850"/>
      <c r="AW117" s="850"/>
      <c r="AX117" s="850"/>
      <c r="AY117" s="850"/>
      <c r="AZ117" s="850"/>
      <c r="BA117" s="850"/>
      <c r="BB117" s="850"/>
      <c r="BC117" s="850"/>
      <c r="BD117" s="850"/>
      <c r="BE117" s="850"/>
      <c r="BF117" s="850"/>
      <c r="BG117" s="850"/>
      <c r="BH117" s="850"/>
      <c r="BI117" s="850"/>
      <c r="BJ117" s="850"/>
      <c r="BK117" s="850"/>
      <c r="BL117" s="850"/>
      <c r="BM117" s="850"/>
      <c r="BN117" s="850"/>
      <c r="BO117" s="850"/>
      <c r="BP117" s="850"/>
      <c r="BQ117" s="850"/>
      <c r="BR117" s="850"/>
      <c r="BS117" s="850"/>
      <c r="BT117" s="850"/>
      <c r="BU117" s="850"/>
    </row>
    <row r="118" spans="39:73" s="165" customFormat="1">
      <c r="AM118" s="850"/>
      <c r="AN118" s="850"/>
      <c r="AO118" s="850"/>
      <c r="AP118" s="850"/>
      <c r="AQ118" s="850"/>
      <c r="AR118" s="850"/>
      <c r="AS118" s="850"/>
      <c r="AT118" s="850"/>
      <c r="AU118" s="850"/>
      <c r="AV118" s="850"/>
      <c r="AW118" s="850"/>
      <c r="AX118" s="850"/>
      <c r="AY118" s="850"/>
      <c r="AZ118" s="850"/>
      <c r="BA118" s="850"/>
      <c r="BB118" s="850"/>
      <c r="BC118" s="850"/>
      <c r="BD118" s="850"/>
      <c r="BE118" s="850"/>
      <c r="BF118" s="850"/>
      <c r="BG118" s="850"/>
      <c r="BH118" s="850"/>
      <c r="BI118" s="850"/>
      <c r="BJ118" s="850"/>
      <c r="BK118" s="850"/>
      <c r="BL118" s="850"/>
      <c r="BM118" s="850"/>
      <c r="BN118" s="850"/>
      <c r="BO118" s="850"/>
      <c r="BP118" s="850"/>
      <c r="BQ118" s="850"/>
      <c r="BR118" s="850"/>
      <c r="BS118" s="850"/>
      <c r="BT118" s="850"/>
      <c r="BU118" s="850"/>
    </row>
    <row r="119" spans="39:73" s="165" customFormat="1">
      <c r="AM119" s="850"/>
      <c r="AN119" s="850"/>
      <c r="AO119" s="850"/>
      <c r="AP119" s="850"/>
      <c r="AQ119" s="850"/>
      <c r="AR119" s="850"/>
      <c r="AS119" s="850"/>
      <c r="AT119" s="850"/>
      <c r="AU119" s="850"/>
      <c r="AV119" s="850"/>
      <c r="AW119" s="850"/>
      <c r="AX119" s="850"/>
      <c r="AY119" s="850"/>
      <c r="AZ119" s="850"/>
      <c r="BA119" s="850"/>
      <c r="BB119" s="850"/>
      <c r="BC119" s="850"/>
      <c r="BD119" s="850"/>
      <c r="BE119" s="850"/>
      <c r="BF119" s="850"/>
      <c r="BG119" s="850"/>
      <c r="BH119" s="850"/>
      <c r="BI119" s="850"/>
      <c r="BJ119" s="850"/>
      <c r="BK119" s="850"/>
      <c r="BL119" s="850"/>
      <c r="BM119" s="850"/>
      <c r="BN119" s="850"/>
      <c r="BO119" s="850"/>
      <c r="BP119" s="850"/>
      <c r="BQ119" s="850"/>
      <c r="BR119" s="850"/>
      <c r="BS119" s="850"/>
      <c r="BT119" s="850"/>
      <c r="BU119" s="850"/>
    </row>
    <row r="120" spans="39:73" s="165" customFormat="1">
      <c r="AM120" s="850"/>
      <c r="AN120" s="850"/>
      <c r="AO120" s="850"/>
      <c r="AP120" s="850"/>
      <c r="AQ120" s="850"/>
      <c r="AR120" s="850"/>
      <c r="AS120" s="850"/>
      <c r="AT120" s="850"/>
      <c r="AU120" s="850"/>
      <c r="AV120" s="850"/>
      <c r="AW120" s="850"/>
      <c r="AX120" s="850"/>
      <c r="AY120" s="850"/>
      <c r="AZ120" s="850"/>
      <c r="BA120" s="850"/>
      <c r="BB120" s="850"/>
      <c r="BC120" s="850"/>
      <c r="BD120" s="850"/>
      <c r="BE120" s="850"/>
      <c r="BF120" s="850"/>
      <c r="BG120" s="850"/>
      <c r="BH120" s="850"/>
      <c r="BI120" s="850"/>
      <c r="BJ120" s="850"/>
      <c r="BK120" s="850"/>
      <c r="BL120" s="850"/>
      <c r="BM120" s="850"/>
      <c r="BN120" s="850"/>
      <c r="BO120" s="850"/>
      <c r="BP120" s="850"/>
      <c r="BQ120" s="850"/>
      <c r="BR120" s="850"/>
      <c r="BS120" s="850"/>
      <c r="BT120" s="850"/>
      <c r="BU120" s="850"/>
    </row>
    <row r="121" spans="39:73" s="165" customFormat="1">
      <c r="AM121" s="850"/>
      <c r="AN121" s="850"/>
      <c r="AO121" s="850"/>
      <c r="AP121" s="850"/>
      <c r="AQ121" s="850"/>
      <c r="AR121" s="850"/>
      <c r="AS121" s="850"/>
      <c r="AT121" s="850"/>
      <c r="AU121" s="850"/>
      <c r="AV121" s="850"/>
      <c r="AW121" s="850"/>
      <c r="AX121" s="850"/>
      <c r="AY121" s="850"/>
      <c r="AZ121" s="850"/>
      <c r="BA121" s="850"/>
      <c r="BB121" s="850"/>
      <c r="BC121" s="850"/>
      <c r="BD121" s="850"/>
      <c r="BE121" s="850"/>
      <c r="BF121" s="850"/>
      <c r="BG121" s="850"/>
      <c r="BH121" s="850"/>
      <c r="BI121" s="850"/>
      <c r="BJ121" s="850"/>
      <c r="BK121" s="850"/>
      <c r="BL121" s="850"/>
      <c r="BM121" s="850"/>
      <c r="BN121" s="850"/>
      <c r="BO121" s="850"/>
      <c r="BP121" s="850"/>
      <c r="BQ121" s="850"/>
      <c r="BR121" s="850"/>
      <c r="BS121" s="850"/>
      <c r="BT121" s="850"/>
      <c r="BU121" s="850"/>
    </row>
    <row r="122" spans="39:73" s="165" customFormat="1">
      <c r="AM122" s="850"/>
      <c r="AN122" s="850"/>
      <c r="AO122" s="850"/>
      <c r="AP122" s="850"/>
      <c r="AQ122" s="850"/>
      <c r="AR122" s="850"/>
      <c r="AS122" s="850"/>
      <c r="AT122" s="850"/>
      <c r="AU122" s="850"/>
      <c r="AV122" s="850"/>
      <c r="AW122" s="850"/>
      <c r="AX122" s="850"/>
      <c r="AY122" s="850"/>
      <c r="AZ122" s="850"/>
      <c r="BA122" s="850"/>
      <c r="BB122" s="850"/>
      <c r="BC122" s="850"/>
      <c r="BD122" s="850"/>
      <c r="BE122" s="850"/>
      <c r="BF122" s="850"/>
      <c r="BG122" s="850"/>
      <c r="BH122" s="850"/>
      <c r="BI122" s="850"/>
      <c r="BJ122" s="850"/>
      <c r="BK122" s="850"/>
      <c r="BL122" s="850"/>
      <c r="BM122" s="850"/>
      <c r="BN122" s="850"/>
      <c r="BO122" s="850"/>
      <c r="BP122" s="850"/>
      <c r="BQ122" s="850"/>
      <c r="BR122" s="850"/>
      <c r="BS122" s="850"/>
      <c r="BT122" s="850"/>
      <c r="BU122" s="850"/>
    </row>
    <row r="123" spans="39:73" s="165" customFormat="1">
      <c r="AM123" s="850"/>
      <c r="AN123" s="850"/>
      <c r="AO123" s="850"/>
      <c r="AP123" s="850"/>
      <c r="AQ123" s="850"/>
      <c r="AR123" s="850"/>
      <c r="AS123" s="850"/>
      <c r="AT123" s="850"/>
      <c r="AU123" s="850"/>
      <c r="AV123" s="850"/>
      <c r="AW123" s="850"/>
      <c r="AX123" s="850"/>
      <c r="AY123" s="850"/>
      <c r="AZ123" s="850"/>
      <c r="BA123" s="850"/>
      <c r="BB123" s="850"/>
      <c r="BC123" s="850"/>
      <c r="BD123" s="850"/>
      <c r="BE123" s="850"/>
      <c r="BF123" s="850"/>
      <c r="BG123" s="850"/>
      <c r="BH123" s="850"/>
      <c r="BI123" s="850"/>
      <c r="BJ123" s="850"/>
      <c r="BK123" s="850"/>
      <c r="BL123" s="850"/>
      <c r="BM123" s="850"/>
      <c r="BN123" s="850"/>
      <c r="BO123" s="850"/>
      <c r="BP123" s="850"/>
      <c r="BQ123" s="850"/>
      <c r="BR123" s="850"/>
      <c r="BS123" s="850"/>
      <c r="BT123" s="850"/>
      <c r="BU123" s="850"/>
    </row>
    <row r="124" spans="39:73" s="165" customFormat="1">
      <c r="AM124" s="850"/>
      <c r="AN124" s="850"/>
      <c r="AO124" s="850"/>
      <c r="AP124" s="850"/>
      <c r="AQ124" s="850"/>
      <c r="AR124" s="850"/>
      <c r="AS124" s="850"/>
      <c r="AT124" s="850"/>
      <c r="AU124" s="850"/>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0"/>
      <c r="BQ124" s="850"/>
      <c r="BR124" s="850"/>
      <c r="BS124" s="850"/>
      <c r="BT124" s="850"/>
      <c r="BU124" s="850"/>
    </row>
    <row r="125" spans="39:73" s="165" customFormat="1">
      <c r="AM125" s="850"/>
      <c r="AN125" s="850"/>
      <c r="AO125" s="850"/>
      <c r="AP125" s="850"/>
      <c r="AQ125" s="850"/>
      <c r="AR125" s="850"/>
      <c r="AS125" s="850"/>
      <c r="AT125" s="850"/>
      <c r="AU125" s="850"/>
      <c r="AV125" s="850"/>
      <c r="AW125" s="850"/>
      <c r="AX125" s="850"/>
      <c r="AY125" s="850"/>
      <c r="AZ125" s="850"/>
      <c r="BA125" s="850"/>
      <c r="BB125" s="850"/>
      <c r="BC125" s="850"/>
      <c r="BD125" s="850"/>
      <c r="BE125" s="850"/>
      <c r="BF125" s="850"/>
      <c r="BG125" s="850"/>
      <c r="BH125" s="850"/>
      <c r="BI125" s="850"/>
      <c r="BJ125" s="850"/>
      <c r="BK125" s="850"/>
      <c r="BL125" s="850"/>
      <c r="BM125" s="850"/>
      <c r="BN125" s="850"/>
      <c r="BO125" s="850"/>
      <c r="BP125" s="850"/>
      <c r="BQ125" s="850"/>
      <c r="BR125" s="850"/>
      <c r="BS125" s="850"/>
      <c r="BT125" s="850"/>
      <c r="BU125" s="850"/>
    </row>
    <row r="126" spans="39:73" s="165" customFormat="1">
      <c r="AM126" s="850"/>
      <c r="AN126" s="850"/>
      <c r="AO126" s="850"/>
      <c r="AP126" s="850"/>
      <c r="AQ126" s="850"/>
      <c r="AR126" s="850"/>
      <c r="AS126" s="850"/>
      <c r="AT126" s="850"/>
      <c r="AU126" s="850"/>
      <c r="AV126" s="850"/>
      <c r="AW126" s="850"/>
      <c r="AX126" s="850"/>
      <c r="AY126" s="850"/>
      <c r="AZ126" s="850"/>
      <c r="BA126" s="850"/>
      <c r="BB126" s="850"/>
      <c r="BC126" s="850"/>
      <c r="BD126" s="850"/>
      <c r="BE126" s="850"/>
      <c r="BF126" s="850"/>
      <c r="BG126" s="850"/>
      <c r="BH126" s="850"/>
      <c r="BI126" s="850"/>
      <c r="BJ126" s="850"/>
      <c r="BK126" s="850"/>
      <c r="BL126" s="850"/>
      <c r="BM126" s="850"/>
      <c r="BN126" s="850"/>
      <c r="BO126" s="850"/>
      <c r="BP126" s="850"/>
      <c r="BQ126" s="850"/>
      <c r="BR126" s="850"/>
      <c r="BS126" s="850"/>
      <c r="BT126" s="850"/>
      <c r="BU126" s="850"/>
    </row>
    <row r="127" spans="39:73" s="165" customFormat="1">
      <c r="AM127" s="850"/>
      <c r="AN127" s="850"/>
      <c r="AO127" s="850"/>
      <c r="AP127" s="850"/>
      <c r="AQ127" s="850"/>
      <c r="AR127" s="850"/>
      <c r="AS127" s="850"/>
      <c r="AT127" s="850"/>
      <c r="AU127" s="850"/>
      <c r="AV127" s="850"/>
      <c r="AW127" s="850"/>
      <c r="AX127" s="850"/>
      <c r="AY127" s="850"/>
      <c r="AZ127" s="850"/>
      <c r="BA127" s="850"/>
      <c r="BB127" s="850"/>
      <c r="BC127" s="850"/>
      <c r="BD127" s="850"/>
      <c r="BE127" s="850"/>
      <c r="BF127" s="850"/>
      <c r="BG127" s="850"/>
      <c r="BH127" s="850"/>
      <c r="BI127" s="850"/>
      <c r="BJ127" s="850"/>
      <c r="BK127" s="850"/>
      <c r="BL127" s="850"/>
      <c r="BM127" s="850"/>
      <c r="BN127" s="850"/>
      <c r="BO127" s="850"/>
      <c r="BP127" s="850"/>
      <c r="BQ127" s="850"/>
      <c r="BR127" s="850"/>
      <c r="BS127" s="850"/>
      <c r="BT127" s="850"/>
      <c r="BU127" s="850"/>
    </row>
    <row r="128" spans="39:73" s="165" customFormat="1">
      <c r="AM128" s="850"/>
      <c r="AN128" s="850"/>
      <c r="AO128" s="850"/>
      <c r="AP128" s="850"/>
      <c r="AQ128" s="850"/>
      <c r="AR128" s="850"/>
      <c r="AS128" s="850"/>
      <c r="AT128" s="850"/>
      <c r="AU128" s="850"/>
      <c r="AV128" s="850"/>
      <c r="AW128" s="850"/>
      <c r="AX128" s="850"/>
      <c r="AY128" s="850"/>
      <c r="AZ128" s="850"/>
      <c r="BA128" s="850"/>
      <c r="BB128" s="850"/>
      <c r="BC128" s="850"/>
      <c r="BD128" s="850"/>
      <c r="BE128" s="850"/>
      <c r="BF128" s="850"/>
      <c r="BG128" s="850"/>
      <c r="BH128" s="850"/>
      <c r="BI128" s="850"/>
      <c r="BJ128" s="850"/>
      <c r="BK128" s="850"/>
      <c r="BL128" s="850"/>
      <c r="BM128" s="850"/>
      <c r="BN128" s="850"/>
      <c r="BO128" s="850"/>
      <c r="BP128" s="850"/>
      <c r="BQ128" s="850"/>
      <c r="BR128" s="850"/>
      <c r="BS128" s="850"/>
      <c r="BT128" s="850"/>
      <c r="BU128" s="850"/>
    </row>
    <row r="129" spans="39:73" s="165" customFormat="1">
      <c r="AM129" s="850"/>
      <c r="AN129" s="850"/>
      <c r="AO129" s="850"/>
      <c r="AP129" s="850"/>
      <c r="AQ129" s="850"/>
      <c r="AR129" s="850"/>
      <c r="AS129" s="850"/>
      <c r="AT129" s="850"/>
      <c r="AU129" s="850"/>
      <c r="AV129" s="850"/>
      <c r="AW129" s="850"/>
      <c r="AX129" s="850"/>
      <c r="AY129" s="850"/>
      <c r="AZ129" s="850"/>
      <c r="BA129" s="850"/>
      <c r="BB129" s="850"/>
      <c r="BC129" s="850"/>
      <c r="BD129" s="850"/>
      <c r="BE129" s="850"/>
      <c r="BF129" s="850"/>
      <c r="BG129" s="850"/>
      <c r="BH129" s="850"/>
      <c r="BI129" s="850"/>
      <c r="BJ129" s="850"/>
      <c r="BK129" s="850"/>
      <c r="BL129" s="850"/>
      <c r="BM129" s="850"/>
      <c r="BN129" s="850"/>
      <c r="BO129" s="850"/>
      <c r="BP129" s="850"/>
      <c r="BQ129" s="850"/>
      <c r="BR129" s="850"/>
      <c r="BS129" s="850"/>
      <c r="BT129" s="850"/>
      <c r="BU129" s="850"/>
    </row>
    <row r="130" spans="39:73" s="165" customFormat="1">
      <c r="AM130" s="850"/>
      <c r="AN130" s="850"/>
      <c r="AO130" s="850"/>
      <c r="AP130" s="850"/>
      <c r="AQ130" s="850"/>
      <c r="AR130" s="850"/>
      <c r="AS130" s="850"/>
      <c r="AT130" s="850"/>
      <c r="AU130" s="850"/>
      <c r="AV130" s="850"/>
      <c r="AW130" s="850"/>
      <c r="AX130" s="850"/>
      <c r="AY130" s="850"/>
      <c r="AZ130" s="850"/>
      <c r="BA130" s="850"/>
      <c r="BB130" s="850"/>
      <c r="BC130" s="850"/>
      <c r="BD130" s="850"/>
      <c r="BE130" s="850"/>
      <c r="BF130" s="850"/>
      <c r="BG130" s="850"/>
      <c r="BH130" s="850"/>
      <c r="BI130" s="850"/>
      <c r="BJ130" s="850"/>
      <c r="BK130" s="850"/>
      <c r="BL130" s="850"/>
      <c r="BM130" s="850"/>
      <c r="BN130" s="850"/>
      <c r="BO130" s="850"/>
      <c r="BP130" s="850"/>
      <c r="BQ130" s="850"/>
      <c r="BR130" s="850"/>
      <c r="BS130" s="850"/>
      <c r="BT130" s="850"/>
      <c r="BU130" s="850"/>
    </row>
    <row r="131" spans="39:73" s="165" customFormat="1">
      <c r="AM131" s="850"/>
      <c r="AN131" s="850"/>
      <c r="AO131" s="850"/>
      <c r="AP131" s="850"/>
      <c r="AQ131" s="850"/>
      <c r="AR131" s="850"/>
      <c r="AS131" s="850"/>
      <c r="AT131" s="850"/>
      <c r="AU131" s="850"/>
      <c r="AV131" s="850"/>
      <c r="AW131" s="850"/>
      <c r="AX131" s="850"/>
      <c r="AY131" s="850"/>
      <c r="AZ131" s="850"/>
      <c r="BA131" s="850"/>
      <c r="BB131" s="850"/>
      <c r="BC131" s="850"/>
      <c r="BD131" s="850"/>
      <c r="BE131" s="850"/>
      <c r="BF131" s="850"/>
      <c r="BG131" s="850"/>
      <c r="BH131" s="850"/>
      <c r="BI131" s="850"/>
      <c r="BJ131" s="850"/>
      <c r="BK131" s="850"/>
      <c r="BL131" s="850"/>
      <c r="BM131" s="850"/>
      <c r="BN131" s="850"/>
      <c r="BO131" s="850"/>
      <c r="BP131" s="850"/>
      <c r="BQ131" s="850"/>
      <c r="BR131" s="850"/>
      <c r="BS131" s="850"/>
      <c r="BT131" s="850"/>
      <c r="BU131" s="850"/>
    </row>
    <row r="132" spans="39:73" s="165" customFormat="1">
      <c r="AM132" s="850"/>
      <c r="AN132" s="850"/>
      <c r="AO132" s="850"/>
      <c r="AP132" s="850"/>
      <c r="AQ132" s="850"/>
      <c r="AR132" s="850"/>
      <c r="AS132" s="850"/>
      <c r="AT132" s="850"/>
      <c r="AU132" s="850"/>
      <c r="AV132" s="850"/>
      <c r="AW132" s="850"/>
      <c r="AX132" s="850"/>
      <c r="AY132" s="850"/>
      <c r="AZ132" s="850"/>
      <c r="BA132" s="850"/>
      <c r="BB132" s="850"/>
      <c r="BC132" s="850"/>
      <c r="BD132" s="850"/>
      <c r="BE132" s="850"/>
      <c r="BF132" s="850"/>
      <c r="BG132" s="850"/>
      <c r="BH132" s="850"/>
      <c r="BI132" s="850"/>
      <c r="BJ132" s="850"/>
      <c r="BK132" s="850"/>
      <c r="BL132" s="850"/>
      <c r="BM132" s="850"/>
      <c r="BN132" s="850"/>
      <c r="BO132" s="850"/>
      <c r="BP132" s="850"/>
      <c r="BQ132" s="850"/>
      <c r="BR132" s="850"/>
      <c r="BS132" s="850"/>
      <c r="BT132" s="850"/>
      <c r="BU132" s="850"/>
    </row>
    <row r="133" spans="39:73" s="165" customFormat="1">
      <c r="AM133" s="850"/>
      <c r="AN133" s="850"/>
      <c r="AO133" s="850"/>
      <c r="AP133" s="850"/>
      <c r="AQ133" s="850"/>
      <c r="AR133" s="850"/>
      <c r="AS133" s="850"/>
      <c r="AT133" s="850"/>
      <c r="AU133" s="850"/>
      <c r="AV133" s="850"/>
      <c r="AW133" s="850"/>
      <c r="AX133" s="850"/>
      <c r="AY133" s="850"/>
      <c r="AZ133" s="850"/>
      <c r="BA133" s="850"/>
      <c r="BB133" s="850"/>
      <c r="BC133" s="850"/>
      <c r="BD133" s="850"/>
      <c r="BE133" s="850"/>
      <c r="BF133" s="850"/>
      <c r="BG133" s="850"/>
      <c r="BH133" s="850"/>
      <c r="BI133" s="850"/>
      <c r="BJ133" s="850"/>
      <c r="BK133" s="850"/>
      <c r="BL133" s="850"/>
      <c r="BM133" s="850"/>
      <c r="BN133" s="850"/>
      <c r="BO133" s="850"/>
      <c r="BP133" s="850"/>
      <c r="BQ133" s="850"/>
      <c r="BR133" s="850"/>
      <c r="BS133" s="850"/>
      <c r="BT133" s="850"/>
      <c r="BU133" s="850"/>
    </row>
    <row r="134" spans="39:73" s="165" customFormat="1">
      <c r="AM134" s="850"/>
      <c r="AN134" s="850"/>
      <c r="AO134" s="850"/>
      <c r="AP134" s="850"/>
      <c r="AQ134" s="850"/>
      <c r="AR134" s="850"/>
      <c r="AS134" s="850"/>
      <c r="AT134" s="850"/>
      <c r="AU134" s="850"/>
      <c r="AV134" s="850"/>
      <c r="AW134" s="850"/>
      <c r="AX134" s="850"/>
      <c r="AY134" s="850"/>
      <c r="AZ134" s="850"/>
      <c r="BA134" s="850"/>
      <c r="BB134" s="850"/>
      <c r="BC134" s="850"/>
      <c r="BD134" s="850"/>
      <c r="BE134" s="850"/>
      <c r="BF134" s="850"/>
      <c r="BG134" s="850"/>
      <c r="BH134" s="850"/>
      <c r="BI134" s="850"/>
      <c r="BJ134" s="850"/>
      <c r="BK134" s="850"/>
      <c r="BL134" s="850"/>
      <c r="BM134" s="850"/>
      <c r="BN134" s="850"/>
      <c r="BO134" s="850"/>
      <c r="BP134" s="850"/>
      <c r="BQ134" s="850"/>
      <c r="BR134" s="850"/>
      <c r="BS134" s="850"/>
      <c r="BT134" s="850"/>
      <c r="BU134" s="850"/>
    </row>
    <row r="135" spans="39:73" s="165" customFormat="1">
      <c r="AM135" s="850"/>
      <c r="AN135" s="850"/>
      <c r="AO135" s="850"/>
      <c r="AP135" s="850"/>
      <c r="AQ135" s="850"/>
      <c r="AR135" s="850"/>
      <c r="AS135" s="850"/>
      <c r="AT135" s="850"/>
      <c r="AU135" s="850"/>
      <c r="AV135" s="850"/>
      <c r="AW135" s="850"/>
      <c r="AX135" s="850"/>
      <c r="AY135" s="850"/>
      <c r="AZ135" s="850"/>
      <c r="BA135" s="850"/>
      <c r="BB135" s="850"/>
      <c r="BC135" s="850"/>
      <c r="BD135" s="850"/>
      <c r="BE135" s="850"/>
      <c r="BF135" s="850"/>
      <c r="BG135" s="850"/>
      <c r="BH135" s="850"/>
      <c r="BI135" s="850"/>
      <c r="BJ135" s="850"/>
      <c r="BK135" s="850"/>
      <c r="BL135" s="850"/>
      <c r="BM135" s="850"/>
      <c r="BN135" s="850"/>
      <c r="BO135" s="850"/>
      <c r="BP135" s="850"/>
      <c r="BQ135" s="850"/>
      <c r="BR135" s="850"/>
      <c r="BS135" s="850"/>
      <c r="BT135" s="850"/>
      <c r="BU135" s="850"/>
    </row>
    <row r="136" spans="39:73" s="165" customFormat="1">
      <c r="AM136" s="850"/>
      <c r="AN136" s="850"/>
      <c r="AO136" s="850"/>
      <c r="AP136" s="850"/>
      <c r="AQ136" s="850"/>
      <c r="AR136" s="850"/>
      <c r="AS136" s="850"/>
      <c r="AT136" s="850"/>
      <c r="AU136" s="850"/>
      <c r="AV136" s="850"/>
      <c r="AW136" s="850"/>
      <c r="AX136" s="850"/>
      <c r="AY136" s="850"/>
      <c r="AZ136" s="850"/>
      <c r="BA136" s="850"/>
      <c r="BB136" s="850"/>
      <c r="BC136" s="850"/>
      <c r="BD136" s="850"/>
      <c r="BE136" s="850"/>
      <c r="BF136" s="850"/>
      <c r="BG136" s="850"/>
      <c r="BH136" s="850"/>
      <c r="BI136" s="850"/>
      <c r="BJ136" s="850"/>
      <c r="BK136" s="850"/>
      <c r="BL136" s="850"/>
      <c r="BM136" s="850"/>
      <c r="BN136" s="850"/>
      <c r="BO136" s="850"/>
      <c r="BP136" s="850"/>
      <c r="BQ136" s="850"/>
      <c r="BR136" s="850"/>
      <c r="BS136" s="850"/>
      <c r="BT136" s="850"/>
      <c r="BU136" s="850"/>
    </row>
    <row r="137" spans="39:73" s="165" customFormat="1">
      <c r="AM137" s="850"/>
      <c r="AN137" s="850"/>
      <c r="AO137" s="850"/>
      <c r="AP137" s="850"/>
      <c r="AQ137" s="850"/>
      <c r="AR137" s="850"/>
      <c r="AS137" s="850"/>
      <c r="AT137" s="850"/>
      <c r="AU137" s="850"/>
      <c r="AV137" s="850"/>
      <c r="AW137" s="850"/>
      <c r="AX137" s="850"/>
      <c r="AY137" s="850"/>
      <c r="AZ137" s="850"/>
      <c r="BA137" s="850"/>
      <c r="BB137" s="850"/>
      <c r="BC137" s="850"/>
      <c r="BD137" s="850"/>
      <c r="BE137" s="850"/>
      <c r="BF137" s="850"/>
      <c r="BG137" s="850"/>
      <c r="BH137" s="850"/>
      <c r="BI137" s="850"/>
      <c r="BJ137" s="850"/>
      <c r="BK137" s="850"/>
      <c r="BL137" s="850"/>
      <c r="BM137" s="850"/>
      <c r="BN137" s="850"/>
      <c r="BO137" s="850"/>
      <c r="BP137" s="850"/>
      <c r="BQ137" s="850"/>
      <c r="BR137" s="850"/>
      <c r="BS137" s="850"/>
      <c r="BT137" s="850"/>
      <c r="BU137" s="850"/>
    </row>
    <row r="138" spans="39:73" s="165" customFormat="1">
      <c r="AM138" s="850"/>
      <c r="AN138" s="850"/>
      <c r="AO138" s="850"/>
      <c r="AP138" s="850"/>
      <c r="AQ138" s="850"/>
      <c r="AR138" s="850"/>
      <c r="AS138" s="850"/>
      <c r="AT138" s="850"/>
      <c r="AU138" s="850"/>
      <c r="AV138" s="850"/>
      <c r="AW138" s="850"/>
      <c r="AX138" s="850"/>
      <c r="AY138" s="850"/>
      <c r="AZ138" s="850"/>
      <c r="BA138" s="850"/>
      <c r="BB138" s="850"/>
      <c r="BC138" s="850"/>
      <c r="BD138" s="850"/>
      <c r="BE138" s="850"/>
      <c r="BF138" s="850"/>
      <c r="BG138" s="850"/>
      <c r="BH138" s="850"/>
      <c r="BI138" s="850"/>
      <c r="BJ138" s="850"/>
      <c r="BK138" s="850"/>
      <c r="BL138" s="850"/>
      <c r="BM138" s="850"/>
      <c r="BN138" s="850"/>
      <c r="BO138" s="850"/>
      <c r="BP138" s="850"/>
      <c r="BQ138" s="850"/>
      <c r="BR138" s="850"/>
      <c r="BS138" s="850"/>
      <c r="BT138" s="850"/>
      <c r="BU138" s="850"/>
    </row>
    <row r="139" spans="39:73" s="165" customFormat="1">
      <c r="AM139" s="850"/>
      <c r="AN139" s="850"/>
      <c r="AO139" s="850"/>
      <c r="AP139" s="850"/>
      <c r="AQ139" s="850"/>
      <c r="AR139" s="850"/>
      <c r="AS139" s="850"/>
      <c r="AT139" s="850"/>
      <c r="AU139" s="850"/>
      <c r="AV139" s="850"/>
      <c r="AW139" s="850"/>
      <c r="AX139" s="850"/>
      <c r="AY139" s="850"/>
      <c r="AZ139" s="850"/>
      <c r="BA139" s="850"/>
      <c r="BB139" s="850"/>
      <c r="BC139" s="850"/>
      <c r="BD139" s="850"/>
      <c r="BE139" s="850"/>
      <c r="BF139" s="850"/>
      <c r="BG139" s="850"/>
      <c r="BH139" s="850"/>
      <c r="BI139" s="850"/>
      <c r="BJ139" s="850"/>
      <c r="BK139" s="850"/>
      <c r="BL139" s="850"/>
      <c r="BM139" s="850"/>
      <c r="BN139" s="850"/>
      <c r="BO139" s="850"/>
      <c r="BP139" s="850"/>
      <c r="BQ139" s="850"/>
      <c r="BR139" s="850"/>
      <c r="BS139" s="850"/>
      <c r="BT139" s="850"/>
      <c r="BU139" s="850"/>
    </row>
    <row r="140" spans="39:73" s="165" customFormat="1">
      <c r="AM140" s="850"/>
      <c r="AN140" s="850"/>
      <c r="AO140" s="850"/>
      <c r="AP140" s="850"/>
      <c r="AQ140" s="850"/>
      <c r="AR140" s="850"/>
      <c r="AS140" s="850"/>
      <c r="AT140" s="850"/>
      <c r="AU140" s="850"/>
      <c r="AV140" s="850"/>
      <c r="AW140" s="850"/>
      <c r="AX140" s="850"/>
      <c r="AY140" s="850"/>
      <c r="AZ140" s="850"/>
      <c r="BA140" s="850"/>
      <c r="BB140" s="850"/>
      <c r="BC140" s="850"/>
      <c r="BD140" s="850"/>
      <c r="BE140" s="850"/>
      <c r="BF140" s="850"/>
      <c r="BG140" s="850"/>
      <c r="BH140" s="850"/>
      <c r="BI140" s="850"/>
      <c r="BJ140" s="850"/>
      <c r="BK140" s="850"/>
      <c r="BL140" s="850"/>
      <c r="BM140" s="850"/>
      <c r="BN140" s="850"/>
      <c r="BO140" s="850"/>
      <c r="BP140" s="850"/>
      <c r="BQ140" s="850"/>
      <c r="BR140" s="850"/>
      <c r="BS140" s="850"/>
      <c r="BT140" s="850"/>
      <c r="BU140" s="850"/>
    </row>
    <row r="141" spans="39:73" s="165" customFormat="1">
      <c r="AM141" s="850"/>
      <c r="AN141" s="850"/>
      <c r="AO141" s="850"/>
      <c r="AP141" s="850"/>
      <c r="AQ141" s="850"/>
      <c r="AR141" s="850"/>
      <c r="AS141" s="850"/>
      <c r="AT141" s="850"/>
      <c r="AU141" s="850"/>
      <c r="AV141" s="850"/>
      <c r="AW141" s="850"/>
      <c r="AX141" s="850"/>
      <c r="AY141" s="850"/>
      <c r="AZ141" s="850"/>
      <c r="BA141" s="850"/>
      <c r="BB141" s="850"/>
      <c r="BC141" s="850"/>
      <c r="BD141" s="850"/>
      <c r="BE141" s="850"/>
      <c r="BF141" s="850"/>
      <c r="BG141" s="850"/>
      <c r="BH141" s="850"/>
      <c r="BI141" s="850"/>
      <c r="BJ141" s="850"/>
      <c r="BK141" s="850"/>
      <c r="BL141" s="850"/>
      <c r="BM141" s="850"/>
      <c r="BN141" s="850"/>
      <c r="BO141" s="850"/>
      <c r="BP141" s="850"/>
      <c r="BQ141" s="850"/>
      <c r="BR141" s="850"/>
      <c r="BS141" s="850"/>
      <c r="BT141" s="850"/>
      <c r="BU141" s="850"/>
    </row>
    <row r="142" spans="39:73" s="165" customFormat="1">
      <c r="AM142" s="850"/>
      <c r="AN142" s="850"/>
      <c r="AO142" s="850"/>
      <c r="AP142" s="850"/>
      <c r="AQ142" s="850"/>
      <c r="AR142" s="850"/>
      <c r="AS142" s="850"/>
      <c r="AT142" s="850"/>
      <c r="AU142" s="850"/>
      <c r="AV142" s="850"/>
      <c r="AW142" s="850"/>
      <c r="AX142" s="850"/>
      <c r="AY142" s="850"/>
      <c r="AZ142" s="850"/>
      <c r="BA142" s="850"/>
      <c r="BB142" s="850"/>
      <c r="BC142" s="850"/>
      <c r="BD142" s="850"/>
      <c r="BE142" s="850"/>
      <c r="BF142" s="850"/>
      <c r="BG142" s="850"/>
      <c r="BH142" s="850"/>
      <c r="BI142" s="850"/>
      <c r="BJ142" s="850"/>
      <c r="BK142" s="850"/>
      <c r="BL142" s="850"/>
      <c r="BM142" s="850"/>
      <c r="BN142" s="850"/>
      <c r="BO142" s="850"/>
      <c r="BP142" s="850"/>
      <c r="BQ142" s="850"/>
      <c r="BR142" s="850"/>
      <c r="BS142" s="850"/>
      <c r="BT142" s="850"/>
      <c r="BU142" s="850"/>
    </row>
    <row r="143" spans="39:73" s="165" customFormat="1">
      <c r="AM143" s="850"/>
      <c r="AN143" s="850"/>
      <c r="AO143" s="850"/>
      <c r="AP143" s="850"/>
      <c r="AQ143" s="850"/>
      <c r="AR143" s="850"/>
      <c r="AS143" s="850"/>
      <c r="AT143" s="850"/>
      <c r="AU143" s="850"/>
      <c r="AV143" s="850"/>
      <c r="AW143" s="850"/>
      <c r="AX143" s="850"/>
      <c r="AY143" s="850"/>
      <c r="AZ143" s="850"/>
      <c r="BA143" s="850"/>
      <c r="BB143" s="850"/>
      <c r="BC143" s="850"/>
      <c r="BD143" s="850"/>
      <c r="BE143" s="850"/>
      <c r="BF143" s="850"/>
      <c r="BG143" s="850"/>
      <c r="BH143" s="850"/>
      <c r="BI143" s="850"/>
      <c r="BJ143" s="850"/>
      <c r="BK143" s="850"/>
      <c r="BL143" s="850"/>
      <c r="BM143" s="850"/>
      <c r="BN143" s="850"/>
      <c r="BO143" s="850"/>
      <c r="BP143" s="850"/>
      <c r="BQ143" s="850"/>
      <c r="BR143" s="850"/>
      <c r="BS143" s="850"/>
      <c r="BT143" s="850"/>
      <c r="BU143" s="850"/>
    </row>
    <row r="144" spans="39:73" s="165" customFormat="1">
      <c r="AM144" s="850"/>
      <c r="AN144" s="850"/>
      <c r="AO144" s="850"/>
      <c r="AP144" s="850"/>
      <c r="AQ144" s="850"/>
      <c r="AR144" s="850"/>
      <c r="AS144" s="850"/>
      <c r="AT144" s="850"/>
      <c r="AU144" s="850"/>
      <c r="AV144" s="850"/>
      <c r="AW144" s="850"/>
      <c r="AX144" s="850"/>
      <c r="AY144" s="850"/>
      <c r="AZ144" s="850"/>
      <c r="BA144" s="850"/>
      <c r="BB144" s="850"/>
      <c r="BC144" s="850"/>
      <c r="BD144" s="850"/>
      <c r="BE144" s="850"/>
      <c r="BF144" s="850"/>
      <c r="BG144" s="850"/>
      <c r="BH144" s="850"/>
      <c r="BI144" s="850"/>
      <c r="BJ144" s="850"/>
      <c r="BK144" s="850"/>
      <c r="BL144" s="850"/>
      <c r="BM144" s="850"/>
      <c r="BN144" s="850"/>
      <c r="BO144" s="850"/>
      <c r="BP144" s="850"/>
      <c r="BQ144" s="850"/>
      <c r="BR144" s="850"/>
      <c r="BS144" s="850"/>
      <c r="BT144" s="850"/>
      <c r="BU144" s="850"/>
    </row>
    <row r="145" spans="39:73" s="165" customFormat="1">
      <c r="AM145" s="850"/>
      <c r="AN145" s="850"/>
      <c r="AO145" s="850"/>
      <c r="AP145" s="850"/>
      <c r="AQ145" s="850"/>
      <c r="AR145" s="850"/>
      <c r="AS145" s="850"/>
      <c r="AT145" s="850"/>
      <c r="AU145" s="850"/>
      <c r="AV145" s="850"/>
      <c r="AW145" s="850"/>
      <c r="AX145" s="850"/>
      <c r="AY145" s="850"/>
      <c r="AZ145" s="850"/>
      <c r="BA145" s="850"/>
      <c r="BB145" s="850"/>
      <c r="BC145" s="850"/>
      <c r="BD145" s="850"/>
      <c r="BE145" s="850"/>
      <c r="BF145" s="850"/>
      <c r="BG145" s="850"/>
      <c r="BH145" s="850"/>
      <c r="BI145" s="850"/>
      <c r="BJ145" s="850"/>
      <c r="BK145" s="850"/>
      <c r="BL145" s="850"/>
      <c r="BM145" s="850"/>
      <c r="BN145" s="850"/>
      <c r="BO145" s="850"/>
      <c r="BP145" s="850"/>
      <c r="BQ145" s="850"/>
      <c r="BR145" s="850"/>
      <c r="BS145" s="850"/>
      <c r="BT145" s="850"/>
      <c r="BU145" s="850"/>
    </row>
    <row r="146" spans="39:73" s="165" customFormat="1">
      <c r="AM146" s="850"/>
      <c r="AN146" s="850"/>
      <c r="AO146" s="850"/>
      <c r="AP146" s="850"/>
      <c r="AQ146" s="850"/>
      <c r="AR146" s="850"/>
      <c r="AS146" s="850"/>
      <c r="AT146" s="850"/>
      <c r="AU146" s="850"/>
      <c r="AV146" s="850"/>
      <c r="AW146" s="850"/>
      <c r="AX146" s="850"/>
      <c r="AY146" s="850"/>
      <c r="AZ146" s="850"/>
      <c r="BA146" s="850"/>
      <c r="BB146" s="850"/>
      <c r="BC146" s="850"/>
      <c r="BD146" s="850"/>
      <c r="BE146" s="850"/>
      <c r="BF146" s="850"/>
      <c r="BG146" s="850"/>
      <c r="BH146" s="850"/>
      <c r="BI146" s="850"/>
      <c r="BJ146" s="850"/>
      <c r="BK146" s="850"/>
      <c r="BL146" s="850"/>
      <c r="BM146" s="850"/>
      <c r="BN146" s="850"/>
      <c r="BO146" s="850"/>
      <c r="BP146" s="850"/>
      <c r="BQ146" s="850"/>
      <c r="BR146" s="850"/>
      <c r="BS146" s="850"/>
      <c r="BT146" s="850"/>
      <c r="BU146" s="850"/>
    </row>
    <row r="147" spans="39:73" s="165" customFormat="1">
      <c r="AM147" s="850"/>
      <c r="AN147" s="850"/>
      <c r="AO147" s="850"/>
      <c r="AP147" s="850"/>
      <c r="AQ147" s="850"/>
      <c r="AR147" s="850"/>
      <c r="AS147" s="850"/>
      <c r="AT147" s="850"/>
      <c r="AU147" s="850"/>
      <c r="AV147" s="850"/>
      <c r="AW147" s="850"/>
      <c r="AX147" s="850"/>
      <c r="AY147" s="850"/>
      <c r="AZ147" s="850"/>
      <c r="BA147" s="850"/>
      <c r="BB147" s="850"/>
      <c r="BC147" s="850"/>
      <c r="BD147" s="850"/>
      <c r="BE147" s="850"/>
      <c r="BF147" s="850"/>
      <c r="BG147" s="850"/>
      <c r="BH147" s="850"/>
      <c r="BI147" s="850"/>
      <c r="BJ147" s="850"/>
      <c r="BK147" s="850"/>
      <c r="BL147" s="850"/>
      <c r="BM147" s="850"/>
      <c r="BN147" s="850"/>
      <c r="BO147" s="850"/>
      <c r="BP147" s="850"/>
      <c r="BQ147" s="850"/>
      <c r="BR147" s="850"/>
      <c r="BS147" s="850"/>
      <c r="BT147" s="850"/>
      <c r="BU147" s="850"/>
    </row>
    <row r="148" spans="39:73" s="165" customFormat="1">
      <c r="AM148" s="850"/>
      <c r="AN148" s="850"/>
      <c r="AO148" s="850"/>
      <c r="AP148" s="850"/>
      <c r="AQ148" s="850"/>
      <c r="AR148" s="850"/>
      <c r="AS148" s="850"/>
      <c r="AT148" s="850"/>
      <c r="AU148" s="850"/>
      <c r="AV148" s="850"/>
      <c r="AW148" s="850"/>
      <c r="AX148" s="850"/>
      <c r="AY148" s="850"/>
      <c r="AZ148" s="850"/>
      <c r="BA148" s="850"/>
      <c r="BB148" s="850"/>
      <c r="BC148" s="850"/>
      <c r="BD148" s="850"/>
      <c r="BE148" s="850"/>
      <c r="BF148" s="850"/>
      <c r="BG148" s="850"/>
      <c r="BH148" s="850"/>
      <c r="BI148" s="850"/>
      <c r="BJ148" s="850"/>
      <c r="BK148" s="850"/>
      <c r="BL148" s="850"/>
      <c r="BM148" s="850"/>
      <c r="BN148" s="850"/>
      <c r="BO148" s="850"/>
      <c r="BP148" s="850"/>
      <c r="BQ148" s="850"/>
      <c r="BR148" s="850"/>
      <c r="BS148" s="850"/>
      <c r="BT148" s="850"/>
      <c r="BU148" s="850"/>
    </row>
    <row r="149" spans="39:73" s="165" customFormat="1">
      <c r="AM149" s="850"/>
      <c r="AN149" s="850"/>
      <c r="AO149" s="850"/>
      <c r="AP149" s="850"/>
      <c r="AQ149" s="850"/>
      <c r="AR149" s="850"/>
      <c r="AS149" s="850"/>
      <c r="AT149" s="850"/>
      <c r="AU149" s="850"/>
      <c r="AV149" s="850"/>
      <c r="AW149" s="850"/>
      <c r="AX149" s="850"/>
      <c r="AY149" s="850"/>
      <c r="AZ149" s="850"/>
      <c r="BA149" s="850"/>
      <c r="BB149" s="850"/>
      <c r="BC149" s="850"/>
      <c r="BD149" s="850"/>
      <c r="BE149" s="850"/>
      <c r="BF149" s="850"/>
      <c r="BG149" s="850"/>
      <c r="BH149" s="850"/>
      <c r="BI149" s="850"/>
      <c r="BJ149" s="850"/>
      <c r="BK149" s="850"/>
      <c r="BL149" s="850"/>
      <c r="BM149" s="850"/>
      <c r="BN149" s="850"/>
      <c r="BO149" s="850"/>
      <c r="BP149" s="850"/>
      <c r="BQ149" s="850"/>
      <c r="BR149" s="850"/>
      <c r="BS149" s="850"/>
      <c r="BT149" s="850"/>
      <c r="BU149" s="850"/>
    </row>
    <row r="150" spans="39:73" s="165" customFormat="1">
      <c r="AM150" s="850"/>
      <c r="AN150" s="850"/>
      <c r="AO150" s="850"/>
      <c r="AP150" s="850"/>
      <c r="AQ150" s="850"/>
      <c r="AR150" s="850"/>
      <c r="AS150" s="850"/>
      <c r="AT150" s="850"/>
      <c r="AU150" s="850"/>
      <c r="AV150" s="850"/>
      <c r="AW150" s="850"/>
      <c r="AX150" s="850"/>
      <c r="AY150" s="850"/>
      <c r="AZ150" s="850"/>
      <c r="BA150" s="850"/>
      <c r="BB150" s="850"/>
      <c r="BC150" s="850"/>
      <c r="BD150" s="850"/>
      <c r="BE150" s="850"/>
      <c r="BF150" s="850"/>
      <c r="BG150" s="850"/>
      <c r="BH150" s="850"/>
      <c r="BI150" s="850"/>
      <c r="BJ150" s="850"/>
      <c r="BK150" s="850"/>
      <c r="BL150" s="850"/>
      <c r="BM150" s="850"/>
      <c r="BN150" s="850"/>
      <c r="BO150" s="850"/>
      <c r="BP150" s="850"/>
      <c r="BQ150" s="850"/>
      <c r="BR150" s="850"/>
      <c r="BS150" s="850"/>
      <c r="BT150" s="850"/>
      <c r="BU150" s="850"/>
    </row>
    <row r="151" spans="39:73" s="165" customFormat="1">
      <c r="AM151" s="850"/>
      <c r="AN151" s="850"/>
      <c r="AO151" s="850"/>
      <c r="AP151" s="850"/>
      <c r="AQ151" s="850"/>
      <c r="AR151" s="850"/>
      <c r="AS151" s="850"/>
      <c r="AT151" s="850"/>
      <c r="AU151" s="850"/>
      <c r="AV151" s="850"/>
      <c r="AW151" s="850"/>
      <c r="AX151" s="850"/>
      <c r="AY151" s="850"/>
      <c r="AZ151" s="850"/>
      <c r="BA151" s="850"/>
      <c r="BB151" s="850"/>
      <c r="BC151" s="850"/>
      <c r="BD151" s="850"/>
      <c r="BE151" s="850"/>
      <c r="BF151" s="850"/>
      <c r="BG151" s="850"/>
      <c r="BH151" s="850"/>
      <c r="BI151" s="850"/>
      <c r="BJ151" s="850"/>
      <c r="BK151" s="850"/>
      <c r="BL151" s="850"/>
      <c r="BM151" s="850"/>
      <c r="BN151" s="850"/>
      <c r="BO151" s="850"/>
      <c r="BP151" s="850"/>
      <c r="BQ151" s="850"/>
      <c r="BR151" s="850"/>
      <c r="BS151" s="850"/>
      <c r="BT151" s="850"/>
      <c r="BU151" s="850"/>
    </row>
    <row r="152" spans="39:73" s="165" customFormat="1">
      <c r="AM152" s="850"/>
      <c r="AN152" s="850"/>
      <c r="AO152" s="850"/>
      <c r="AP152" s="850"/>
      <c r="AQ152" s="850"/>
      <c r="AR152" s="850"/>
      <c r="AS152" s="850"/>
      <c r="AT152" s="850"/>
      <c r="AU152" s="850"/>
      <c r="AV152" s="850"/>
      <c r="AW152" s="850"/>
      <c r="AX152" s="850"/>
      <c r="AY152" s="850"/>
      <c r="AZ152" s="850"/>
      <c r="BA152" s="850"/>
      <c r="BB152" s="850"/>
      <c r="BC152" s="850"/>
      <c r="BD152" s="850"/>
      <c r="BE152" s="850"/>
      <c r="BF152" s="850"/>
      <c r="BG152" s="850"/>
      <c r="BH152" s="850"/>
      <c r="BI152" s="850"/>
      <c r="BJ152" s="850"/>
      <c r="BK152" s="850"/>
      <c r="BL152" s="850"/>
      <c r="BM152" s="850"/>
      <c r="BN152" s="850"/>
      <c r="BO152" s="850"/>
      <c r="BP152" s="850"/>
      <c r="BQ152" s="850"/>
      <c r="BR152" s="850"/>
      <c r="BS152" s="850"/>
      <c r="BT152" s="850"/>
      <c r="BU152" s="850"/>
    </row>
    <row r="153" spans="39:73" s="165" customFormat="1">
      <c r="AM153" s="850"/>
      <c r="AN153" s="850"/>
      <c r="AO153" s="850"/>
      <c r="AP153" s="850"/>
      <c r="AQ153" s="850"/>
      <c r="AR153" s="850"/>
      <c r="AS153" s="850"/>
      <c r="AT153" s="850"/>
      <c r="AU153" s="850"/>
      <c r="AV153" s="850"/>
      <c r="AW153" s="850"/>
      <c r="AX153" s="850"/>
      <c r="AY153" s="850"/>
      <c r="AZ153" s="850"/>
      <c r="BA153" s="850"/>
      <c r="BB153" s="850"/>
      <c r="BC153" s="850"/>
      <c r="BD153" s="850"/>
      <c r="BE153" s="850"/>
      <c r="BF153" s="850"/>
      <c r="BG153" s="850"/>
      <c r="BH153" s="850"/>
      <c r="BI153" s="850"/>
      <c r="BJ153" s="850"/>
      <c r="BK153" s="850"/>
      <c r="BL153" s="850"/>
      <c r="BM153" s="850"/>
      <c r="BN153" s="850"/>
      <c r="BO153" s="850"/>
      <c r="BP153" s="850"/>
      <c r="BQ153" s="850"/>
      <c r="BR153" s="850"/>
      <c r="BS153" s="850"/>
      <c r="BT153" s="850"/>
      <c r="BU153" s="850"/>
    </row>
    <row r="154" spans="39:73" s="165" customFormat="1">
      <c r="AM154" s="850"/>
      <c r="AN154" s="850"/>
      <c r="AO154" s="850"/>
      <c r="AP154" s="850"/>
      <c r="AQ154" s="850"/>
      <c r="AR154" s="850"/>
      <c r="AS154" s="850"/>
      <c r="AT154" s="850"/>
      <c r="AU154" s="850"/>
      <c r="AV154" s="850"/>
      <c r="AW154" s="850"/>
      <c r="AX154" s="850"/>
      <c r="AY154" s="850"/>
      <c r="AZ154" s="850"/>
      <c r="BA154" s="850"/>
      <c r="BB154" s="850"/>
      <c r="BC154" s="850"/>
      <c r="BD154" s="850"/>
      <c r="BE154" s="850"/>
      <c r="BF154" s="850"/>
      <c r="BG154" s="850"/>
      <c r="BH154" s="850"/>
      <c r="BI154" s="850"/>
      <c r="BJ154" s="850"/>
      <c r="BK154" s="850"/>
      <c r="BL154" s="850"/>
      <c r="BM154" s="850"/>
      <c r="BN154" s="850"/>
      <c r="BO154" s="850"/>
      <c r="BP154" s="850"/>
      <c r="BQ154" s="850"/>
      <c r="BR154" s="850"/>
      <c r="BS154" s="850"/>
      <c r="BT154" s="850"/>
      <c r="BU154" s="850"/>
    </row>
    <row r="155" spans="39:73" s="165" customFormat="1">
      <c r="AM155" s="850"/>
      <c r="AN155" s="850"/>
      <c r="AO155" s="850"/>
      <c r="AP155" s="850"/>
      <c r="AQ155" s="850"/>
      <c r="AR155" s="850"/>
      <c r="AS155" s="850"/>
      <c r="AT155" s="850"/>
      <c r="AU155" s="850"/>
      <c r="AV155" s="850"/>
      <c r="AW155" s="850"/>
      <c r="AX155" s="850"/>
      <c r="AY155" s="850"/>
      <c r="AZ155" s="850"/>
      <c r="BA155" s="850"/>
      <c r="BB155" s="850"/>
      <c r="BC155" s="850"/>
      <c r="BD155" s="850"/>
      <c r="BE155" s="850"/>
      <c r="BF155" s="850"/>
      <c r="BG155" s="850"/>
      <c r="BH155" s="850"/>
      <c r="BI155" s="850"/>
      <c r="BJ155" s="850"/>
      <c r="BK155" s="850"/>
      <c r="BL155" s="850"/>
      <c r="BM155" s="850"/>
      <c r="BN155" s="850"/>
      <c r="BO155" s="850"/>
      <c r="BP155" s="850"/>
      <c r="BQ155" s="850"/>
      <c r="BR155" s="850"/>
      <c r="BS155" s="850"/>
      <c r="BT155" s="850"/>
      <c r="BU155" s="850"/>
    </row>
    <row r="156" spans="39:73" s="165" customFormat="1">
      <c r="AM156" s="850"/>
      <c r="AN156" s="850"/>
      <c r="AO156" s="850"/>
      <c r="AP156" s="850"/>
      <c r="AQ156" s="850"/>
      <c r="AR156" s="850"/>
      <c r="AS156" s="850"/>
      <c r="AT156" s="850"/>
      <c r="AU156" s="850"/>
      <c r="AV156" s="850"/>
      <c r="AW156" s="850"/>
      <c r="AX156" s="850"/>
      <c r="AY156" s="850"/>
      <c r="AZ156" s="850"/>
      <c r="BA156" s="850"/>
      <c r="BB156" s="850"/>
      <c r="BC156" s="850"/>
      <c r="BD156" s="850"/>
      <c r="BE156" s="850"/>
      <c r="BF156" s="850"/>
      <c r="BG156" s="850"/>
      <c r="BH156" s="850"/>
      <c r="BI156" s="850"/>
      <c r="BJ156" s="850"/>
      <c r="BK156" s="850"/>
      <c r="BL156" s="850"/>
      <c r="BM156" s="850"/>
      <c r="BN156" s="850"/>
      <c r="BO156" s="850"/>
      <c r="BP156" s="850"/>
      <c r="BQ156" s="850"/>
      <c r="BR156" s="850"/>
      <c r="BS156" s="850"/>
      <c r="BT156" s="850"/>
      <c r="BU156" s="850"/>
    </row>
    <row r="157" spans="39:73" s="165" customFormat="1">
      <c r="AM157" s="850"/>
      <c r="AN157" s="850"/>
      <c r="AO157" s="850"/>
      <c r="AP157" s="850"/>
      <c r="AQ157" s="850"/>
      <c r="AR157" s="850"/>
      <c r="AS157" s="850"/>
      <c r="AT157" s="850"/>
      <c r="AU157" s="850"/>
      <c r="AV157" s="850"/>
      <c r="AW157" s="850"/>
      <c r="AX157" s="850"/>
      <c r="AY157" s="850"/>
      <c r="AZ157" s="850"/>
      <c r="BA157" s="850"/>
      <c r="BB157" s="850"/>
      <c r="BC157" s="850"/>
      <c r="BD157" s="850"/>
      <c r="BE157" s="850"/>
      <c r="BF157" s="850"/>
      <c r="BG157" s="850"/>
      <c r="BH157" s="850"/>
      <c r="BI157" s="850"/>
      <c r="BJ157" s="850"/>
      <c r="BK157" s="850"/>
      <c r="BL157" s="850"/>
      <c r="BM157" s="850"/>
      <c r="BN157" s="850"/>
      <c r="BO157" s="850"/>
      <c r="BP157" s="850"/>
      <c r="BQ157" s="850"/>
      <c r="BR157" s="850"/>
      <c r="BS157" s="850"/>
      <c r="BT157" s="850"/>
      <c r="BU157" s="850"/>
    </row>
    <row r="158" spans="39:73" s="165" customFormat="1">
      <c r="AM158" s="850"/>
      <c r="AN158" s="850"/>
      <c r="AO158" s="850"/>
      <c r="AP158" s="850"/>
      <c r="AQ158" s="850"/>
      <c r="AR158" s="850"/>
      <c r="AS158" s="850"/>
      <c r="AT158" s="850"/>
      <c r="AU158" s="850"/>
      <c r="AV158" s="850"/>
      <c r="AW158" s="850"/>
      <c r="AX158" s="850"/>
      <c r="AY158" s="850"/>
      <c r="AZ158" s="850"/>
      <c r="BA158" s="850"/>
      <c r="BB158" s="850"/>
      <c r="BC158" s="850"/>
      <c r="BD158" s="850"/>
      <c r="BE158" s="850"/>
      <c r="BF158" s="850"/>
      <c r="BG158" s="850"/>
      <c r="BH158" s="850"/>
      <c r="BI158" s="850"/>
      <c r="BJ158" s="850"/>
      <c r="BK158" s="850"/>
      <c r="BL158" s="850"/>
      <c r="BM158" s="850"/>
      <c r="BN158" s="850"/>
      <c r="BO158" s="850"/>
      <c r="BP158" s="850"/>
      <c r="BQ158" s="850"/>
      <c r="BR158" s="850"/>
      <c r="BS158" s="850"/>
      <c r="BT158" s="850"/>
      <c r="BU158" s="850"/>
    </row>
    <row r="159" spans="39:73" s="165" customFormat="1">
      <c r="AM159" s="850"/>
      <c r="AN159" s="850"/>
      <c r="AO159" s="850"/>
      <c r="AP159" s="850"/>
      <c r="AQ159" s="850"/>
      <c r="AR159" s="850"/>
      <c r="AS159" s="850"/>
      <c r="AT159" s="850"/>
      <c r="AU159" s="850"/>
      <c r="AV159" s="850"/>
      <c r="AW159" s="850"/>
      <c r="AX159" s="850"/>
      <c r="AY159" s="850"/>
      <c r="AZ159" s="850"/>
      <c r="BA159" s="850"/>
      <c r="BB159" s="850"/>
      <c r="BC159" s="850"/>
      <c r="BD159" s="850"/>
      <c r="BE159" s="850"/>
      <c r="BF159" s="850"/>
      <c r="BG159" s="850"/>
      <c r="BH159" s="850"/>
      <c r="BI159" s="850"/>
      <c r="BJ159" s="850"/>
      <c r="BK159" s="850"/>
      <c r="BL159" s="850"/>
      <c r="BM159" s="850"/>
      <c r="BN159" s="850"/>
      <c r="BO159" s="850"/>
      <c r="BP159" s="850"/>
      <c r="BQ159" s="850"/>
      <c r="BR159" s="850"/>
      <c r="BS159" s="850"/>
      <c r="BT159" s="850"/>
      <c r="BU159" s="850"/>
    </row>
    <row r="160" spans="39:73" s="165" customFormat="1">
      <c r="AM160" s="850"/>
      <c r="AN160" s="850"/>
      <c r="AO160" s="850"/>
      <c r="AP160" s="850"/>
      <c r="AQ160" s="850"/>
      <c r="AR160" s="850"/>
      <c r="AS160" s="850"/>
      <c r="AT160" s="850"/>
      <c r="AU160" s="850"/>
      <c r="AV160" s="850"/>
      <c r="AW160" s="850"/>
      <c r="AX160" s="850"/>
      <c r="AY160" s="850"/>
      <c r="AZ160" s="850"/>
      <c r="BA160" s="850"/>
      <c r="BB160" s="850"/>
      <c r="BC160" s="850"/>
      <c r="BD160" s="850"/>
      <c r="BE160" s="850"/>
      <c r="BF160" s="850"/>
      <c r="BG160" s="850"/>
      <c r="BH160" s="850"/>
      <c r="BI160" s="850"/>
      <c r="BJ160" s="850"/>
      <c r="BK160" s="850"/>
      <c r="BL160" s="850"/>
      <c r="BM160" s="850"/>
      <c r="BN160" s="850"/>
      <c r="BO160" s="850"/>
      <c r="BP160" s="850"/>
      <c r="BQ160" s="850"/>
      <c r="BR160" s="850"/>
      <c r="BS160" s="850"/>
      <c r="BT160" s="850"/>
      <c r="BU160" s="850"/>
    </row>
    <row r="161" spans="39:73" s="165" customFormat="1">
      <c r="AM161" s="850"/>
      <c r="AN161" s="850"/>
      <c r="AO161" s="850"/>
      <c r="AP161" s="850"/>
      <c r="AQ161" s="850"/>
      <c r="AR161" s="850"/>
      <c r="AS161" s="850"/>
      <c r="AT161" s="850"/>
      <c r="AU161" s="850"/>
      <c r="AV161" s="850"/>
      <c r="AW161" s="850"/>
      <c r="AX161" s="850"/>
      <c r="AY161" s="850"/>
      <c r="AZ161" s="850"/>
      <c r="BA161" s="850"/>
      <c r="BB161" s="850"/>
      <c r="BC161" s="850"/>
      <c r="BD161" s="850"/>
      <c r="BE161" s="850"/>
      <c r="BF161" s="850"/>
      <c r="BG161" s="850"/>
      <c r="BH161" s="850"/>
      <c r="BI161" s="850"/>
      <c r="BJ161" s="850"/>
      <c r="BK161" s="850"/>
      <c r="BL161" s="850"/>
      <c r="BM161" s="850"/>
      <c r="BN161" s="850"/>
      <c r="BO161" s="850"/>
      <c r="BP161" s="850"/>
      <c r="BQ161" s="850"/>
      <c r="BR161" s="850"/>
      <c r="BS161" s="850"/>
      <c r="BT161" s="850"/>
      <c r="BU161" s="850"/>
    </row>
    <row r="162" spans="39:73" s="165" customFormat="1">
      <c r="AM162" s="850"/>
      <c r="AN162" s="850"/>
      <c r="AO162" s="850"/>
      <c r="AP162" s="850"/>
      <c r="AQ162" s="850"/>
      <c r="AR162" s="850"/>
      <c r="AS162" s="850"/>
      <c r="AT162" s="850"/>
      <c r="AU162" s="850"/>
      <c r="AV162" s="850"/>
      <c r="AW162" s="850"/>
      <c r="AX162" s="850"/>
      <c r="AY162" s="850"/>
      <c r="AZ162" s="850"/>
      <c r="BA162" s="850"/>
      <c r="BB162" s="850"/>
      <c r="BC162" s="850"/>
      <c r="BD162" s="850"/>
      <c r="BE162" s="850"/>
      <c r="BF162" s="850"/>
      <c r="BG162" s="850"/>
      <c r="BH162" s="850"/>
      <c r="BI162" s="850"/>
      <c r="BJ162" s="850"/>
      <c r="BK162" s="850"/>
      <c r="BL162" s="850"/>
      <c r="BM162" s="850"/>
      <c r="BN162" s="850"/>
      <c r="BO162" s="850"/>
      <c r="BP162" s="850"/>
      <c r="BQ162" s="850"/>
      <c r="BR162" s="850"/>
      <c r="BS162" s="850"/>
      <c r="BT162" s="850"/>
      <c r="BU162" s="850"/>
    </row>
    <row r="163" spans="39:73" s="165" customFormat="1">
      <c r="AM163" s="850"/>
      <c r="AN163" s="850"/>
      <c r="AO163" s="850"/>
      <c r="AP163" s="850"/>
      <c r="AQ163" s="850"/>
      <c r="AR163" s="850"/>
      <c r="AS163" s="850"/>
      <c r="AT163" s="850"/>
      <c r="AU163" s="850"/>
      <c r="AV163" s="850"/>
      <c r="AW163" s="850"/>
      <c r="AX163" s="850"/>
      <c r="AY163" s="850"/>
      <c r="AZ163" s="850"/>
      <c r="BA163" s="850"/>
      <c r="BB163" s="850"/>
      <c r="BC163" s="850"/>
      <c r="BD163" s="850"/>
      <c r="BE163" s="850"/>
      <c r="BF163" s="850"/>
      <c r="BG163" s="850"/>
      <c r="BH163" s="850"/>
      <c r="BI163" s="850"/>
      <c r="BJ163" s="850"/>
      <c r="BK163" s="850"/>
      <c r="BL163" s="850"/>
      <c r="BM163" s="850"/>
      <c r="BN163" s="850"/>
      <c r="BO163" s="850"/>
      <c r="BP163" s="850"/>
      <c r="BQ163" s="850"/>
      <c r="BR163" s="850"/>
      <c r="BS163" s="850"/>
      <c r="BT163" s="850"/>
      <c r="BU163" s="850"/>
    </row>
    <row r="164" spans="39:73" s="165" customFormat="1">
      <c r="AM164" s="850"/>
      <c r="AN164" s="850"/>
      <c r="AO164" s="850"/>
      <c r="AP164" s="850"/>
      <c r="AQ164" s="850"/>
      <c r="AR164" s="850"/>
      <c r="AS164" s="850"/>
      <c r="AT164" s="850"/>
      <c r="AU164" s="850"/>
      <c r="AV164" s="850"/>
      <c r="AW164" s="850"/>
      <c r="AX164" s="850"/>
      <c r="AY164" s="850"/>
      <c r="AZ164" s="850"/>
      <c r="BA164" s="850"/>
      <c r="BB164" s="850"/>
      <c r="BC164" s="850"/>
      <c r="BD164" s="850"/>
      <c r="BE164" s="850"/>
      <c r="BF164" s="850"/>
      <c r="BG164" s="850"/>
      <c r="BH164" s="850"/>
      <c r="BI164" s="850"/>
      <c r="BJ164" s="850"/>
      <c r="BK164" s="850"/>
      <c r="BL164" s="850"/>
      <c r="BM164" s="850"/>
      <c r="BN164" s="850"/>
      <c r="BO164" s="850"/>
      <c r="BP164" s="850"/>
      <c r="BQ164" s="850"/>
      <c r="BR164" s="850"/>
      <c r="BS164" s="850"/>
      <c r="BT164" s="850"/>
      <c r="BU164" s="850"/>
    </row>
    <row r="165" spans="39:73" s="165" customFormat="1">
      <c r="AM165" s="850"/>
      <c r="AN165" s="850"/>
      <c r="AO165" s="850"/>
      <c r="AP165" s="850"/>
      <c r="AQ165" s="850"/>
      <c r="AR165" s="850"/>
      <c r="AS165" s="850"/>
      <c r="AT165" s="850"/>
      <c r="AU165" s="850"/>
      <c r="AV165" s="850"/>
      <c r="AW165" s="850"/>
      <c r="AX165" s="850"/>
      <c r="AY165" s="850"/>
      <c r="AZ165" s="850"/>
      <c r="BA165" s="850"/>
      <c r="BB165" s="850"/>
      <c r="BC165" s="850"/>
      <c r="BD165" s="850"/>
      <c r="BE165" s="850"/>
      <c r="BF165" s="850"/>
      <c r="BG165" s="850"/>
      <c r="BH165" s="850"/>
      <c r="BI165" s="850"/>
      <c r="BJ165" s="850"/>
      <c r="BK165" s="850"/>
      <c r="BL165" s="850"/>
      <c r="BM165" s="850"/>
      <c r="BN165" s="850"/>
      <c r="BO165" s="850"/>
      <c r="BP165" s="850"/>
      <c r="BQ165" s="850"/>
      <c r="BR165" s="850"/>
      <c r="BS165" s="850"/>
      <c r="BT165" s="850"/>
      <c r="BU165" s="850"/>
    </row>
    <row r="166" spans="39:73" s="165" customFormat="1">
      <c r="AM166" s="850"/>
      <c r="AN166" s="850"/>
      <c r="AO166" s="850"/>
      <c r="AP166" s="850"/>
      <c r="AQ166" s="850"/>
      <c r="AR166" s="850"/>
      <c r="AS166" s="850"/>
      <c r="AT166" s="850"/>
      <c r="AU166" s="850"/>
      <c r="AV166" s="850"/>
      <c r="AW166" s="850"/>
      <c r="AX166" s="850"/>
      <c r="AY166" s="850"/>
      <c r="AZ166" s="850"/>
      <c r="BA166" s="850"/>
      <c r="BB166" s="850"/>
      <c r="BC166" s="850"/>
      <c r="BD166" s="850"/>
      <c r="BE166" s="850"/>
      <c r="BF166" s="850"/>
      <c r="BG166" s="850"/>
      <c r="BH166" s="850"/>
      <c r="BI166" s="850"/>
      <c r="BJ166" s="850"/>
      <c r="BK166" s="850"/>
      <c r="BL166" s="850"/>
      <c r="BM166" s="850"/>
      <c r="BN166" s="850"/>
      <c r="BO166" s="850"/>
      <c r="BP166" s="850"/>
      <c r="BQ166" s="850"/>
      <c r="BR166" s="850"/>
      <c r="BS166" s="850"/>
      <c r="BT166" s="850"/>
      <c r="BU166" s="850"/>
    </row>
    <row r="167" spans="39:73" s="165" customFormat="1">
      <c r="AM167" s="850"/>
      <c r="AN167" s="850"/>
      <c r="AO167" s="850"/>
      <c r="AP167" s="850"/>
      <c r="AQ167" s="850"/>
      <c r="AR167" s="850"/>
      <c r="AS167" s="850"/>
      <c r="AT167" s="850"/>
      <c r="AU167" s="850"/>
      <c r="AV167" s="850"/>
      <c r="AW167" s="850"/>
      <c r="AX167" s="850"/>
      <c r="AY167" s="850"/>
      <c r="AZ167" s="850"/>
      <c r="BA167" s="850"/>
      <c r="BB167" s="850"/>
      <c r="BC167" s="850"/>
      <c r="BD167" s="850"/>
      <c r="BE167" s="850"/>
      <c r="BF167" s="850"/>
      <c r="BG167" s="850"/>
      <c r="BH167" s="850"/>
      <c r="BI167" s="850"/>
      <c r="BJ167" s="850"/>
      <c r="BK167" s="850"/>
      <c r="BL167" s="850"/>
      <c r="BM167" s="850"/>
      <c r="BN167" s="850"/>
      <c r="BO167" s="850"/>
      <c r="BP167" s="850"/>
      <c r="BQ167" s="850"/>
      <c r="BR167" s="850"/>
      <c r="BS167" s="850"/>
      <c r="BT167" s="850"/>
      <c r="BU167" s="850"/>
    </row>
    <row r="168" spans="39:73" s="165" customFormat="1">
      <c r="AM168" s="850"/>
      <c r="AN168" s="850"/>
      <c r="AO168" s="850"/>
      <c r="AP168" s="850"/>
      <c r="AQ168" s="850"/>
      <c r="AR168" s="850"/>
      <c r="AS168" s="850"/>
      <c r="AT168" s="850"/>
      <c r="AU168" s="850"/>
      <c r="AV168" s="850"/>
      <c r="AW168" s="850"/>
      <c r="AX168" s="850"/>
      <c r="AY168" s="850"/>
      <c r="AZ168" s="850"/>
      <c r="BA168" s="850"/>
      <c r="BB168" s="850"/>
      <c r="BC168" s="850"/>
      <c r="BD168" s="850"/>
      <c r="BE168" s="850"/>
      <c r="BF168" s="850"/>
      <c r="BG168" s="850"/>
      <c r="BH168" s="850"/>
      <c r="BI168" s="850"/>
      <c r="BJ168" s="850"/>
      <c r="BK168" s="850"/>
      <c r="BL168" s="850"/>
      <c r="BM168" s="850"/>
      <c r="BN168" s="850"/>
      <c r="BO168" s="850"/>
      <c r="BP168" s="850"/>
      <c r="BQ168" s="850"/>
      <c r="BR168" s="850"/>
      <c r="BS168" s="850"/>
      <c r="BT168" s="850"/>
      <c r="BU168" s="850"/>
    </row>
    <row r="169" spans="39:73" s="165" customFormat="1">
      <c r="AM169" s="850"/>
      <c r="AN169" s="850"/>
      <c r="AO169" s="850"/>
      <c r="AP169" s="850"/>
      <c r="AQ169" s="850"/>
      <c r="AR169" s="850"/>
      <c r="AS169" s="850"/>
      <c r="AT169" s="850"/>
      <c r="AU169" s="850"/>
      <c r="AV169" s="850"/>
      <c r="AW169" s="850"/>
      <c r="AX169" s="850"/>
      <c r="AY169" s="850"/>
      <c r="AZ169" s="850"/>
      <c r="BA169" s="850"/>
      <c r="BB169" s="850"/>
      <c r="BC169" s="850"/>
      <c r="BD169" s="850"/>
      <c r="BE169" s="850"/>
      <c r="BF169" s="850"/>
      <c r="BG169" s="850"/>
      <c r="BH169" s="850"/>
      <c r="BI169" s="850"/>
      <c r="BJ169" s="850"/>
      <c r="BK169" s="850"/>
      <c r="BL169" s="850"/>
      <c r="BM169" s="850"/>
      <c r="BN169" s="850"/>
      <c r="BO169" s="850"/>
      <c r="BP169" s="850"/>
      <c r="BQ169" s="850"/>
      <c r="BR169" s="850"/>
      <c r="BS169" s="850"/>
      <c r="BT169" s="850"/>
      <c r="BU169" s="850"/>
    </row>
    <row r="170" spans="39:73" s="165" customFormat="1">
      <c r="AM170" s="850"/>
      <c r="AN170" s="850"/>
      <c r="AO170" s="850"/>
      <c r="AP170" s="850"/>
      <c r="AQ170" s="850"/>
      <c r="AR170" s="850"/>
      <c r="AS170" s="850"/>
      <c r="AT170" s="850"/>
      <c r="AU170" s="850"/>
      <c r="AV170" s="850"/>
      <c r="AW170" s="850"/>
      <c r="AX170" s="850"/>
      <c r="AY170" s="850"/>
      <c r="AZ170" s="850"/>
      <c r="BA170" s="850"/>
      <c r="BB170" s="850"/>
      <c r="BC170" s="850"/>
      <c r="BD170" s="850"/>
      <c r="BE170" s="850"/>
      <c r="BF170" s="850"/>
      <c r="BG170" s="850"/>
      <c r="BH170" s="850"/>
      <c r="BI170" s="850"/>
      <c r="BJ170" s="850"/>
      <c r="BK170" s="850"/>
      <c r="BL170" s="850"/>
      <c r="BM170" s="850"/>
      <c r="BN170" s="850"/>
      <c r="BO170" s="850"/>
      <c r="BP170" s="850"/>
      <c r="BQ170" s="850"/>
      <c r="BR170" s="850"/>
      <c r="BS170" s="850"/>
      <c r="BT170" s="850"/>
      <c r="BU170" s="850"/>
    </row>
    <row r="171" spans="39:73" s="165" customFormat="1">
      <c r="AM171" s="850"/>
      <c r="AN171" s="850"/>
      <c r="AO171" s="850"/>
      <c r="AP171" s="850"/>
      <c r="AQ171" s="850"/>
      <c r="AR171" s="850"/>
      <c r="AS171" s="850"/>
      <c r="AT171" s="850"/>
      <c r="AU171" s="850"/>
      <c r="AV171" s="850"/>
      <c r="AW171" s="850"/>
      <c r="AX171" s="850"/>
      <c r="AY171" s="850"/>
      <c r="AZ171" s="850"/>
      <c r="BA171" s="850"/>
      <c r="BB171" s="850"/>
      <c r="BC171" s="850"/>
      <c r="BD171" s="850"/>
      <c r="BE171" s="850"/>
      <c r="BF171" s="850"/>
      <c r="BG171" s="850"/>
      <c r="BH171" s="850"/>
      <c r="BI171" s="850"/>
      <c r="BJ171" s="850"/>
      <c r="BK171" s="850"/>
      <c r="BL171" s="850"/>
      <c r="BM171" s="850"/>
      <c r="BN171" s="850"/>
      <c r="BO171" s="850"/>
      <c r="BP171" s="850"/>
      <c r="BQ171" s="850"/>
      <c r="BR171" s="850"/>
      <c r="BS171" s="850"/>
      <c r="BT171" s="850"/>
      <c r="BU171" s="850"/>
    </row>
    <row r="172" spans="39:73" s="165" customFormat="1">
      <c r="AM172" s="850"/>
      <c r="AN172" s="850"/>
      <c r="AO172" s="850"/>
      <c r="AP172" s="850"/>
      <c r="AQ172" s="850"/>
      <c r="AR172" s="850"/>
      <c r="AS172" s="850"/>
      <c r="AT172" s="850"/>
      <c r="AU172" s="850"/>
      <c r="AV172" s="850"/>
      <c r="AW172" s="850"/>
      <c r="AX172" s="850"/>
      <c r="AY172" s="850"/>
      <c r="AZ172" s="850"/>
      <c r="BA172" s="850"/>
      <c r="BB172" s="850"/>
      <c r="BC172" s="850"/>
      <c r="BD172" s="850"/>
      <c r="BE172" s="850"/>
      <c r="BF172" s="850"/>
      <c r="BG172" s="850"/>
      <c r="BH172" s="850"/>
      <c r="BI172" s="850"/>
      <c r="BJ172" s="850"/>
      <c r="BK172" s="850"/>
      <c r="BL172" s="850"/>
      <c r="BM172" s="850"/>
      <c r="BN172" s="850"/>
      <c r="BO172" s="850"/>
      <c r="BP172" s="850"/>
      <c r="BQ172" s="850"/>
      <c r="BR172" s="850"/>
      <c r="BS172" s="850"/>
      <c r="BT172" s="850"/>
      <c r="BU172" s="850"/>
    </row>
    <row r="173" spans="39:73" s="165" customFormat="1">
      <c r="AM173" s="850"/>
      <c r="AN173" s="850"/>
      <c r="AO173" s="850"/>
      <c r="AP173" s="850"/>
      <c r="AQ173" s="850"/>
      <c r="AR173" s="850"/>
      <c r="AS173" s="850"/>
      <c r="AT173" s="850"/>
      <c r="AU173" s="850"/>
      <c r="AV173" s="850"/>
      <c r="AW173" s="850"/>
      <c r="AX173" s="850"/>
      <c r="AY173" s="850"/>
      <c r="AZ173" s="850"/>
      <c r="BA173" s="850"/>
      <c r="BB173" s="850"/>
      <c r="BC173" s="850"/>
      <c r="BD173" s="850"/>
      <c r="BE173" s="850"/>
      <c r="BF173" s="850"/>
      <c r="BG173" s="850"/>
      <c r="BH173" s="850"/>
      <c r="BI173" s="850"/>
      <c r="BJ173" s="850"/>
      <c r="BK173" s="850"/>
      <c r="BL173" s="850"/>
      <c r="BM173" s="850"/>
      <c r="BN173" s="850"/>
      <c r="BO173" s="850"/>
      <c r="BP173" s="850"/>
      <c r="BQ173" s="850"/>
      <c r="BR173" s="850"/>
      <c r="BS173" s="850"/>
      <c r="BT173" s="850"/>
      <c r="BU173" s="850"/>
    </row>
    <row r="174" spans="39:73" s="165" customFormat="1">
      <c r="AM174" s="850"/>
      <c r="AN174" s="850"/>
      <c r="AO174" s="850"/>
      <c r="AP174" s="850"/>
      <c r="AQ174" s="850"/>
      <c r="AR174" s="850"/>
      <c r="AS174" s="850"/>
      <c r="AT174" s="850"/>
      <c r="AU174" s="850"/>
      <c r="AV174" s="850"/>
      <c r="AW174" s="850"/>
      <c r="AX174" s="850"/>
      <c r="AY174" s="850"/>
      <c r="AZ174" s="850"/>
      <c r="BA174" s="850"/>
      <c r="BB174" s="850"/>
      <c r="BC174" s="850"/>
      <c r="BD174" s="850"/>
      <c r="BE174" s="850"/>
      <c r="BF174" s="850"/>
      <c r="BG174" s="850"/>
      <c r="BH174" s="850"/>
      <c r="BI174" s="850"/>
      <c r="BJ174" s="850"/>
      <c r="BK174" s="850"/>
      <c r="BL174" s="850"/>
      <c r="BM174" s="850"/>
      <c r="BN174" s="850"/>
      <c r="BO174" s="850"/>
      <c r="BP174" s="850"/>
      <c r="BQ174" s="850"/>
      <c r="BR174" s="850"/>
      <c r="BS174" s="850"/>
      <c r="BT174" s="850"/>
      <c r="BU174" s="850"/>
    </row>
    <row r="175" spans="39:73" s="165" customFormat="1">
      <c r="AM175" s="850"/>
      <c r="AN175" s="850"/>
      <c r="AO175" s="850"/>
      <c r="AP175" s="850"/>
      <c r="AQ175" s="850"/>
      <c r="AR175" s="850"/>
      <c r="AS175" s="850"/>
      <c r="AT175" s="850"/>
      <c r="AU175" s="850"/>
      <c r="AV175" s="850"/>
      <c r="AW175" s="850"/>
      <c r="AX175" s="850"/>
      <c r="AY175" s="850"/>
      <c r="AZ175" s="850"/>
      <c r="BA175" s="850"/>
      <c r="BB175" s="850"/>
      <c r="BC175" s="850"/>
      <c r="BD175" s="850"/>
      <c r="BE175" s="850"/>
      <c r="BF175" s="850"/>
      <c r="BG175" s="850"/>
      <c r="BH175" s="850"/>
      <c r="BI175" s="850"/>
      <c r="BJ175" s="850"/>
      <c r="BK175" s="850"/>
      <c r="BL175" s="850"/>
      <c r="BM175" s="850"/>
      <c r="BN175" s="850"/>
      <c r="BO175" s="850"/>
      <c r="BP175" s="850"/>
      <c r="BQ175" s="850"/>
      <c r="BR175" s="850"/>
      <c r="BS175" s="850"/>
      <c r="BT175" s="850"/>
      <c r="BU175" s="850"/>
    </row>
    <row r="176" spans="39:73" s="165" customFormat="1">
      <c r="AM176" s="850"/>
      <c r="AN176" s="850"/>
      <c r="AO176" s="850"/>
      <c r="AP176" s="850"/>
      <c r="AQ176" s="850"/>
      <c r="AR176" s="850"/>
      <c r="AS176" s="850"/>
      <c r="AT176" s="850"/>
      <c r="AU176" s="850"/>
      <c r="AV176" s="850"/>
      <c r="AW176" s="850"/>
      <c r="AX176" s="850"/>
      <c r="AY176" s="850"/>
      <c r="AZ176" s="850"/>
      <c r="BA176" s="850"/>
      <c r="BB176" s="850"/>
      <c r="BC176" s="850"/>
      <c r="BD176" s="850"/>
      <c r="BE176" s="850"/>
      <c r="BF176" s="850"/>
      <c r="BG176" s="850"/>
      <c r="BH176" s="850"/>
      <c r="BI176" s="850"/>
      <c r="BJ176" s="850"/>
      <c r="BK176" s="850"/>
      <c r="BL176" s="850"/>
      <c r="BM176" s="850"/>
      <c r="BN176" s="850"/>
      <c r="BO176" s="850"/>
      <c r="BP176" s="850"/>
      <c r="BQ176" s="850"/>
      <c r="BR176" s="850"/>
      <c r="BS176" s="850"/>
      <c r="BT176" s="850"/>
      <c r="BU176" s="850"/>
    </row>
    <row r="177" spans="39:73" s="165" customFormat="1">
      <c r="AM177" s="850"/>
      <c r="AN177" s="850"/>
      <c r="AO177" s="850"/>
      <c r="AP177" s="850"/>
      <c r="AQ177" s="850"/>
      <c r="AR177" s="850"/>
      <c r="AS177" s="850"/>
      <c r="AT177" s="850"/>
      <c r="AU177" s="850"/>
      <c r="AV177" s="850"/>
      <c r="AW177" s="850"/>
      <c r="AX177" s="850"/>
      <c r="AY177" s="850"/>
      <c r="AZ177" s="850"/>
      <c r="BA177" s="850"/>
      <c r="BB177" s="850"/>
      <c r="BC177" s="850"/>
      <c r="BD177" s="850"/>
      <c r="BE177" s="850"/>
      <c r="BF177" s="850"/>
      <c r="BG177" s="850"/>
      <c r="BH177" s="850"/>
      <c r="BI177" s="850"/>
      <c r="BJ177" s="850"/>
      <c r="BK177" s="850"/>
      <c r="BL177" s="850"/>
      <c r="BM177" s="850"/>
      <c r="BN177" s="850"/>
      <c r="BO177" s="850"/>
      <c r="BP177" s="850"/>
      <c r="BQ177" s="850"/>
      <c r="BR177" s="850"/>
      <c r="BS177" s="850"/>
      <c r="BT177" s="850"/>
      <c r="BU177" s="850"/>
    </row>
    <row r="178" spans="39:73" s="165" customFormat="1">
      <c r="AM178" s="850"/>
      <c r="AN178" s="850"/>
      <c r="AO178" s="850"/>
      <c r="AP178" s="850"/>
      <c r="AQ178" s="850"/>
      <c r="AR178" s="850"/>
      <c r="AS178" s="850"/>
      <c r="AT178" s="850"/>
      <c r="AU178" s="850"/>
      <c r="AV178" s="850"/>
      <c r="AW178" s="850"/>
      <c r="AX178" s="850"/>
      <c r="AY178" s="850"/>
      <c r="AZ178" s="850"/>
      <c r="BA178" s="850"/>
      <c r="BB178" s="850"/>
      <c r="BC178" s="850"/>
      <c r="BD178" s="850"/>
      <c r="BE178" s="850"/>
      <c r="BF178" s="850"/>
      <c r="BG178" s="850"/>
      <c r="BH178" s="850"/>
      <c r="BI178" s="850"/>
      <c r="BJ178" s="850"/>
      <c r="BK178" s="850"/>
      <c r="BL178" s="850"/>
      <c r="BM178" s="850"/>
      <c r="BN178" s="850"/>
      <c r="BO178" s="850"/>
      <c r="BP178" s="850"/>
      <c r="BQ178" s="850"/>
      <c r="BR178" s="850"/>
      <c r="BS178" s="850"/>
      <c r="BT178" s="850"/>
      <c r="BU178" s="850"/>
    </row>
    <row r="179" spans="39:73" s="165" customFormat="1">
      <c r="AM179" s="850"/>
      <c r="AN179" s="850"/>
      <c r="AO179" s="850"/>
      <c r="AP179" s="850"/>
      <c r="AQ179" s="850"/>
      <c r="AR179" s="850"/>
      <c r="AS179" s="850"/>
      <c r="AT179" s="850"/>
      <c r="AU179" s="850"/>
      <c r="AV179" s="850"/>
      <c r="AW179" s="850"/>
      <c r="AX179" s="850"/>
      <c r="AY179" s="850"/>
      <c r="AZ179" s="850"/>
      <c r="BA179" s="850"/>
      <c r="BB179" s="850"/>
      <c r="BC179" s="850"/>
      <c r="BD179" s="850"/>
      <c r="BE179" s="850"/>
      <c r="BF179" s="850"/>
      <c r="BG179" s="850"/>
      <c r="BH179" s="850"/>
      <c r="BI179" s="850"/>
      <c r="BJ179" s="850"/>
      <c r="BK179" s="850"/>
      <c r="BL179" s="850"/>
      <c r="BM179" s="850"/>
      <c r="BN179" s="850"/>
      <c r="BO179" s="850"/>
      <c r="BP179" s="850"/>
      <c r="BQ179" s="850"/>
      <c r="BR179" s="850"/>
      <c r="BS179" s="850"/>
      <c r="BT179" s="850"/>
      <c r="BU179" s="850"/>
    </row>
    <row r="180" spans="39:73" s="165" customFormat="1">
      <c r="AM180" s="850"/>
      <c r="AN180" s="850"/>
      <c r="AO180" s="850"/>
      <c r="AP180" s="850"/>
      <c r="AQ180" s="850"/>
      <c r="AR180" s="850"/>
      <c r="AS180" s="850"/>
      <c r="AT180" s="850"/>
      <c r="AU180" s="850"/>
      <c r="AV180" s="850"/>
      <c r="AW180" s="850"/>
      <c r="AX180" s="850"/>
      <c r="AY180" s="850"/>
      <c r="AZ180" s="850"/>
      <c r="BA180" s="850"/>
      <c r="BB180" s="850"/>
      <c r="BC180" s="850"/>
      <c r="BD180" s="850"/>
      <c r="BE180" s="850"/>
      <c r="BF180" s="850"/>
      <c r="BG180" s="850"/>
      <c r="BH180" s="850"/>
      <c r="BI180" s="850"/>
      <c r="BJ180" s="850"/>
      <c r="BK180" s="850"/>
      <c r="BL180" s="850"/>
      <c r="BM180" s="850"/>
      <c r="BN180" s="850"/>
      <c r="BO180" s="850"/>
      <c r="BP180" s="850"/>
      <c r="BQ180" s="850"/>
      <c r="BR180" s="850"/>
      <c r="BS180" s="850"/>
      <c r="BT180" s="850"/>
      <c r="BU180" s="850"/>
    </row>
    <row r="181" spans="39:73" s="165" customFormat="1">
      <c r="AM181" s="850"/>
      <c r="AN181" s="850"/>
      <c r="AO181" s="850"/>
      <c r="AP181" s="850"/>
      <c r="AQ181" s="850"/>
      <c r="AR181" s="850"/>
      <c r="AS181" s="850"/>
      <c r="AT181" s="850"/>
      <c r="AU181" s="850"/>
      <c r="AV181" s="850"/>
      <c r="AW181" s="850"/>
      <c r="AX181" s="850"/>
      <c r="AY181" s="850"/>
      <c r="AZ181" s="850"/>
      <c r="BA181" s="850"/>
      <c r="BB181" s="850"/>
      <c r="BC181" s="850"/>
      <c r="BD181" s="850"/>
      <c r="BE181" s="850"/>
      <c r="BF181" s="850"/>
      <c r="BG181" s="850"/>
      <c r="BH181" s="850"/>
      <c r="BI181" s="850"/>
      <c r="BJ181" s="850"/>
      <c r="BK181" s="850"/>
      <c r="BL181" s="850"/>
      <c r="BM181" s="850"/>
      <c r="BN181" s="850"/>
      <c r="BO181" s="850"/>
      <c r="BP181" s="850"/>
      <c r="BQ181" s="850"/>
      <c r="BR181" s="850"/>
      <c r="BS181" s="850"/>
      <c r="BT181" s="850"/>
      <c r="BU181" s="850"/>
    </row>
    <row r="182" spans="39:73" s="165" customFormat="1">
      <c r="AM182" s="850"/>
      <c r="AN182" s="850"/>
      <c r="AO182" s="850"/>
      <c r="AP182" s="850"/>
      <c r="AQ182" s="850"/>
      <c r="AR182" s="850"/>
      <c r="AS182" s="850"/>
      <c r="AT182" s="850"/>
      <c r="AU182" s="850"/>
      <c r="AV182" s="850"/>
      <c r="AW182" s="850"/>
      <c r="AX182" s="850"/>
      <c r="AY182" s="850"/>
      <c r="AZ182" s="850"/>
      <c r="BA182" s="850"/>
      <c r="BB182" s="850"/>
      <c r="BC182" s="850"/>
      <c r="BD182" s="850"/>
      <c r="BE182" s="850"/>
      <c r="BF182" s="850"/>
      <c r="BG182" s="850"/>
      <c r="BH182" s="850"/>
      <c r="BI182" s="850"/>
      <c r="BJ182" s="850"/>
      <c r="BK182" s="850"/>
      <c r="BL182" s="850"/>
      <c r="BM182" s="850"/>
      <c r="BN182" s="850"/>
      <c r="BO182" s="850"/>
      <c r="BP182" s="850"/>
      <c r="BQ182" s="850"/>
      <c r="BR182" s="850"/>
      <c r="BS182" s="850"/>
      <c r="BT182" s="850"/>
      <c r="BU182" s="850"/>
    </row>
    <row r="183" spans="39:73" s="165" customFormat="1">
      <c r="AM183" s="850"/>
      <c r="AN183" s="850"/>
      <c r="AO183" s="850"/>
      <c r="AP183" s="850"/>
      <c r="AQ183" s="850"/>
      <c r="AR183" s="850"/>
      <c r="AS183" s="850"/>
      <c r="AT183" s="850"/>
      <c r="AU183" s="850"/>
      <c r="AV183" s="850"/>
      <c r="AW183" s="850"/>
      <c r="AX183" s="850"/>
      <c r="AY183" s="850"/>
      <c r="AZ183" s="850"/>
      <c r="BA183" s="850"/>
      <c r="BB183" s="850"/>
      <c r="BC183" s="850"/>
      <c r="BD183" s="850"/>
      <c r="BE183" s="850"/>
      <c r="BF183" s="850"/>
      <c r="BG183" s="850"/>
      <c r="BH183" s="850"/>
      <c r="BI183" s="850"/>
      <c r="BJ183" s="850"/>
      <c r="BK183" s="850"/>
      <c r="BL183" s="850"/>
      <c r="BM183" s="850"/>
      <c r="BN183" s="850"/>
      <c r="BO183" s="850"/>
      <c r="BP183" s="850"/>
      <c r="BQ183" s="850"/>
      <c r="BR183" s="850"/>
      <c r="BS183" s="850"/>
      <c r="BT183" s="850"/>
      <c r="BU183" s="850"/>
    </row>
    <row r="184" spans="39:73" s="165" customFormat="1">
      <c r="AM184" s="850"/>
      <c r="AN184" s="850"/>
      <c r="AO184" s="850"/>
      <c r="AP184" s="850"/>
      <c r="AQ184" s="850"/>
      <c r="AR184" s="850"/>
      <c r="AS184" s="850"/>
      <c r="AT184" s="850"/>
      <c r="AU184" s="850"/>
      <c r="AV184" s="850"/>
      <c r="AW184" s="850"/>
      <c r="AX184" s="850"/>
      <c r="AY184" s="850"/>
      <c r="AZ184" s="850"/>
      <c r="BA184" s="850"/>
      <c r="BB184" s="850"/>
      <c r="BC184" s="850"/>
      <c r="BD184" s="850"/>
      <c r="BE184" s="850"/>
      <c r="BF184" s="850"/>
      <c r="BG184" s="850"/>
      <c r="BH184" s="850"/>
      <c r="BI184" s="850"/>
      <c r="BJ184" s="850"/>
      <c r="BK184" s="850"/>
      <c r="BL184" s="850"/>
      <c r="BM184" s="850"/>
      <c r="BN184" s="850"/>
      <c r="BO184" s="850"/>
      <c r="BP184" s="850"/>
      <c r="BQ184" s="850"/>
      <c r="BR184" s="850"/>
      <c r="BS184" s="850"/>
      <c r="BT184" s="850"/>
      <c r="BU184" s="850"/>
    </row>
    <row r="185" spans="39:73" s="165" customFormat="1">
      <c r="AM185" s="850"/>
      <c r="AN185" s="850"/>
      <c r="AO185" s="850"/>
      <c r="AP185" s="850"/>
      <c r="AQ185" s="850"/>
      <c r="AR185" s="850"/>
      <c r="AS185" s="850"/>
      <c r="AT185" s="850"/>
      <c r="AU185" s="850"/>
      <c r="AV185" s="850"/>
      <c r="AW185" s="850"/>
      <c r="AX185" s="850"/>
      <c r="AY185" s="850"/>
      <c r="AZ185" s="850"/>
      <c r="BA185" s="850"/>
      <c r="BB185" s="850"/>
      <c r="BC185" s="850"/>
      <c r="BD185" s="850"/>
      <c r="BE185" s="850"/>
      <c r="BF185" s="850"/>
      <c r="BG185" s="850"/>
      <c r="BH185" s="850"/>
      <c r="BI185" s="850"/>
      <c r="BJ185" s="850"/>
      <c r="BK185" s="850"/>
      <c r="BL185" s="850"/>
      <c r="BM185" s="850"/>
      <c r="BN185" s="850"/>
      <c r="BO185" s="850"/>
      <c r="BP185" s="850"/>
      <c r="BQ185" s="850"/>
      <c r="BR185" s="850"/>
      <c r="BS185" s="850"/>
      <c r="BT185" s="850"/>
      <c r="BU185" s="850"/>
    </row>
    <row r="186" spans="39:73" s="165" customFormat="1">
      <c r="AM186" s="850"/>
      <c r="AN186" s="850"/>
      <c r="AO186" s="850"/>
      <c r="AP186" s="850"/>
      <c r="AQ186" s="850"/>
      <c r="AR186" s="850"/>
      <c r="AS186" s="850"/>
      <c r="AT186" s="850"/>
      <c r="AU186" s="850"/>
      <c r="AV186" s="850"/>
      <c r="AW186" s="850"/>
      <c r="AX186" s="850"/>
      <c r="AY186" s="850"/>
      <c r="AZ186" s="850"/>
      <c r="BA186" s="850"/>
      <c r="BB186" s="850"/>
      <c r="BC186" s="850"/>
      <c r="BD186" s="850"/>
      <c r="BE186" s="850"/>
      <c r="BF186" s="850"/>
      <c r="BG186" s="850"/>
      <c r="BH186" s="850"/>
      <c r="BI186" s="850"/>
      <c r="BJ186" s="850"/>
      <c r="BK186" s="850"/>
      <c r="BL186" s="850"/>
      <c r="BM186" s="850"/>
      <c r="BN186" s="850"/>
      <c r="BO186" s="850"/>
      <c r="BP186" s="850"/>
      <c r="BQ186" s="850"/>
      <c r="BR186" s="850"/>
      <c r="BS186" s="850"/>
      <c r="BT186" s="850"/>
      <c r="BU186" s="850"/>
    </row>
    <row r="187" spans="39:73" s="165" customFormat="1">
      <c r="AM187" s="850"/>
      <c r="AN187" s="850"/>
      <c r="AO187" s="850"/>
      <c r="AP187" s="850"/>
      <c r="AQ187" s="850"/>
      <c r="AR187" s="850"/>
      <c r="AS187" s="850"/>
      <c r="AT187" s="850"/>
      <c r="AU187" s="850"/>
      <c r="AV187" s="850"/>
      <c r="AW187" s="850"/>
      <c r="AX187" s="850"/>
      <c r="AY187" s="850"/>
      <c r="AZ187" s="850"/>
      <c r="BA187" s="850"/>
      <c r="BB187" s="850"/>
      <c r="BC187" s="850"/>
      <c r="BD187" s="850"/>
      <c r="BE187" s="850"/>
      <c r="BF187" s="850"/>
      <c r="BG187" s="850"/>
      <c r="BH187" s="850"/>
      <c r="BI187" s="850"/>
      <c r="BJ187" s="850"/>
      <c r="BK187" s="850"/>
      <c r="BL187" s="850"/>
      <c r="BM187" s="850"/>
      <c r="BN187" s="850"/>
      <c r="BO187" s="850"/>
      <c r="BP187" s="850"/>
      <c r="BQ187" s="850"/>
      <c r="BR187" s="850"/>
      <c r="BS187" s="850"/>
      <c r="BT187" s="850"/>
      <c r="BU187" s="850"/>
    </row>
    <row r="188" spans="39:73" s="165" customFormat="1">
      <c r="AM188" s="850"/>
      <c r="AN188" s="850"/>
      <c r="AO188" s="850"/>
      <c r="AP188" s="850"/>
      <c r="AQ188" s="850"/>
      <c r="AR188" s="850"/>
      <c r="AS188" s="850"/>
      <c r="AT188" s="850"/>
      <c r="AU188" s="850"/>
      <c r="AV188" s="850"/>
      <c r="AW188" s="850"/>
      <c r="AX188" s="850"/>
      <c r="AY188" s="850"/>
      <c r="AZ188" s="850"/>
      <c r="BA188" s="850"/>
      <c r="BB188" s="850"/>
      <c r="BC188" s="850"/>
      <c r="BD188" s="850"/>
      <c r="BE188" s="850"/>
      <c r="BF188" s="850"/>
      <c r="BG188" s="850"/>
      <c r="BH188" s="850"/>
      <c r="BI188" s="850"/>
      <c r="BJ188" s="850"/>
      <c r="BK188" s="850"/>
      <c r="BL188" s="850"/>
      <c r="BM188" s="850"/>
      <c r="BN188" s="850"/>
      <c r="BO188" s="850"/>
      <c r="BP188" s="850"/>
      <c r="BQ188" s="850"/>
      <c r="BR188" s="850"/>
      <c r="BS188" s="850"/>
      <c r="BT188" s="850"/>
      <c r="BU188" s="850"/>
    </row>
    <row r="189" spans="39:73" s="165" customFormat="1">
      <c r="AM189" s="850"/>
      <c r="AN189" s="850"/>
      <c r="AO189" s="850"/>
      <c r="AP189" s="850"/>
      <c r="AQ189" s="850"/>
      <c r="AR189" s="850"/>
      <c r="AS189" s="850"/>
      <c r="AT189" s="850"/>
      <c r="AU189" s="850"/>
      <c r="AV189" s="850"/>
      <c r="AW189" s="850"/>
      <c r="AX189" s="850"/>
      <c r="AY189" s="850"/>
      <c r="AZ189" s="850"/>
      <c r="BA189" s="850"/>
      <c r="BB189" s="850"/>
      <c r="BC189" s="850"/>
      <c r="BD189" s="850"/>
      <c r="BE189" s="850"/>
      <c r="BF189" s="850"/>
      <c r="BG189" s="850"/>
      <c r="BH189" s="850"/>
      <c r="BI189" s="850"/>
      <c r="BJ189" s="850"/>
      <c r="BK189" s="850"/>
      <c r="BL189" s="850"/>
      <c r="BM189" s="850"/>
      <c r="BN189" s="850"/>
      <c r="BO189" s="850"/>
      <c r="BP189" s="850"/>
      <c r="BQ189" s="850"/>
      <c r="BR189" s="850"/>
      <c r="BS189" s="850"/>
      <c r="BT189" s="850"/>
      <c r="BU189" s="850"/>
    </row>
    <row r="190" spans="39:73" s="165" customFormat="1">
      <c r="AM190" s="850"/>
      <c r="AN190" s="850"/>
      <c r="AO190" s="850"/>
      <c r="AP190" s="850"/>
      <c r="AQ190" s="850"/>
      <c r="AR190" s="850"/>
      <c r="AS190" s="850"/>
      <c r="AT190" s="850"/>
      <c r="AU190" s="850"/>
      <c r="AV190" s="850"/>
      <c r="AW190" s="850"/>
      <c r="AX190" s="850"/>
      <c r="AY190" s="850"/>
      <c r="AZ190" s="850"/>
      <c r="BA190" s="850"/>
      <c r="BB190" s="850"/>
      <c r="BC190" s="850"/>
      <c r="BD190" s="850"/>
      <c r="BE190" s="850"/>
      <c r="BF190" s="850"/>
      <c r="BG190" s="850"/>
      <c r="BH190" s="850"/>
      <c r="BI190" s="850"/>
      <c r="BJ190" s="850"/>
      <c r="BK190" s="850"/>
      <c r="BL190" s="850"/>
      <c r="BM190" s="850"/>
      <c r="BN190" s="850"/>
      <c r="BO190" s="850"/>
      <c r="BP190" s="850"/>
      <c r="BQ190" s="850"/>
      <c r="BR190" s="850"/>
      <c r="BS190" s="850"/>
      <c r="BT190" s="850"/>
      <c r="BU190" s="850"/>
    </row>
    <row r="191" spans="39:73" s="165" customFormat="1">
      <c r="AM191" s="850"/>
      <c r="AN191" s="850"/>
      <c r="AO191" s="850"/>
      <c r="AP191" s="850"/>
      <c r="AQ191" s="850"/>
      <c r="AR191" s="850"/>
      <c r="AS191" s="850"/>
      <c r="AT191" s="850"/>
      <c r="AU191" s="850"/>
      <c r="AV191" s="850"/>
      <c r="AW191" s="850"/>
      <c r="AX191" s="850"/>
      <c r="AY191" s="850"/>
      <c r="AZ191" s="850"/>
      <c r="BA191" s="850"/>
      <c r="BB191" s="850"/>
      <c r="BC191" s="850"/>
      <c r="BD191" s="850"/>
      <c r="BE191" s="850"/>
      <c r="BF191" s="850"/>
      <c r="BG191" s="850"/>
      <c r="BH191" s="850"/>
      <c r="BI191" s="850"/>
      <c r="BJ191" s="850"/>
      <c r="BK191" s="850"/>
      <c r="BL191" s="850"/>
      <c r="BM191" s="850"/>
      <c r="BN191" s="850"/>
      <c r="BO191" s="850"/>
      <c r="BP191" s="850"/>
      <c r="BQ191" s="850"/>
      <c r="BR191" s="850"/>
      <c r="BS191" s="850"/>
      <c r="BT191" s="850"/>
      <c r="BU191" s="850"/>
    </row>
    <row r="192" spans="39:73" s="165" customFormat="1">
      <c r="AM192" s="850"/>
      <c r="AN192" s="850"/>
      <c r="AO192" s="850"/>
      <c r="AP192" s="850"/>
      <c r="AQ192" s="850"/>
      <c r="AR192" s="850"/>
      <c r="AS192" s="850"/>
      <c r="AT192" s="850"/>
      <c r="AU192" s="850"/>
      <c r="AV192" s="850"/>
      <c r="AW192" s="850"/>
      <c r="AX192" s="850"/>
      <c r="AY192" s="850"/>
      <c r="AZ192" s="850"/>
      <c r="BA192" s="850"/>
      <c r="BB192" s="850"/>
      <c r="BC192" s="850"/>
      <c r="BD192" s="850"/>
      <c r="BE192" s="850"/>
      <c r="BF192" s="850"/>
      <c r="BG192" s="850"/>
      <c r="BH192" s="850"/>
      <c r="BI192" s="850"/>
      <c r="BJ192" s="850"/>
      <c r="BK192" s="850"/>
      <c r="BL192" s="850"/>
      <c r="BM192" s="850"/>
      <c r="BN192" s="850"/>
      <c r="BO192" s="850"/>
      <c r="BP192" s="850"/>
      <c r="BQ192" s="850"/>
      <c r="BR192" s="850"/>
      <c r="BS192" s="850"/>
      <c r="BT192" s="850"/>
      <c r="BU192" s="850"/>
    </row>
    <row r="193" spans="39:73" s="165" customFormat="1">
      <c r="AM193" s="850"/>
      <c r="AN193" s="850"/>
      <c r="AO193" s="850"/>
      <c r="AP193" s="850"/>
      <c r="AQ193" s="850"/>
      <c r="AR193" s="850"/>
      <c r="AS193" s="850"/>
      <c r="AT193" s="850"/>
      <c r="AU193" s="850"/>
      <c r="AV193" s="850"/>
      <c r="AW193" s="850"/>
      <c r="AX193" s="850"/>
      <c r="AY193" s="850"/>
      <c r="AZ193" s="850"/>
      <c r="BA193" s="850"/>
      <c r="BB193" s="850"/>
      <c r="BC193" s="850"/>
      <c r="BD193" s="850"/>
      <c r="BE193" s="850"/>
      <c r="BF193" s="850"/>
      <c r="BG193" s="850"/>
      <c r="BH193" s="850"/>
      <c r="BI193" s="850"/>
      <c r="BJ193" s="850"/>
      <c r="BK193" s="850"/>
      <c r="BL193" s="850"/>
      <c r="BM193" s="850"/>
      <c r="BN193" s="850"/>
      <c r="BO193" s="850"/>
      <c r="BP193" s="850"/>
      <c r="BQ193" s="850"/>
      <c r="BR193" s="850"/>
      <c r="BS193" s="850"/>
      <c r="BT193" s="850"/>
      <c r="BU193" s="850"/>
    </row>
    <row r="194" spans="39:73" s="165" customFormat="1">
      <c r="AM194" s="850"/>
      <c r="AN194" s="850"/>
      <c r="AO194" s="850"/>
      <c r="AP194" s="850"/>
      <c r="AQ194" s="850"/>
      <c r="AR194" s="850"/>
      <c r="AS194" s="850"/>
      <c r="AT194" s="850"/>
      <c r="AU194" s="850"/>
      <c r="AV194" s="850"/>
      <c r="AW194" s="850"/>
      <c r="AX194" s="850"/>
      <c r="AY194" s="850"/>
      <c r="AZ194" s="850"/>
      <c r="BA194" s="850"/>
      <c r="BB194" s="850"/>
      <c r="BC194" s="850"/>
      <c r="BD194" s="850"/>
      <c r="BE194" s="850"/>
      <c r="BF194" s="850"/>
      <c r="BG194" s="850"/>
      <c r="BH194" s="850"/>
      <c r="BI194" s="850"/>
      <c r="BJ194" s="850"/>
      <c r="BK194" s="850"/>
      <c r="BL194" s="850"/>
      <c r="BM194" s="850"/>
      <c r="BN194" s="850"/>
      <c r="BO194" s="850"/>
      <c r="BP194" s="850"/>
      <c r="BQ194" s="850"/>
      <c r="BR194" s="850"/>
      <c r="BS194" s="850"/>
      <c r="BT194" s="850"/>
      <c r="BU194" s="850"/>
    </row>
    <row r="195" spans="39:73" s="165" customFormat="1">
      <c r="AM195" s="850"/>
      <c r="AN195" s="850"/>
      <c r="AO195" s="850"/>
      <c r="AP195" s="850"/>
      <c r="AQ195" s="850"/>
      <c r="AR195" s="850"/>
      <c r="AS195" s="850"/>
      <c r="AT195" s="850"/>
      <c r="AU195" s="850"/>
      <c r="AV195" s="850"/>
      <c r="AW195" s="850"/>
      <c r="AX195" s="850"/>
      <c r="AY195" s="850"/>
      <c r="AZ195" s="850"/>
      <c r="BA195" s="850"/>
      <c r="BB195" s="850"/>
      <c r="BC195" s="850"/>
      <c r="BD195" s="850"/>
      <c r="BE195" s="850"/>
      <c r="BF195" s="850"/>
      <c r="BG195" s="850"/>
      <c r="BH195" s="850"/>
      <c r="BI195" s="850"/>
      <c r="BJ195" s="850"/>
      <c r="BK195" s="850"/>
      <c r="BL195" s="850"/>
      <c r="BM195" s="850"/>
      <c r="BN195" s="850"/>
      <c r="BO195" s="850"/>
      <c r="BP195" s="850"/>
      <c r="BQ195" s="850"/>
      <c r="BR195" s="850"/>
      <c r="BS195" s="850"/>
      <c r="BT195" s="850"/>
      <c r="BU195" s="850"/>
    </row>
    <row r="196" spans="39:73" s="165" customFormat="1">
      <c r="AM196" s="850"/>
      <c r="AN196" s="850"/>
      <c r="AO196" s="850"/>
      <c r="AP196" s="850"/>
      <c r="AQ196" s="850"/>
      <c r="AR196" s="850"/>
      <c r="AS196" s="850"/>
      <c r="AT196" s="850"/>
      <c r="AU196" s="850"/>
      <c r="AV196" s="850"/>
      <c r="AW196" s="850"/>
      <c r="AX196" s="850"/>
      <c r="AY196" s="850"/>
      <c r="AZ196" s="850"/>
      <c r="BA196" s="850"/>
      <c r="BB196" s="850"/>
      <c r="BC196" s="850"/>
      <c r="BD196" s="850"/>
      <c r="BE196" s="850"/>
      <c r="BF196" s="850"/>
      <c r="BG196" s="850"/>
      <c r="BH196" s="850"/>
      <c r="BI196" s="850"/>
      <c r="BJ196" s="850"/>
      <c r="BK196" s="850"/>
      <c r="BL196" s="850"/>
      <c r="BM196" s="850"/>
      <c r="BN196" s="850"/>
      <c r="BO196" s="850"/>
      <c r="BP196" s="850"/>
      <c r="BQ196" s="850"/>
      <c r="BR196" s="850"/>
      <c r="BS196" s="850"/>
      <c r="BT196" s="850"/>
      <c r="BU196" s="850"/>
    </row>
    <row r="197" spans="39:73" s="165" customFormat="1">
      <c r="AM197" s="850"/>
      <c r="AN197" s="850"/>
      <c r="AO197" s="850"/>
      <c r="AP197" s="850"/>
      <c r="AQ197" s="850"/>
      <c r="AR197" s="850"/>
      <c r="AS197" s="850"/>
      <c r="AT197" s="850"/>
      <c r="AU197" s="850"/>
      <c r="AV197" s="850"/>
      <c r="AW197" s="850"/>
      <c r="AX197" s="850"/>
      <c r="AY197" s="850"/>
      <c r="AZ197" s="850"/>
      <c r="BA197" s="850"/>
      <c r="BB197" s="850"/>
      <c r="BC197" s="850"/>
      <c r="BD197" s="850"/>
      <c r="BE197" s="850"/>
      <c r="BF197" s="850"/>
      <c r="BG197" s="850"/>
      <c r="BH197" s="850"/>
      <c r="BI197" s="850"/>
      <c r="BJ197" s="850"/>
      <c r="BK197" s="850"/>
      <c r="BL197" s="850"/>
      <c r="BM197" s="850"/>
      <c r="BN197" s="850"/>
      <c r="BO197" s="850"/>
      <c r="BP197" s="850"/>
      <c r="BQ197" s="850"/>
      <c r="BR197" s="850"/>
      <c r="BS197" s="850"/>
      <c r="BT197" s="850"/>
      <c r="BU197" s="850"/>
    </row>
    <row r="198" spans="39:73" s="165" customFormat="1">
      <c r="AM198" s="850"/>
      <c r="AN198" s="850"/>
      <c r="AO198" s="850"/>
      <c r="AP198" s="850"/>
      <c r="AQ198" s="850"/>
      <c r="AR198" s="850"/>
      <c r="AS198" s="850"/>
      <c r="AT198" s="850"/>
      <c r="AU198" s="850"/>
      <c r="AV198" s="850"/>
      <c r="AW198" s="850"/>
      <c r="AX198" s="850"/>
      <c r="AY198" s="850"/>
      <c r="AZ198" s="850"/>
      <c r="BA198" s="850"/>
      <c r="BB198" s="850"/>
      <c r="BC198" s="850"/>
      <c r="BD198" s="850"/>
      <c r="BE198" s="850"/>
      <c r="BF198" s="850"/>
      <c r="BG198" s="850"/>
      <c r="BH198" s="850"/>
      <c r="BI198" s="850"/>
      <c r="BJ198" s="850"/>
      <c r="BK198" s="850"/>
      <c r="BL198" s="850"/>
      <c r="BM198" s="850"/>
      <c r="BN198" s="850"/>
      <c r="BO198" s="850"/>
      <c r="BP198" s="850"/>
      <c r="BQ198" s="850"/>
      <c r="BR198" s="850"/>
      <c r="BS198" s="850"/>
      <c r="BT198" s="850"/>
      <c r="BU198" s="850"/>
    </row>
    <row r="199" spans="39:73" s="165" customFormat="1">
      <c r="AM199" s="850"/>
      <c r="AN199" s="850"/>
      <c r="AO199" s="850"/>
      <c r="AP199" s="850"/>
      <c r="AQ199" s="850"/>
      <c r="AR199" s="850"/>
      <c r="AS199" s="850"/>
      <c r="AT199" s="850"/>
      <c r="AU199" s="850"/>
      <c r="AV199" s="850"/>
      <c r="AW199" s="850"/>
      <c r="AX199" s="850"/>
      <c r="AY199" s="850"/>
      <c r="AZ199" s="850"/>
      <c r="BA199" s="850"/>
      <c r="BB199" s="850"/>
      <c r="BC199" s="850"/>
      <c r="BD199" s="850"/>
      <c r="BE199" s="850"/>
      <c r="BF199" s="850"/>
      <c r="BG199" s="850"/>
      <c r="BH199" s="850"/>
      <c r="BI199" s="850"/>
      <c r="BJ199" s="850"/>
      <c r="BK199" s="850"/>
      <c r="BL199" s="850"/>
      <c r="BM199" s="850"/>
      <c r="BN199" s="850"/>
      <c r="BO199" s="850"/>
      <c r="BP199" s="850"/>
      <c r="BQ199" s="850"/>
      <c r="BR199" s="850"/>
      <c r="BS199" s="850"/>
      <c r="BT199" s="850"/>
      <c r="BU199" s="850"/>
    </row>
    <row r="200" spans="39:73" s="165" customFormat="1">
      <c r="AM200" s="850"/>
      <c r="AN200" s="850"/>
      <c r="AO200" s="850"/>
      <c r="AP200" s="850"/>
      <c r="AQ200" s="850"/>
      <c r="AR200" s="850"/>
      <c r="AS200" s="850"/>
      <c r="AT200" s="850"/>
      <c r="AU200" s="850"/>
      <c r="AV200" s="850"/>
      <c r="AW200" s="850"/>
      <c r="AX200" s="850"/>
      <c r="AY200" s="850"/>
      <c r="AZ200" s="850"/>
      <c r="BA200" s="850"/>
      <c r="BB200" s="850"/>
      <c r="BC200" s="850"/>
      <c r="BD200" s="850"/>
      <c r="BE200" s="850"/>
      <c r="BF200" s="850"/>
      <c r="BG200" s="850"/>
      <c r="BH200" s="850"/>
      <c r="BI200" s="850"/>
      <c r="BJ200" s="850"/>
      <c r="BK200" s="850"/>
      <c r="BL200" s="850"/>
      <c r="BM200" s="850"/>
      <c r="BN200" s="850"/>
      <c r="BO200" s="850"/>
      <c r="BP200" s="850"/>
      <c r="BQ200" s="850"/>
      <c r="BR200" s="850"/>
      <c r="BS200" s="850"/>
      <c r="BT200" s="850"/>
      <c r="BU200" s="850"/>
    </row>
    <row r="201" spans="39:73" s="165" customFormat="1">
      <c r="AM201" s="850"/>
      <c r="AN201" s="850"/>
      <c r="AO201" s="850"/>
      <c r="AP201" s="850"/>
      <c r="AQ201" s="850"/>
      <c r="AR201" s="850"/>
      <c r="AS201" s="850"/>
      <c r="AT201" s="850"/>
      <c r="AU201" s="850"/>
      <c r="AV201" s="850"/>
      <c r="AW201" s="850"/>
      <c r="AX201" s="850"/>
      <c r="AY201" s="850"/>
      <c r="AZ201" s="850"/>
      <c r="BA201" s="850"/>
      <c r="BB201" s="850"/>
      <c r="BC201" s="850"/>
      <c r="BD201" s="850"/>
      <c r="BE201" s="850"/>
      <c r="BF201" s="850"/>
      <c r="BG201" s="850"/>
      <c r="BH201" s="850"/>
      <c r="BI201" s="850"/>
      <c r="BJ201" s="850"/>
      <c r="BK201" s="850"/>
      <c r="BL201" s="850"/>
      <c r="BM201" s="850"/>
      <c r="BN201" s="850"/>
      <c r="BO201" s="850"/>
      <c r="BP201" s="850"/>
      <c r="BQ201" s="850"/>
      <c r="BR201" s="850"/>
      <c r="BS201" s="850"/>
      <c r="BT201" s="850"/>
      <c r="BU201" s="850"/>
    </row>
    <row r="202" spans="39:73" s="165" customFormat="1">
      <c r="AM202" s="850"/>
      <c r="AN202" s="850"/>
      <c r="AO202" s="850"/>
      <c r="AP202" s="850"/>
      <c r="AQ202" s="850"/>
      <c r="AR202" s="850"/>
      <c r="AS202" s="850"/>
      <c r="AT202" s="850"/>
      <c r="AU202" s="850"/>
      <c r="AV202" s="850"/>
      <c r="AW202" s="850"/>
      <c r="AX202" s="850"/>
      <c r="AY202" s="850"/>
      <c r="AZ202" s="850"/>
      <c r="BA202" s="850"/>
      <c r="BB202" s="850"/>
      <c r="BC202" s="850"/>
      <c r="BD202" s="850"/>
      <c r="BE202" s="850"/>
      <c r="BF202" s="850"/>
      <c r="BG202" s="850"/>
      <c r="BH202" s="850"/>
      <c r="BI202" s="850"/>
      <c r="BJ202" s="850"/>
      <c r="BK202" s="850"/>
      <c r="BL202" s="850"/>
      <c r="BM202" s="850"/>
      <c r="BN202" s="850"/>
      <c r="BO202" s="850"/>
      <c r="BP202" s="850"/>
      <c r="BQ202" s="850"/>
      <c r="BR202" s="850"/>
      <c r="BS202" s="850"/>
      <c r="BT202" s="850"/>
      <c r="BU202" s="850"/>
    </row>
    <row r="203" spans="39:73" s="165" customFormat="1">
      <c r="AM203" s="850"/>
      <c r="AN203" s="850"/>
      <c r="AO203" s="850"/>
      <c r="AP203" s="850"/>
      <c r="AQ203" s="850"/>
      <c r="AR203" s="850"/>
      <c r="AS203" s="850"/>
      <c r="AT203" s="850"/>
      <c r="AU203" s="850"/>
      <c r="AV203" s="850"/>
      <c r="AW203" s="850"/>
      <c r="AX203" s="850"/>
      <c r="AY203" s="850"/>
      <c r="AZ203" s="850"/>
      <c r="BA203" s="850"/>
      <c r="BB203" s="850"/>
      <c r="BC203" s="850"/>
      <c r="BD203" s="850"/>
      <c r="BE203" s="850"/>
      <c r="BF203" s="850"/>
      <c r="BG203" s="850"/>
      <c r="BH203" s="850"/>
      <c r="BI203" s="850"/>
      <c r="BJ203" s="850"/>
      <c r="BK203" s="850"/>
      <c r="BL203" s="850"/>
      <c r="BM203" s="850"/>
      <c r="BN203" s="850"/>
      <c r="BO203" s="850"/>
      <c r="BP203" s="850"/>
      <c r="BQ203" s="850"/>
      <c r="BR203" s="850"/>
      <c r="BS203" s="850"/>
      <c r="BT203" s="850"/>
      <c r="BU203" s="850"/>
    </row>
    <row r="204" spans="39:73" s="165" customFormat="1">
      <c r="AM204" s="850"/>
      <c r="AN204" s="850"/>
      <c r="AO204" s="850"/>
      <c r="AP204" s="850"/>
      <c r="AQ204" s="850"/>
      <c r="AR204" s="850"/>
      <c r="AS204" s="850"/>
      <c r="AT204" s="850"/>
      <c r="AU204" s="850"/>
      <c r="AV204" s="850"/>
      <c r="AW204" s="850"/>
      <c r="AX204" s="850"/>
      <c r="AY204" s="850"/>
      <c r="AZ204" s="850"/>
      <c r="BA204" s="850"/>
      <c r="BB204" s="850"/>
      <c r="BC204" s="850"/>
      <c r="BD204" s="850"/>
      <c r="BE204" s="850"/>
      <c r="BF204" s="850"/>
      <c r="BG204" s="850"/>
      <c r="BH204" s="850"/>
      <c r="BI204" s="850"/>
      <c r="BJ204" s="850"/>
      <c r="BK204" s="850"/>
      <c r="BL204" s="850"/>
      <c r="BM204" s="850"/>
      <c r="BN204" s="850"/>
      <c r="BO204" s="850"/>
      <c r="BP204" s="850"/>
      <c r="BQ204" s="850"/>
      <c r="BR204" s="850"/>
      <c r="BS204" s="850"/>
      <c r="BT204" s="850"/>
      <c r="BU204" s="850"/>
    </row>
    <row r="205" spans="39:73" s="165" customFormat="1">
      <c r="AM205" s="850"/>
      <c r="AN205" s="850"/>
      <c r="AO205" s="850"/>
      <c r="AP205" s="850"/>
      <c r="AQ205" s="850"/>
      <c r="AR205" s="850"/>
      <c r="AS205" s="850"/>
      <c r="AT205" s="850"/>
      <c r="AU205" s="850"/>
      <c r="AV205" s="850"/>
      <c r="AW205" s="850"/>
      <c r="AX205" s="850"/>
      <c r="AY205" s="850"/>
      <c r="AZ205" s="850"/>
      <c r="BA205" s="850"/>
      <c r="BB205" s="850"/>
      <c r="BC205" s="850"/>
      <c r="BD205" s="850"/>
      <c r="BE205" s="850"/>
      <c r="BF205" s="850"/>
      <c r="BG205" s="850"/>
      <c r="BH205" s="850"/>
      <c r="BI205" s="850"/>
      <c r="BJ205" s="850"/>
      <c r="BK205" s="850"/>
      <c r="BL205" s="850"/>
      <c r="BM205" s="850"/>
      <c r="BN205" s="850"/>
      <c r="BO205" s="850"/>
      <c r="BP205" s="850"/>
      <c r="BQ205" s="850"/>
      <c r="BR205" s="850"/>
      <c r="BS205" s="850"/>
      <c r="BT205" s="850"/>
      <c r="BU205" s="850"/>
    </row>
    <row r="206" spans="39:73" s="165" customFormat="1">
      <c r="AM206" s="850"/>
      <c r="AN206" s="850"/>
      <c r="AO206" s="850"/>
      <c r="AP206" s="850"/>
      <c r="AQ206" s="850"/>
      <c r="AR206" s="850"/>
      <c r="AS206" s="850"/>
      <c r="AT206" s="850"/>
      <c r="AU206" s="850"/>
      <c r="AV206" s="850"/>
      <c r="AW206" s="850"/>
      <c r="AX206" s="850"/>
      <c r="AY206" s="850"/>
      <c r="AZ206" s="850"/>
      <c r="BA206" s="850"/>
      <c r="BB206" s="850"/>
      <c r="BC206" s="850"/>
      <c r="BD206" s="850"/>
      <c r="BE206" s="850"/>
      <c r="BF206" s="850"/>
      <c r="BG206" s="850"/>
      <c r="BH206" s="850"/>
      <c r="BI206" s="850"/>
      <c r="BJ206" s="850"/>
      <c r="BK206" s="850"/>
      <c r="BL206" s="850"/>
      <c r="BM206" s="850"/>
      <c r="BN206" s="850"/>
      <c r="BO206" s="850"/>
      <c r="BP206" s="850"/>
      <c r="BQ206" s="850"/>
      <c r="BR206" s="850"/>
      <c r="BS206" s="850"/>
      <c r="BT206" s="850"/>
      <c r="BU206" s="850"/>
    </row>
    <row r="207" spans="39:73" s="165" customFormat="1">
      <c r="AM207" s="850"/>
      <c r="AN207" s="850"/>
      <c r="AO207" s="850"/>
      <c r="AP207" s="850"/>
      <c r="AQ207" s="850"/>
      <c r="AR207" s="850"/>
      <c r="AS207" s="850"/>
      <c r="AT207" s="850"/>
      <c r="AU207" s="850"/>
      <c r="AV207" s="850"/>
      <c r="AW207" s="850"/>
      <c r="AX207" s="850"/>
      <c r="AY207" s="850"/>
      <c r="AZ207" s="850"/>
      <c r="BA207" s="850"/>
      <c r="BB207" s="850"/>
      <c r="BC207" s="850"/>
      <c r="BD207" s="850"/>
      <c r="BE207" s="850"/>
      <c r="BF207" s="850"/>
      <c r="BG207" s="850"/>
      <c r="BH207" s="850"/>
      <c r="BI207" s="850"/>
      <c r="BJ207" s="850"/>
      <c r="BK207" s="850"/>
      <c r="BL207" s="850"/>
      <c r="BM207" s="850"/>
      <c r="BN207" s="850"/>
      <c r="BO207" s="850"/>
      <c r="BP207" s="850"/>
      <c r="BQ207" s="850"/>
      <c r="BR207" s="850"/>
      <c r="BS207" s="850"/>
      <c r="BT207" s="850"/>
      <c r="BU207" s="850"/>
    </row>
    <row r="208" spans="39:73" s="165" customFormat="1">
      <c r="AM208" s="850"/>
      <c r="AN208" s="850"/>
      <c r="AO208" s="850"/>
      <c r="AP208" s="850"/>
      <c r="AQ208" s="850"/>
      <c r="AR208" s="850"/>
      <c r="AS208" s="850"/>
      <c r="AT208" s="850"/>
      <c r="AU208" s="850"/>
      <c r="AV208" s="850"/>
      <c r="AW208" s="850"/>
      <c r="AX208" s="850"/>
      <c r="AY208" s="850"/>
      <c r="AZ208" s="850"/>
      <c r="BA208" s="850"/>
      <c r="BB208" s="850"/>
      <c r="BC208" s="850"/>
      <c r="BD208" s="850"/>
      <c r="BE208" s="850"/>
      <c r="BF208" s="850"/>
      <c r="BG208" s="850"/>
      <c r="BH208" s="850"/>
      <c r="BI208" s="850"/>
      <c r="BJ208" s="850"/>
      <c r="BK208" s="850"/>
      <c r="BL208" s="850"/>
      <c r="BM208" s="850"/>
      <c r="BN208" s="850"/>
      <c r="BO208" s="850"/>
      <c r="BP208" s="850"/>
      <c r="BQ208" s="850"/>
      <c r="BR208" s="850"/>
      <c r="BS208" s="850"/>
      <c r="BT208" s="850"/>
      <c r="BU208" s="850"/>
    </row>
    <row r="209" spans="39:73" s="165" customFormat="1">
      <c r="AM209" s="850"/>
      <c r="AN209" s="850"/>
      <c r="AO209" s="850"/>
      <c r="AP209" s="850"/>
      <c r="AQ209" s="850"/>
      <c r="AR209" s="850"/>
      <c r="AS209" s="850"/>
      <c r="AT209" s="850"/>
      <c r="AU209" s="850"/>
      <c r="AV209" s="850"/>
      <c r="AW209" s="850"/>
      <c r="AX209" s="850"/>
      <c r="AY209" s="850"/>
      <c r="AZ209" s="850"/>
      <c r="BA209" s="850"/>
      <c r="BB209" s="850"/>
      <c r="BC209" s="850"/>
      <c r="BD209" s="850"/>
      <c r="BE209" s="850"/>
      <c r="BF209" s="850"/>
      <c r="BG209" s="850"/>
      <c r="BH209" s="850"/>
      <c r="BI209" s="850"/>
      <c r="BJ209" s="850"/>
      <c r="BK209" s="850"/>
      <c r="BL209" s="850"/>
      <c r="BM209" s="850"/>
      <c r="BN209" s="850"/>
      <c r="BO209" s="850"/>
      <c r="BP209" s="850"/>
      <c r="BQ209" s="850"/>
      <c r="BR209" s="850"/>
      <c r="BS209" s="850"/>
      <c r="BT209" s="850"/>
      <c r="BU209" s="850"/>
    </row>
    <row r="210" spans="39:73" s="165" customFormat="1">
      <c r="AM210" s="850"/>
      <c r="AN210" s="850"/>
      <c r="AO210" s="850"/>
      <c r="AP210" s="850"/>
      <c r="AQ210" s="850"/>
      <c r="AR210" s="850"/>
      <c r="AS210" s="850"/>
      <c r="AT210" s="850"/>
      <c r="AU210" s="850"/>
      <c r="AV210" s="850"/>
      <c r="AW210" s="850"/>
      <c r="AX210" s="850"/>
      <c r="AY210" s="850"/>
      <c r="AZ210" s="850"/>
      <c r="BA210" s="850"/>
      <c r="BB210" s="850"/>
      <c r="BC210" s="850"/>
      <c r="BD210" s="850"/>
      <c r="BE210" s="850"/>
      <c r="BF210" s="850"/>
      <c r="BG210" s="850"/>
      <c r="BH210" s="850"/>
      <c r="BI210" s="850"/>
      <c r="BJ210" s="850"/>
      <c r="BK210" s="850"/>
      <c r="BL210" s="850"/>
      <c r="BM210" s="850"/>
      <c r="BN210" s="850"/>
      <c r="BO210" s="850"/>
      <c r="BP210" s="850"/>
      <c r="BQ210" s="850"/>
      <c r="BR210" s="850"/>
      <c r="BS210" s="850"/>
      <c r="BT210" s="850"/>
      <c r="BU210" s="850"/>
    </row>
    <row r="211" spans="39:73" s="165" customFormat="1">
      <c r="AM211" s="850"/>
      <c r="AN211" s="850"/>
      <c r="AO211" s="850"/>
      <c r="AP211" s="850"/>
      <c r="AQ211" s="850"/>
      <c r="AR211" s="850"/>
      <c r="AS211" s="850"/>
      <c r="AT211" s="850"/>
      <c r="AU211" s="850"/>
      <c r="AV211" s="850"/>
      <c r="AW211" s="850"/>
      <c r="AX211" s="850"/>
      <c r="AY211" s="850"/>
      <c r="AZ211" s="850"/>
      <c r="BA211" s="850"/>
      <c r="BB211" s="850"/>
      <c r="BC211" s="850"/>
      <c r="BD211" s="850"/>
      <c r="BE211" s="850"/>
      <c r="BF211" s="850"/>
      <c r="BG211" s="850"/>
      <c r="BH211" s="850"/>
      <c r="BI211" s="850"/>
      <c r="BJ211" s="850"/>
      <c r="BK211" s="850"/>
      <c r="BL211" s="850"/>
      <c r="BM211" s="850"/>
      <c r="BN211" s="850"/>
      <c r="BO211" s="850"/>
      <c r="BP211" s="850"/>
      <c r="BQ211" s="850"/>
      <c r="BR211" s="850"/>
      <c r="BS211" s="850"/>
      <c r="BT211" s="850"/>
      <c r="BU211" s="850"/>
    </row>
    <row r="212" spans="39:73" s="165" customFormat="1">
      <c r="AM212" s="850"/>
      <c r="AN212" s="850"/>
      <c r="AO212" s="850"/>
      <c r="AP212" s="850"/>
      <c r="AQ212" s="850"/>
      <c r="AR212" s="850"/>
      <c r="AS212" s="850"/>
      <c r="AT212" s="850"/>
      <c r="AU212" s="850"/>
      <c r="AV212" s="850"/>
      <c r="AW212" s="850"/>
      <c r="AX212" s="850"/>
      <c r="AY212" s="850"/>
      <c r="AZ212" s="850"/>
      <c r="BA212" s="850"/>
      <c r="BB212" s="850"/>
      <c r="BC212" s="850"/>
      <c r="BD212" s="850"/>
      <c r="BE212" s="850"/>
      <c r="BF212" s="850"/>
      <c r="BG212" s="850"/>
      <c r="BH212" s="850"/>
      <c r="BI212" s="850"/>
      <c r="BJ212" s="850"/>
      <c r="BK212" s="850"/>
      <c r="BL212" s="850"/>
      <c r="BM212" s="850"/>
      <c r="BN212" s="850"/>
      <c r="BO212" s="850"/>
      <c r="BP212" s="850"/>
      <c r="BQ212" s="850"/>
      <c r="BR212" s="850"/>
      <c r="BS212" s="850"/>
      <c r="BT212" s="850"/>
      <c r="BU212" s="850"/>
    </row>
    <row r="213" spans="39:73" s="165" customFormat="1">
      <c r="AM213" s="850"/>
      <c r="AN213" s="850"/>
      <c r="AO213" s="850"/>
      <c r="AP213" s="850"/>
      <c r="AQ213" s="850"/>
      <c r="AR213" s="850"/>
      <c r="AS213" s="850"/>
      <c r="AT213" s="850"/>
      <c r="AU213" s="850"/>
      <c r="AV213" s="850"/>
      <c r="AW213" s="850"/>
      <c r="AX213" s="850"/>
      <c r="AY213" s="850"/>
      <c r="AZ213" s="850"/>
      <c r="BA213" s="850"/>
      <c r="BB213" s="850"/>
      <c r="BC213" s="850"/>
      <c r="BD213" s="850"/>
      <c r="BE213" s="850"/>
      <c r="BF213" s="850"/>
      <c r="BG213" s="850"/>
      <c r="BH213" s="850"/>
      <c r="BI213" s="850"/>
      <c r="BJ213" s="850"/>
      <c r="BK213" s="850"/>
      <c r="BL213" s="850"/>
      <c r="BM213" s="850"/>
      <c r="BN213" s="850"/>
      <c r="BO213" s="850"/>
      <c r="BP213" s="850"/>
      <c r="BQ213" s="850"/>
      <c r="BR213" s="850"/>
      <c r="BS213" s="850"/>
      <c r="BT213" s="850"/>
      <c r="BU213" s="850"/>
    </row>
    <row r="214" spans="39:73" s="165" customFormat="1">
      <c r="AM214" s="850"/>
      <c r="AN214" s="850"/>
      <c r="AO214" s="850"/>
      <c r="AP214" s="850"/>
      <c r="AQ214" s="850"/>
      <c r="AR214" s="850"/>
      <c r="AS214" s="850"/>
      <c r="AT214" s="850"/>
      <c r="AU214" s="850"/>
      <c r="AV214" s="850"/>
      <c r="AW214" s="850"/>
      <c r="AX214" s="850"/>
      <c r="AY214" s="850"/>
      <c r="AZ214" s="850"/>
      <c r="BA214" s="850"/>
      <c r="BB214" s="850"/>
      <c r="BC214" s="850"/>
      <c r="BD214" s="850"/>
      <c r="BE214" s="850"/>
      <c r="BF214" s="850"/>
      <c r="BG214" s="850"/>
      <c r="BH214" s="850"/>
      <c r="BI214" s="850"/>
      <c r="BJ214" s="850"/>
      <c r="BK214" s="850"/>
      <c r="BL214" s="850"/>
      <c r="BM214" s="850"/>
      <c r="BN214" s="850"/>
      <c r="BO214" s="850"/>
      <c r="BP214" s="850"/>
      <c r="BQ214" s="850"/>
      <c r="BR214" s="850"/>
      <c r="BS214" s="850"/>
      <c r="BT214" s="850"/>
      <c r="BU214" s="850"/>
    </row>
    <row r="215" spans="39:73" s="165" customFormat="1">
      <c r="AM215" s="850"/>
      <c r="AN215" s="850"/>
      <c r="AO215" s="850"/>
      <c r="AP215" s="850"/>
      <c r="AQ215" s="850"/>
      <c r="AR215" s="850"/>
      <c r="AS215" s="850"/>
      <c r="AT215" s="850"/>
      <c r="AU215" s="850"/>
      <c r="AV215" s="850"/>
      <c r="AW215" s="850"/>
      <c r="AX215" s="850"/>
      <c r="AY215" s="850"/>
      <c r="AZ215" s="850"/>
      <c r="BA215" s="850"/>
      <c r="BB215" s="850"/>
      <c r="BC215" s="850"/>
      <c r="BD215" s="850"/>
      <c r="BE215" s="850"/>
      <c r="BF215" s="850"/>
      <c r="BG215" s="850"/>
      <c r="BH215" s="850"/>
      <c r="BI215" s="850"/>
      <c r="BJ215" s="850"/>
      <c r="BK215" s="850"/>
      <c r="BL215" s="850"/>
      <c r="BM215" s="850"/>
      <c r="BN215" s="850"/>
      <c r="BO215" s="850"/>
      <c r="BP215" s="850"/>
      <c r="BQ215" s="850"/>
      <c r="BR215" s="850"/>
      <c r="BS215" s="850"/>
      <c r="BT215" s="850"/>
      <c r="BU215" s="850"/>
    </row>
    <row r="216" spans="39:73" s="165" customFormat="1">
      <c r="AM216" s="850"/>
      <c r="AN216" s="850"/>
      <c r="AO216" s="850"/>
      <c r="AP216" s="850"/>
      <c r="AQ216" s="850"/>
      <c r="AR216" s="850"/>
      <c r="AS216" s="850"/>
      <c r="AT216" s="850"/>
      <c r="AU216" s="850"/>
      <c r="AV216" s="850"/>
      <c r="AW216" s="850"/>
      <c r="AX216" s="850"/>
      <c r="AY216" s="850"/>
      <c r="AZ216" s="850"/>
      <c r="BA216" s="850"/>
      <c r="BB216" s="850"/>
      <c r="BC216" s="850"/>
      <c r="BD216" s="850"/>
      <c r="BE216" s="850"/>
      <c r="BF216" s="850"/>
      <c r="BG216" s="850"/>
      <c r="BH216" s="850"/>
      <c r="BI216" s="850"/>
      <c r="BJ216" s="850"/>
      <c r="BK216" s="850"/>
      <c r="BL216" s="850"/>
      <c r="BM216" s="850"/>
      <c r="BN216" s="850"/>
      <c r="BO216" s="850"/>
      <c r="BP216" s="850"/>
      <c r="BQ216" s="850"/>
      <c r="BR216" s="850"/>
      <c r="BS216" s="850"/>
      <c r="BT216" s="850"/>
      <c r="BU216" s="850"/>
    </row>
    <row r="217" spans="39:73" s="165" customFormat="1">
      <c r="AM217" s="850"/>
      <c r="AN217" s="850"/>
      <c r="AO217" s="850"/>
      <c r="AP217" s="850"/>
      <c r="AQ217" s="850"/>
      <c r="AR217" s="850"/>
      <c r="AS217" s="850"/>
      <c r="AT217" s="850"/>
      <c r="AU217" s="850"/>
      <c r="AV217" s="850"/>
      <c r="AW217" s="850"/>
      <c r="AX217" s="850"/>
      <c r="AY217" s="850"/>
      <c r="AZ217" s="850"/>
      <c r="BA217" s="850"/>
      <c r="BB217" s="850"/>
      <c r="BC217" s="850"/>
      <c r="BD217" s="850"/>
      <c r="BE217" s="850"/>
      <c r="BF217" s="850"/>
      <c r="BG217" s="850"/>
      <c r="BH217" s="850"/>
      <c r="BI217" s="850"/>
      <c r="BJ217" s="850"/>
      <c r="BK217" s="850"/>
      <c r="BL217" s="850"/>
      <c r="BM217" s="850"/>
      <c r="BN217" s="850"/>
      <c r="BO217" s="850"/>
      <c r="BP217" s="850"/>
      <c r="BQ217" s="850"/>
      <c r="BR217" s="850"/>
      <c r="BS217" s="850"/>
      <c r="BT217" s="850"/>
      <c r="BU217" s="850"/>
    </row>
    <row r="218" spans="39:73" s="165" customFormat="1">
      <c r="AM218" s="850"/>
      <c r="AN218" s="850"/>
      <c r="AO218" s="850"/>
      <c r="AP218" s="850"/>
      <c r="AQ218" s="850"/>
      <c r="AR218" s="850"/>
      <c r="AS218" s="850"/>
      <c r="AT218" s="850"/>
      <c r="AU218" s="850"/>
      <c r="AV218" s="850"/>
      <c r="AW218" s="850"/>
      <c r="AX218" s="850"/>
      <c r="AY218" s="850"/>
      <c r="AZ218" s="850"/>
      <c r="BA218" s="850"/>
      <c r="BB218" s="850"/>
      <c r="BC218" s="850"/>
      <c r="BD218" s="850"/>
      <c r="BE218" s="850"/>
      <c r="BF218" s="850"/>
      <c r="BG218" s="850"/>
      <c r="BH218" s="850"/>
      <c r="BI218" s="850"/>
      <c r="BJ218" s="850"/>
      <c r="BK218" s="850"/>
      <c r="BL218" s="850"/>
      <c r="BM218" s="850"/>
      <c r="BN218" s="850"/>
      <c r="BO218" s="850"/>
      <c r="BP218" s="850"/>
      <c r="BQ218" s="850"/>
      <c r="BR218" s="850"/>
      <c r="BS218" s="850"/>
      <c r="BT218" s="850"/>
      <c r="BU218" s="850"/>
    </row>
    <row r="219" spans="39:73" s="165" customFormat="1">
      <c r="AM219" s="850"/>
      <c r="AN219" s="850"/>
      <c r="AO219" s="850"/>
      <c r="AP219" s="850"/>
      <c r="AQ219" s="850"/>
      <c r="AR219" s="850"/>
      <c r="AS219" s="850"/>
      <c r="AT219" s="850"/>
      <c r="AU219" s="850"/>
      <c r="AV219" s="850"/>
      <c r="AW219" s="850"/>
      <c r="AX219" s="850"/>
      <c r="AY219" s="850"/>
      <c r="AZ219" s="850"/>
      <c r="BA219" s="850"/>
      <c r="BB219" s="850"/>
      <c r="BC219" s="850"/>
      <c r="BD219" s="850"/>
      <c r="BE219" s="850"/>
      <c r="BF219" s="850"/>
      <c r="BG219" s="850"/>
      <c r="BH219" s="850"/>
      <c r="BI219" s="850"/>
      <c r="BJ219" s="850"/>
      <c r="BK219" s="850"/>
      <c r="BL219" s="850"/>
      <c r="BM219" s="850"/>
      <c r="BN219" s="850"/>
      <c r="BO219" s="850"/>
      <c r="BP219" s="850"/>
      <c r="BQ219" s="850"/>
      <c r="BR219" s="850"/>
      <c r="BS219" s="850"/>
      <c r="BT219" s="850"/>
      <c r="BU219" s="850"/>
    </row>
    <row r="220" spans="39:73" s="165" customFormat="1">
      <c r="AM220" s="850"/>
      <c r="AN220" s="850"/>
      <c r="AO220" s="850"/>
      <c r="AP220" s="850"/>
      <c r="AQ220" s="850"/>
      <c r="AR220" s="850"/>
      <c r="AS220" s="850"/>
      <c r="AT220" s="850"/>
      <c r="AU220" s="850"/>
      <c r="AV220" s="850"/>
      <c r="AW220" s="850"/>
      <c r="AX220" s="850"/>
      <c r="AY220" s="850"/>
      <c r="AZ220" s="850"/>
      <c r="BA220" s="850"/>
      <c r="BB220" s="850"/>
      <c r="BC220" s="850"/>
      <c r="BD220" s="850"/>
      <c r="BE220" s="850"/>
      <c r="BF220" s="850"/>
      <c r="BG220" s="850"/>
      <c r="BH220" s="850"/>
      <c r="BI220" s="850"/>
      <c r="BJ220" s="850"/>
      <c r="BK220" s="850"/>
      <c r="BL220" s="850"/>
      <c r="BM220" s="850"/>
      <c r="BN220" s="850"/>
      <c r="BO220" s="850"/>
      <c r="BP220" s="850"/>
      <c r="BQ220" s="850"/>
      <c r="BR220" s="850"/>
      <c r="BS220" s="850"/>
      <c r="BT220" s="850"/>
      <c r="BU220" s="850"/>
    </row>
    <row r="221" spans="39:73" s="165" customFormat="1">
      <c r="AM221" s="850"/>
      <c r="AN221" s="850"/>
      <c r="AO221" s="850"/>
      <c r="AP221" s="850"/>
      <c r="AQ221" s="850"/>
      <c r="AR221" s="850"/>
      <c r="AS221" s="850"/>
      <c r="AT221" s="850"/>
      <c r="AU221" s="850"/>
      <c r="AV221" s="850"/>
      <c r="AW221" s="850"/>
      <c r="AX221" s="850"/>
      <c r="AY221" s="850"/>
      <c r="AZ221" s="850"/>
      <c r="BA221" s="850"/>
      <c r="BB221" s="850"/>
      <c r="BC221" s="850"/>
      <c r="BD221" s="850"/>
      <c r="BE221" s="850"/>
      <c r="BF221" s="850"/>
      <c r="BG221" s="850"/>
      <c r="BH221" s="850"/>
      <c r="BI221" s="850"/>
      <c r="BJ221" s="850"/>
      <c r="BK221" s="850"/>
      <c r="BL221" s="850"/>
      <c r="BM221" s="850"/>
      <c r="BN221" s="850"/>
      <c r="BO221" s="850"/>
      <c r="BP221" s="850"/>
      <c r="BQ221" s="850"/>
      <c r="BR221" s="850"/>
      <c r="BS221" s="850"/>
      <c r="BT221" s="850"/>
      <c r="BU221" s="850"/>
    </row>
    <row r="222" spans="39:73" s="165" customFormat="1">
      <c r="AM222" s="850"/>
      <c r="AN222" s="850"/>
      <c r="AO222" s="850"/>
      <c r="AP222" s="850"/>
      <c r="AQ222" s="850"/>
      <c r="AR222" s="850"/>
      <c r="AS222" s="850"/>
      <c r="AT222" s="850"/>
      <c r="AU222" s="850"/>
      <c r="AV222" s="850"/>
      <c r="AW222" s="850"/>
      <c r="AX222" s="850"/>
      <c r="AY222" s="850"/>
      <c r="AZ222" s="850"/>
      <c r="BA222" s="850"/>
      <c r="BB222" s="850"/>
      <c r="BC222" s="850"/>
      <c r="BD222" s="850"/>
      <c r="BE222" s="850"/>
      <c r="BF222" s="850"/>
      <c r="BG222" s="850"/>
      <c r="BH222" s="850"/>
      <c r="BI222" s="850"/>
      <c r="BJ222" s="850"/>
      <c r="BK222" s="850"/>
      <c r="BL222" s="850"/>
      <c r="BM222" s="850"/>
      <c r="BN222" s="850"/>
      <c r="BO222" s="850"/>
      <c r="BP222" s="850"/>
      <c r="BQ222" s="850"/>
      <c r="BR222" s="850"/>
      <c r="BS222" s="850"/>
      <c r="BT222" s="850"/>
      <c r="BU222" s="850"/>
    </row>
    <row r="223" spans="39:73" s="165" customFormat="1">
      <c r="AM223" s="850"/>
      <c r="AN223" s="850"/>
      <c r="AO223" s="850"/>
      <c r="AP223" s="850"/>
      <c r="AQ223" s="850"/>
      <c r="AR223" s="850"/>
      <c r="AS223" s="850"/>
      <c r="AT223" s="850"/>
      <c r="AU223" s="850"/>
      <c r="AV223" s="850"/>
      <c r="AW223" s="850"/>
      <c r="AX223" s="850"/>
      <c r="AY223" s="850"/>
      <c r="AZ223" s="850"/>
      <c r="BA223" s="850"/>
      <c r="BB223" s="850"/>
      <c r="BC223" s="850"/>
      <c r="BD223" s="850"/>
      <c r="BE223" s="850"/>
      <c r="BF223" s="850"/>
      <c r="BG223" s="850"/>
      <c r="BH223" s="850"/>
      <c r="BI223" s="850"/>
      <c r="BJ223" s="850"/>
      <c r="BK223" s="850"/>
      <c r="BL223" s="850"/>
      <c r="BM223" s="850"/>
      <c r="BN223" s="850"/>
      <c r="BO223" s="850"/>
      <c r="BP223" s="850"/>
      <c r="BQ223" s="850"/>
      <c r="BR223" s="850"/>
      <c r="BS223" s="850"/>
      <c r="BT223" s="850"/>
      <c r="BU223" s="850"/>
    </row>
    <row r="224" spans="39:73" s="165" customFormat="1">
      <c r="AM224" s="850"/>
      <c r="AN224" s="850"/>
      <c r="AO224" s="850"/>
      <c r="AP224" s="850"/>
      <c r="AQ224" s="850"/>
      <c r="AR224" s="850"/>
      <c r="AS224" s="850"/>
      <c r="AT224" s="850"/>
      <c r="AU224" s="850"/>
      <c r="AV224" s="850"/>
      <c r="AW224" s="850"/>
      <c r="AX224" s="850"/>
      <c r="AY224" s="850"/>
      <c r="AZ224" s="850"/>
      <c r="BA224" s="850"/>
      <c r="BB224" s="850"/>
      <c r="BC224" s="850"/>
      <c r="BD224" s="850"/>
      <c r="BE224" s="850"/>
      <c r="BF224" s="850"/>
      <c r="BG224" s="850"/>
      <c r="BH224" s="850"/>
      <c r="BI224" s="850"/>
      <c r="BJ224" s="850"/>
      <c r="BK224" s="850"/>
      <c r="BL224" s="850"/>
      <c r="BM224" s="850"/>
      <c r="BN224" s="850"/>
      <c r="BO224" s="850"/>
      <c r="BP224" s="850"/>
      <c r="BQ224" s="850"/>
      <c r="BR224" s="850"/>
      <c r="BS224" s="850"/>
      <c r="BT224" s="850"/>
      <c r="BU224" s="850"/>
    </row>
    <row r="225" spans="39:73" s="165" customFormat="1">
      <c r="AM225" s="850"/>
      <c r="AN225" s="850"/>
      <c r="AO225" s="850"/>
      <c r="AP225" s="850"/>
      <c r="AQ225" s="850"/>
      <c r="AR225" s="850"/>
      <c r="AS225" s="850"/>
      <c r="AT225" s="850"/>
      <c r="AU225" s="850"/>
      <c r="AV225" s="850"/>
      <c r="AW225" s="850"/>
      <c r="AX225" s="850"/>
      <c r="AY225" s="850"/>
      <c r="AZ225" s="850"/>
      <c r="BA225" s="850"/>
      <c r="BB225" s="850"/>
      <c r="BC225" s="850"/>
      <c r="BD225" s="850"/>
      <c r="BE225" s="850"/>
      <c r="BF225" s="850"/>
      <c r="BG225" s="850"/>
      <c r="BH225" s="850"/>
      <c r="BI225" s="850"/>
      <c r="BJ225" s="850"/>
      <c r="BK225" s="850"/>
      <c r="BL225" s="850"/>
      <c r="BM225" s="850"/>
      <c r="BN225" s="850"/>
      <c r="BO225" s="850"/>
      <c r="BP225" s="850"/>
      <c r="BQ225" s="850"/>
      <c r="BR225" s="850"/>
      <c r="BS225" s="850"/>
      <c r="BT225" s="850"/>
      <c r="BU225" s="850"/>
    </row>
    <row r="226" spans="39:73" s="165" customFormat="1">
      <c r="AM226" s="850"/>
      <c r="AN226" s="850"/>
      <c r="AO226" s="850"/>
      <c r="AP226" s="850"/>
      <c r="AQ226" s="850"/>
      <c r="AR226" s="850"/>
      <c r="AS226" s="850"/>
      <c r="AT226" s="850"/>
      <c r="AU226" s="850"/>
      <c r="AV226" s="850"/>
      <c r="AW226" s="850"/>
      <c r="AX226" s="850"/>
      <c r="AY226" s="850"/>
      <c r="AZ226" s="850"/>
      <c r="BA226" s="850"/>
      <c r="BB226" s="850"/>
      <c r="BC226" s="850"/>
      <c r="BD226" s="850"/>
      <c r="BE226" s="850"/>
      <c r="BF226" s="850"/>
      <c r="BG226" s="850"/>
      <c r="BH226" s="850"/>
      <c r="BI226" s="850"/>
      <c r="BJ226" s="850"/>
      <c r="BK226" s="850"/>
      <c r="BL226" s="850"/>
      <c r="BM226" s="850"/>
      <c r="BN226" s="850"/>
      <c r="BO226" s="850"/>
      <c r="BP226" s="850"/>
      <c r="BQ226" s="850"/>
      <c r="BR226" s="850"/>
      <c r="BS226" s="850"/>
      <c r="BT226" s="850"/>
      <c r="BU226" s="850"/>
    </row>
    <row r="227" spans="39:73" s="165" customFormat="1">
      <c r="AM227" s="850"/>
      <c r="AN227" s="850"/>
      <c r="AO227" s="850"/>
      <c r="AP227" s="850"/>
      <c r="AQ227" s="850"/>
      <c r="AR227" s="850"/>
      <c r="AS227" s="850"/>
      <c r="AT227" s="850"/>
      <c r="AU227" s="850"/>
      <c r="AV227" s="850"/>
      <c r="AW227" s="850"/>
      <c r="AX227" s="850"/>
      <c r="AY227" s="850"/>
      <c r="AZ227" s="850"/>
      <c r="BA227" s="850"/>
      <c r="BB227" s="850"/>
      <c r="BC227" s="850"/>
      <c r="BD227" s="850"/>
      <c r="BE227" s="850"/>
      <c r="BF227" s="850"/>
      <c r="BG227" s="850"/>
      <c r="BH227" s="850"/>
      <c r="BI227" s="850"/>
      <c r="BJ227" s="850"/>
      <c r="BK227" s="850"/>
      <c r="BL227" s="850"/>
      <c r="BM227" s="850"/>
      <c r="BN227" s="850"/>
      <c r="BO227" s="850"/>
      <c r="BP227" s="850"/>
      <c r="BQ227" s="850"/>
      <c r="BR227" s="850"/>
      <c r="BS227" s="850"/>
      <c r="BT227" s="850"/>
      <c r="BU227" s="850"/>
    </row>
    <row r="228" spans="39:73" s="165" customFormat="1">
      <c r="AM228" s="850"/>
      <c r="AN228" s="850"/>
      <c r="AO228" s="850"/>
      <c r="AP228" s="850"/>
      <c r="AQ228" s="850"/>
      <c r="AR228" s="850"/>
      <c r="AS228" s="850"/>
      <c r="AT228" s="850"/>
      <c r="AU228" s="850"/>
      <c r="AV228" s="850"/>
      <c r="AW228" s="850"/>
      <c r="AX228" s="850"/>
      <c r="AY228" s="850"/>
      <c r="AZ228" s="850"/>
      <c r="BA228" s="850"/>
      <c r="BB228" s="850"/>
      <c r="BC228" s="850"/>
      <c r="BD228" s="850"/>
      <c r="BE228" s="850"/>
      <c r="BF228" s="850"/>
      <c r="BG228" s="850"/>
      <c r="BH228" s="850"/>
      <c r="BI228" s="850"/>
      <c r="BJ228" s="850"/>
      <c r="BK228" s="850"/>
      <c r="BL228" s="850"/>
      <c r="BM228" s="850"/>
      <c r="BN228" s="850"/>
      <c r="BO228" s="850"/>
      <c r="BP228" s="850"/>
      <c r="BQ228" s="850"/>
      <c r="BR228" s="850"/>
      <c r="BS228" s="850"/>
      <c r="BT228" s="850"/>
      <c r="BU228" s="850"/>
    </row>
    <row r="229" spans="39:73" s="165" customFormat="1">
      <c r="AM229" s="865"/>
      <c r="AN229" s="865"/>
      <c r="AO229" s="865"/>
      <c r="AP229" s="865"/>
      <c r="AQ229" s="865"/>
      <c r="AR229" s="865"/>
      <c r="AS229" s="865"/>
      <c r="AT229" s="865"/>
      <c r="AU229" s="865"/>
      <c r="AV229" s="865"/>
      <c r="AW229" s="865"/>
      <c r="AX229" s="865"/>
      <c r="AY229" s="865"/>
      <c r="AZ229" s="865"/>
      <c r="BA229" s="865"/>
      <c r="BB229" s="865"/>
      <c r="BC229" s="865"/>
      <c r="BD229" s="865"/>
      <c r="BE229" s="865"/>
      <c r="BF229" s="865"/>
      <c r="BG229" s="865"/>
      <c r="BH229" s="865"/>
      <c r="BI229" s="865"/>
      <c r="BJ229" s="865"/>
      <c r="BK229" s="865"/>
      <c r="BL229" s="865"/>
      <c r="BM229" s="865"/>
      <c r="BN229" s="865"/>
      <c r="BO229" s="865"/>
      <c r="BP229" s="865"/>
      <c r="BQ229" s="865"/>
      <c r="BR229" s="865"/>
      <c r="BS229" s="865"/>
      <c r="BT229" s="865"/>
      <c r="BU229" s="865"/>
    </row>
    <row r="230" spans="39:73" s="165" customFormat="1">
      <c r="AM230" s="865"/>
      <c r="AN230" s="865"/>
      <c r="AO230" s="865"/>
      <c r="AP230" s="865"/>
      <c r="AQ230" s="865"/>
      <c r="AR230" s="865"/>
      <c r="AS230" s="865"/>
      <c r="AT230" s="865"/>
      <c r="AU230" s="865"/>
      <c r="AV230" s="865"/>
      <c r="AW230" s="865"/>
      <c r="AX230" s="865"/>
      <c r="AY230" s="865"/>
      <c r="AZ230" s="865"/>
      <c r="BA230" s="865"/>
      <c r="BB230" s="865"/>
      <c r="BC230" s="865"/>
      <c r="BD230" s="865"/>
      <c r="BE230" s="865"/>
      <c r="BF230" s="865"/>
      <c r="BG230" s="865"/>
      <c r="BH230" s="865"/>
      <c r="BI230" s="865"/>
      <c r="BJ230" s="865"/>
      <c r="BK230" s="865"/>
      <c r="BL230" s="865"/>
      <c r="BM230" s="865"/>
      <c r="BN230" s="865"/>
      <c r="BO230" s="865"/>
      <c r="BP230" s="865"/>
      <c r="BQ230" s="865"/>
      <c r="BR230" s="865"/>
      <c r="BS230" s="865"/>
      <c r="BT230" s="865"/>
      <c r="BU230" s="865"/>
    </row>
    <row r="231" spans="39:73" s="165" customFormat="1">
      <c r="AM231" s="865"/>
      <c r="AN231" s="865"/>
      <c r="AO231" s="865"/>
      <c r="AP231" s="865"/>
      <c r="AQ231" s="865"/>
      <c r="AR231" s="865"/>
      <c r="AS231" s="865"/>
      <c r="AT231" s="865"/>
      <c r="AU231" s="865"/>
      <c r="AV231" s="865"/>
      <c r="AW231" s="865"/>
      <c r="AX231" s="865"/>
      <c r="AY231" s="865"/>
      <c r="AZ231" s="865"/>
      <c r="BA231" s="865"/>
      <c r="BB231" s="865"/>
      <c r="BC231" s="865"/>
      <c r="BD231" s="865"/>
      <c r="BE231" s="865"/>
      <c r="BF231" s="865"/>
      <c r="BG231" s="865"/>
      <c r="BH231" s="865"/>
      <c r="BI231" s="865"/>
      <c r="BJ231" s="865"/>
      <c r="BK231" s="865"/>
      <c r="BL231" s="865"/>
      <c r="BM231" s="865"/>
      <c r="BN231" s="865"/>
      <c r="BO231" s="865"/>
      <c r="BP231" s="865"/>
      <c r="BQ231" s="865"/>
      <c r="BR231" s="865"/>
      <c r="BS231" s="865"/>
      <c r="BT231" s="865"/>
      <c r="BU231" s="865"/>
    </row>
    <row r="232" spans="39:73" s="165" customFormat="1">
      <c r="AM232" s="865"/>
      <c r="AN232" s="865"/>
      <c r="AO232" s="865"/>
      <c r="AP232" s="865"/>
      <c r="AQ232" s="865"/>
      <c r="AR232" s="865"/>
      <c r="AS232" s="865"/>
      <c r="AT232" s="865"/>
      <c r="AU232" s="865"/>
      <c r="AV232" s="865"/>
      <c r="AW232" s="865"/>
      <c r="AX232" s="865"/>
      <c r="AY232" s="865"/>
      <c r="AZ232" s="865"/>
      <c r="BA232" s="865"/>
      <c r="BB232" s="865"/>
      <c r="BC232" s="865"/>
      <c r="BD232" s="865"/>
      <c r="BE232" s="865"/>
      <c r="BF232" s="865"/>
      <c r="BG232" s="865"/>
      <c r="BH232" s="865"/>
      <c r="BI232" s="865"/>
      <c r="BJ232" s="865"/>
      <c r="BK232" s="865"/>
      <c r="BL232" s="865"/>
      <c r="BM232" s="865"/>
      <c r="BN232" s="865"/>
      <c r="BO232" s="865"/>
      <c r="BP232" s="865"/>
      <c r="BQ232" s="865"/>
      <c r="BR232" s="865"/>
      <c r="BS232" s="865"/>
      <c r="BT232" s="865"/>
      <c r="BU232" s="865"/>
    </row>
    <row r="233" spans="39:73" s="165" customFormat="1">
      <c r="AM233" s="865"/>
      <c r="AN233" s="865"/>
      <c r="AO233" s="865"/>
      <c r="AP233" s="865"/>
      <c r="AQ233" s="865"/>
      <c r="AR233" s="865"/>
      <c r="AS233" s="865"/>
      <c r="AT233" s="865"/>
      <c r="AU233" s="865"/>
      <c r="AV233" s="865"/>
      <c r="AW233" s="865"/>
      <c r="AX233" s="865"/>
      <c r="AY233" s="865"/>
      <c r="AZ233" s="865"/>
      <c r="BA233" s="865"/>
      <c r="BB233" s="865"/>
      <c r="BC233" s="865"/>
      <c r="BD233" s="865"/>
      <c r="BE233" s="865"/>
      <c r="BF233" s="865"/>
      <c r="BG233" s="865"/>
      <c r="BH233" s="865"/>
      <c r="BI233" s="865"/>
      <c r="BJ233" s="865"/>
      <c r="BK233" s="865"/>
      <c r="BL233" s="865"/>
      <c r="BM233" s="865"/>
      <c r="BN233" s="865"/>
      <c r="BO233" s="865"/>
      <c r="BP233" s="865"/>
      <c r="BQ233" s="865"/>
      <c r="BR233" s="865"/>
      <c r="BS233" s="865"/>
      <c r="BT233" s="865"/>
      <c r="BU233" s="865"/>
    </row>
    <row r="234" spans="39:73" s="165" customFormat="1">
      <c r="AM234" s="865"/>
      <c r="AN234" s="865"/>
      <c r="AO234" s="865"/>
      <c r="AP234" s="865"/>
      <c r="AQ234" s="865"/>
      <c r="AR234" s="865"/>
      <c r="AS234" s="865"/>
      <c r="AT234" s="865"/>
      <c r="AU234" s="865"/>
      <c r="AV234" s="865"/>
      <c r="AW234" s="865"/>
      <c r="AX234" s="865"/>
      <c r="AY234" s="865"/>
      <c r="AZ234" s="865"/>
      <c r="BA234" s="865"/>
      <c r="BB234" s="865"/>
      <c r="BC234" s="865"/>
      <c r="BD234" s="865"/>
      <c r="BE234" s="865"/>
      <c r="BF234" s="865"/>
      <c r="BG234" s="865"/>
      <c r="BH234" s="865"/>
      <c r="BI234" s="865"/>
      <c r="BJ234" s="865"/>
      <c r="BK234" s="865"/>
      <c r="BL234" s="865"/>
      <c r="BM234" s="865"/>
      <c r="BN234" s="865"/>
      <c r="BO234" s="865"/>
      <c r="BP234" s="865"/>
      <c r="BQ234" s="865"/>
      <c r="BR234" s="865"/>
      <c r="BS234" s="865"/>
      <c r="BT234" s="865"/>
      <c r="BU234" s="865"/>
    </row>
    <row r="235" spans="39:73" s="165" customFormat="1">
      <c r="AM235" s="865"/>
      <c r="AN235" s="865"/>
      <c r="AO235" s="865"/>
      <c r="AP235" s="865"/>
      <c r="AQ235" s="865"/>
      <c r="AR235" s="865"/>
      <c r="AS235" s="865"/>
      <c r="AT235" s="865"/>
      <c r="AU235" s="865"/>
      <c r="AV235" s="865"/>
      <c r="AW235" s="865"/>
      <c r="AX235" s="865"/>
      <c r="AY235" s="865"/>
      <c r="AZ235" s="865"/>
      <c r="BA235" s="865"/>
      <c r="BB235" s="865"/>
      <c r="BC235" s="865"/>
      <c r="BD235" s="865"/>
      <c r="BE235" s="865"/>
      <c r="BF235" s="865"/>
      <c r="BG235" s="865"/>
      <c r="BH235" s="865"/>
      <c r="BI235" s="865"/>
      <c r="BJ235" s="865"/>
      <c r="BK235" s="865"/>
      <c r="BL235" s="865"/>
      <c r="BM235" s="865"/>
      <c r="BN235" s="865"/>
      <c r="BO235" s="865"/>
      <c r="BP235" s="865"/>
      <c r="BQ235" s="865"/>
      <c r="BR235" s="865"/>
      <c r="BS235" s="865"/>
      <c r="BT235" s="865"/>
      <c r="BU235" s="865"/>
    </row>
    <row r="236" spans="39:73" s="165" customFormat="1">
      <c r="AM236" s="865"/>
      <c r="AN236" s="865"/>
      <c r="AO236" s="865"/>
      <c r="AP236" s="865"/>
      <c r="AQ236" s="865"/>
      <c r="AR236" s="865"/>
      <c r="AS236" s="865"/>
      <c r="AT236" s="865"/>
      <c r="AU236" s="865"/>
      <c r="AV236" s="865"/>
      <c r="AW236" s="865"/>
      <c r="AX236" s="865"/>
      <c r="AY236" s="865"/>
      <c r="AZ236" s="865"/>
      <c r="BA236" s="865"/>
      <c r="BB236" s="865"/>
      <c r="BC236" s="865"/>
      <c r="BD236" s="865"/>
      <c r="BE236" s="865"/>
      <c r="BF236" s="865"/>
      <c r="BG236" s="865"/>
      <c r="BH236" s="865"/>
      <c r="BI236" s="865"/>
      <c r="BJ236" s="865"/>
      <c r="BK236" s="865"/>
      <c r="BL236" s="865"/>
      <c r="BM236" s="865"/>
      <c r="BN236" s="865"/>
      <c r="BO236" s="865"/>
      <c r="BP236" s="865"/>
      <c r="BQ236" s="865"/>
      <c r="BR236" s="865"/>
      <c r="BS236" s="865"/>
      <c r="BT236" s="865"/>
      <c r="BU236" s="865"/>
    </row>
    <row r="237" spans="39:73" s="165" customFormat="1">
      <c r="AM237" s="865"/>
      <c r="AN237" s="865"/>
      <c r="AO237" s="865"/>
      <c r="AP237" s="865"/>
      <c r="AQ237" s="865"/>
      <c r="AR237" s="865"/>
      <c r="AS237" s="865"/>
      <c r="AT237" s="865"/>
      <c r="AU237" s="865"/>
      <c r="AV237" s="865"/>
      <c r="AW237" s="865"/>
      <c r="AX237" s="865"/>
      <c r="AY237" s="865"/>
      <c r="AZ237" s="865"/>
      <c r="BA237" s="865"/>
      <c r="BB237" s="865"/>
      <c r="BC237" s="865"/>
      <c r="BD237" s="865"/>
      <c r="BE237" s="865"/>
      <c r="BF237" s="865"/>
      <c r="BG237" s="865"/>
      <c r="BH237" s="865"/>
      <c r="BI237" s="865"/>
      <c r="BJ237" s="865"/>
      <c r="BK237" s="865"/>
      <c r="BL237" s="865"/>
      <c r="BM237" s="865"/>
      <c r="BN237" s="865"/>
      <c r="BO237" s="865"/>
      <c r="BP237" s="865"/>
      <c r="BQ237" s="865"/>
      <c r="BR237" s="865"/>
      <c r="BS237" s="865"/>
      <c r="BT237" s="865"/>
      <c r="BU237" s="865"/>
    </row>
    <row r="238" spans="39:73" s="165" customFormat="1">
      <c r="AM238" s="865"/>
      <c r="AN238" s="865"/>
      <c r="AO238" s="865"/>
      <c r="AP238" s="865"/>
      <c r="AQ238" s="865"/>
      <c r="AR238" s="865"/>
      <c r="AS238" s="865"/>
      <c r="AT238" s="865"/>
      <c r="AU238" s="865"/>
      <c r="AV238" s="865"/>
      <c r="AW238" s="865"/>
      <c r="AX238" s="865"/>
      <c r="AY238" s="865"/>
      <c r="AZ238" s="865"/>
      <c r="BA238" s="865"/>
      <c r="BB238" s="865"/>
      <c r="BC238" s="865"/>
      <c r="BD238" s="865"/>
      <c r="BE238" s="865"/>
      <c r="BF238" s="865"/>
      <c r="BG238" s="865"/>
      <c r="BH238" s="865"/>
      <c r="BI238" s="865"/>
      <c r="BJ238" s="865"/>
      <c r="BK238" s="865"/>
      <c r="BL238" s="865"/>
      <c r="BM238" s="865"/>
      <c r="BN238" s="865"/>
      <c r="BO238" s="865"/>
      <c r="BP238" s="865"/>
      <c r="BQ238" s="865"/>
      <c r="BR238" s="865"/>
      <c r="BS238" s="865"/>
      <c r="BT238" s="865"/>
      <c r="BU238" s="865"/>
    </row>
    <row r="239" spans="39:73" s="165" customFormat="1">
      <c r="AM239" s="865"/>
      <c r="AN239" s="865"/>
      <c r="AO239" s="865"/>
      <c r="AP239" s="865"/>
      <c r="AQ239" s="865"/>
      <c r="AR239" s="865"/>
      <c r="AS239" s="865"/>
      <c r="AT239" s="865"/>
      <c r="AU239" s="865"/>
      <c r="AV239" s="865"/>
      <c r="AW239" s="865"/>
      <c r="AX239" s="865"/>
      <c r="AY239" s="865"/>
      <c r="AZ239" s="865"/>
      <c r="BA239" s="865"/>
      <c r="BB239" s="865"/>
      <c r="BC239" s="865"/>
      <c r="BD239" s="865"/>
      <c r="BE239" s="865"/>
      <c r="BF239" s="865"/>
      <c r="BG239" s="865"/>
      <c r="BH239" s="865"/>
      <c r="BI239" s="865"/>
      <c r="BJ239" s="865"/>
      <c r="BK239" s="865"/>
      <c r="BL239" s="865"/>
      <c r="BM239" s="865"/>
      <c r="BN239" s="865"/>
      <c r="BO239" s="865"/>
      <c r="BP239" s="865"/>
      <c r="BQ239" s="865"/>
      <c r="BR239" s="865"/>
      <c r="BS239" s="865"/>
      <c r="BT239" s="865"/>
      <c r="BU239" s="865"/>
    </row>
    <row r="240" spans="39:73" s="165" customFormat="1">
      <c r="AM240" s="865"/>
      <c r="AN240" s="865"/>
      <c r="AO240" s="865"/>
      <c r="AP240" s="865"/>
      <c r="AQ240" s="865"/>
      <c r="AR240" s="865"/>
      <c r="AS240" s="865"/>
      <c r="AT240" s="865"/>
      <c r="AU240" s="865"/>
      <c r="AV240" s="865"/>
      <c r="AW240" s="865"/>
      <c r="AX240" s="865"/>
      <c r="AY240" s="865"/>
      <c r="AZ240" s="865"/>
      <c r="BA240" s="865"/>
      <c r="BB240" s="865"/>
      <c r="BC240" s="865"/>
      <c r="BD240" s="865"/>
      <c r="BE240" s="865"/>
      <c r="BF240" s="865"/>
      <c r="BG240" s="865"/>
      <c r="BH240" s="865"/>
      <c r="BI240" s="865"/>
      <c r="BJ240" s="865"/>
      <c r="BK240" s="865"/>
      <c r="BL240" s="865"/>
      <c r="BM240" s="865"/>
      <c r="BN240" s="865"/>
      <c r="BO240" s="865"/>
      <c r="BP240" s="865"/>
      <c r="BQ240" s="865"/>
      <c r="BR240" s="865"/>
      <c r="BS240" s="865"/>
      <c r="BT240" s="865"/>
      <c r="BU240" s="865"/>
    </row>
    <row r="241" spans="39:73" s="165" customFormat="1">
      <c r="AM241" s="865"/>
      <c r="AN241" s="865"/>
      <c r="AO241" s="865"/>
      <c r="AP241" s="865"/>
      <c r="AQ241" s="865"/>
      <c r="AR241" s="865"/>
      <c r="AS241" s="865"/>
      <c r="AT241" s="865"/>
      <c r="AU241" s="865"/>
      <c r="AV241" s="865"/>
      <c r="AW241" s="865"/>
      <c r="AX241" s="865"/>
      <c r="AY241" s="865"/>
      <c r="AZ241" s="865"/>
      <c r="BA241" s="865"/>
      <c r="BB241" s="865"/>
      <c r="BC241" s="865"/>
      <c r="BD241" s="865"/>
      <c r="BE241" s="865"/>
      <c r="BF241" s="865"/>
      <c r="BG241" s="865"/>
      <c r="BH241" s="865"/>
      <c r="BI241" s="865"/>
      <c r="BJ241" s="865"/>
      <c r="BK241" s="865"/>
      <c r="BL241" s="865"/>
      <c r="BM241" s="865"/>
      <c r="BN241" s="865"/>
      <c r="BO241" s="865"/>
      <c r="BP241" s="865"/>
      <c r="BQ241" s="865"/>
      <c r="BR241" s="865"/>
      <c r="BS241" s="865"/>
      <c r="BT241" s="865"/>
      <c r="BU241" s="865"/>
    </row>
    <row r="242" spans="39:73" s="165" customFormat="1">
      <c r="AM242" s="865"/>
      <c r="AN242" s="865"/>
      <c r="AO242" s="865"/>
      <c r="AP242" s="865"/>
      <c r="AQ242" s="865"/>
      <c r="AR242" s="865"/>
      <c r="AS242" s="865"/>
      <c r="AT242" s="865"/>
      <c r="AU242" s="865"/>
      <c r="AV242" s="865"/>
      <c r="AW242" s="865"/>
      <c r="AX242" s="865"/>
      <c r="AY242" s="865"/>
      <c r="AZ242" s="865"/>
      <c r="BA242" s="865"/>
      <c r="BB242" s="865"/>
      <c r="BC242" s="865"/>
      <c r="BD242" s="865"/>
      <c r="BE242" s="865"/>
      <c r="BF242" s="865"/>
      <c r="BG242" s="865"/>
      <c r="BH242" s="865"/>
      <c r="BI242" s="865"/>
      <c r="BJ242" s="865"/>
      <c r="BK242" s="865"/>
      <c r="BL242" s="865"/>
      <c r="BM242" s="865"/>
      <c r="BN242" s="865"/>
      <c r="BO242" s="865"/>
      <c r="BP242" s="865"/>
      <c r="BQ242" s="865"/>
      <c r="BR242" s="865"/>
      <c r="BS242" s="865"/>
      <c r="BT242" s="865"/>
      <c r="BU242" s="865"/>
    </row>
    <row r="243" spans="39:73" s="165" customFormat="1">
      <c r="AM243" s="865"/>
      <c r="AN243" s="865"/>
      <c r="AO243" s="865"/>
      <c r="AP243" s="865"/>
      <c r="AQ243" s="865"/>
      <c r="AR243" s="865"/>
      <c r="AS243" s="865"/>
      <c r="AT243" s="865"/>
      <c r="AU243" s="865"/>
      <c r="AV243" s="865"/>
      <c r="AW243" s="865"/>
      <c r="AX243" s="865"/>
      <c r="AY243" s="865"/>
      <c r="AZ243" s="865"/>
      <c r="BA243" s="865"/>
      <c r="BB243" s="865"/>
      <c r="BC243" s="865"/>
      <c r="BD243" s="865"/>
      <c r="BE243" s="865"/>
      <c r="BF243" s="865"/>
      <c r="BG243" s="865"/>
      <c r="BH243" s="865"/>
      <c r="BI243" s="865"/>
      <c r="BJ243" s="865"/>
      <c r="BK243" s="865"/>
      <c r="BL243" s="865"/>
      <c r="BM243" s="865"/>
      <c r="BN243" s="865"/>
      <c r="BO243" s="865"/>
      <c r="BP243" s="865"/>
      <c r="BQ243" s="865"/>
      <c r="BR243" s="865"/>
      <c r="BS243" s="865"/>
      <c r="BT243" s="865"/>
      <c r="BU243" s="865"/>
    </row>
    <row r="244" spans="39:73" s="165" customFormat="1">
      <c r="AM244" s="865"/>
      <c r="AN244" s="865"/>
      <c r="AO244" s="865"/>
      <c r="AP244" s="865"/>
      <c r="AQ244" s="865"/>
      <c r="AR244" s="865"/>
      <c r="AS244" s="865"/>
      <c r="AT244" s="865"/>
      <c r="AU244" s="865"/>
      <c r="AV244" s="865"/>
      <c r="AW244" s="865"/>
      <c r="AX244" s="865"/>
      <c r="AY244" s="865"/>
      <c r="AZ244" s="865"/>
      <c r="BA244" s="865"/>
      <c r="BB244" s="865"/>
      <c r="BC244" s="865"/>
      <c r="BD244" s="865"/>
      <c r="BE244" s="865"/>
      <c r="BF244" s="865"/>
      <c r="BG244" s="865"/>
      <c r="BH244" s="865"/>
      <c r="BI244" s="865"/>
      <c r="BJ244" s="865"/>
      <c r="BK244" s="865"/>
      <c r="BL244" s="865"/>
      <c r="BM244" s="865"/>
      <c r="BN244" s="865"/>
      <c r="BO244" s="865"/>
      <c r="BP244" s="865"/>
      <c r="BQ244" s="865"/>
      <c r="BR244" s="865"/>
      <c r="BS244" s="865"/>
      <c r="BT244" s="865"/>
      <c r="BU244" s="865"/>
    </row>
    <row r="245" spans="39:73" s="165" customFormat="1">
      <c r="AM245" s="865"/>
      <c r="AN245" s="865"/>
      <c r="AO245" s="865"/>
      <c r="AP245" s="865"/>
      <c r="AQ245" s="865"/>
      <c r="AR245" s="865"/>
      <c r="AS245" s="865"/>
      <c r="AT245" s="865"/>
      <c r="AU245" s="865"/>
      <c r="AV245" s="865"/>
      <c r="AW245" s="865"/>
      <c r="AX245" s="865"/>
      <c r="AY245" s="865"/>
      <c r="AZ245" s="865"/>
      <c r="BA245" s="865"/>
      <c r="BB245" s="865"/>
      <c r="BC245" s="865"/>
      <c r="BD245" s="865"/>
      <c r="BE245" s="865"/>
      <c r="BF245" s="865"/>
      <c r="BG245" s="865"/>
      <c r="BH245" s="865"/>
      <c r="BI245" s="865"/>
      <c r="BJ245" s="865"/>
      <c r="BK245" s="865"/>
      <c r="BL245" s="865"/>
      <c r="BM245" s="865"/>
      <c r="BN245" s="865"/>
      <c r="BO245" s="865"/>
      <c r="BP245" s="865"/>
      <c r="BQ245" s="865"/>
      <c r="BR245" s="865"/>
      <c r="BS245" s="865"/>
      <c r="BT245" s="865"/>
      <c r="BU245" s="865"/>
    </row>
    <row r="246" spans="39:73" s="165" customFormat="1">
      <c r="AM246" s="865"/>
      <c r="AN246" s="865"/>
      <c r="AO246" s="865"/>
      <c r="AP246" s="865"/>
      <c r="AQ246" s="865"/>
      <c r="AR246" s="865"/>
      <c r="AS246" s="865"/>
      <c r="AT246" s="865"/>
      <c r="AU246" s="865"/>
      <c r="AV246" s="865"/>
      <c r="AW246" s="865"/>
      <c r="AX246" s="865"/>
      <c r="AY246" s="865"/>
      <c r="AZ246" s="865"/>
      <c r="BA246" s="865"/>
      <c r="BB246" s="865"/>
      <c r="BC246" s="865"/>
      <c r="BD246" s="865"/>
      <c r="BE246" s="865"/>
      <c r="BF246" s="865"/>
      <c r="BG246" s="865"/>
      <c r="BH246" s="865"/>
      <c r="BI246" s="865"/>
      <c r="BJ246" s="865"/>
      <c r="BK246" s="865"/>
      <c r="BL246" s="865"/>
      <c r="BM246" s="865"/>
      <c r="BN246" s="865"/>
      <c r="BO246" s="865"/>
      <c r="BP246" s="865"/>
      <c r="BQ246" s="865"/>
      <c r="BR246" s="865"/>
      <c r="BS246" s="865"/>
      <c r="BT246" s="865"/>
      <c r="BU246" s="865"/>
    </row>
    <row r="247" spans="39:73" s="165" customFormat="1">
      <c r="AM247" s="865"/>
      <c r="AN247" s="865"/>
      <c r="AO247" s="865"/>
      <c r="AP247" s="865"/>
      <c r="AQ247" s="865"/>
      <c r="AR247" s="865"/>
      <c r="AS247" s="865"/>
      <c r="AT247" s="865"/>
      <c r="AU247" s="865"/>
      <c r="AV247" s="865"/>
      <c r="AW247" s="865"/>
      <c r="AX247" s="865"/>
      <c r="AY247" s="865"/>
      <c r="AZ247" s="865"/>
      <c r="BA247" s="865"/>
      <c r="BB247" s="865"/>
      <c r="BC247" s="865"/>
      <c r="BD247" s="865"/>
      <c r="BE247" s="865"/>
      <c r="BF247" s="865"/>
      <c r="BG247" s="865"/>
      <c r="BH247" s="865"/>
      <c r="BI247" s="865"/>
      <c r="BJ247" s="865"/>
      <c r="BK247" s="865"/>
      <c r="BL247" s="865"/>
      <c r="BM247" s="865"/>
      <c r="BN247" s="865"/>
      <c r="BO247" s="865"/>
      <c r="BP247" s="865"/>
      <c r="BQ247" s="865"/>
      <c r="BR247" s="865"/>
      <c r="BS247" s="865"/>
      <c r="BT247" s="865"/>
      <c r="BU247" s="865"/>
    </row>
    <row r="248" spans="39:73" s="165" customFormat="1">
      <c r="AM248" s="865"/>
      <c r="AN248" s="865"/>
      <c r="AO248" s="865"/>
      <c r="AP248" s="865"/>
      <c r="AQ248" s="865"/>
      <c r="AR248" s="865"/>
      <c r="AS248" s="865"/>
      <c r="AT248" s="865"/>
      <c r="AU248" s="865"/>
      <c r="AV248" s="865"/>
      <c r="AW248" s="865"/>
      <c r="AX248" s="865"/>
      <c r="AY248" s="865"/>
      <c r="AZ248" s="865"/>
      <c r="BA248" s="865"/>
      <c r="BB248" s="865"/>
      <c r="BC248" s="865"/>
      <c r="BD248" s="865"/>
      <c r="BE248" s="865"/>
      <c r="BF248" s="865"/>
      <c r="BG248" s="865"/>
      <c r="BH248" s="865"/>
      <c r="BI248" s="865"/>
      <c r="BJ248" s="865"/>
      <c r="BK248" s="865"/>
      <c r="BL248" s="865"/>
      <c r="BM248" s="865"/>
      <c r="BN248" s="865"/>
      <c r="BO248" s="865"/>
      <c r="BP248" s="865"/>
      <c r="BQ248" s="865"/>
      <c r="BR248" s="865"/>
      <c r="BS248" s="865"/>
      <c r="BT248" s="865"/>
      <c r="BU248" s="865"/>
    </row>
    <row r="249" spans="39:73" s="165" customFormat="1">
      <c r="AM249" s="865"/>
      <c r="AN249" s="865"/>
      <c r="AO249" s="865"/>
      <c r="AP249" s="865"/>
      <c r="AQ249" s="865"/>
      <c r="AR249" s="865"/>
      <c r="AS249" s="865"/>
      <c r="AT249" s="865"/>
      <c r="AU249" s="865"/>
      <c r="AV249" s="865"/>
      <c r="AW249" s="865"/>
      <c r="AX249" s="865"/>
      <c r="AY249" s="865"/>
      <c r="AZ249" s="865"/>
      <c r="BA249" s="865"/>
      <c r="BB249" s="865"/>
      <c r="BC249" s="865"/>
      <c r="BD249" s="865"/>
      <c r="BE249" s="865"/>
      <c r="BF249" s="865"/>
      <c r="BG249" s="865"/>
      <c r="BH249" s="865"/>
      <c r="BI249" s="865"/>
      <c r="BJ249" s="865"/>
      <c r="BK249" s="865"/>
      <c r="BL249" s="865"/>
      <c r="BM249" s="865"/>
      <c r="BN249" s="865"/>
      <c r="BO249" s="865"/>
      <c r="BP249" s="865"/>
      <c r="BQ249" s="865"/>
      <c r="BR249" s="865"/>
      <c r="BS249" s="865"/>
      <c r="BT249" s="865"/>
      <c r="BU249" s="865"/>
    </row>
    <row r="250" spans="39:73" s="165" customFormat="1">
      <c r="AM250" s="865"/>
      <c r="AN250" s="865"/>
      <c r="AO250" s="865"/>
      <c r="AP250" s="865"/>
      <c r="AQ250" s="865"/>
      <c r="AR250" s="865"/>
      <c r="AS250" s="865"/>
      <c r="AT250" s="865"/>
      <c r="AU250" s="865"/>
      <c r="AV250" s="865"/>
      <c r="AW250" s="865"/>
      <c r="AX250" s="865"/>
      <c r="AY250" s="865"/>
      <c r="AZ250" s="865"/>
      <c r="BA250" s="865"/>
      <c r="BB250" s="865"/>
      <c r="BC250" s="865"/>
      <c r="BD250" s="865"/>
      <c r="BE250" s="865"/>
      <c r="BF250" s="865"/>
      <c r="BG250" s="865"/>
      <c r="BH250" s="865"/>
      <c r="BI250" s="865"/>
      <c r="BJ250" s="865"/>
      <c r="BK250" s="865"/>
      <c r="BL250" s="865"/>
      <c r="BM250" s="865"/>
      <c r="BN250" s="865"/>
      <c r="BO250" s="865"/>
      <c r="BP250" s="865"/>
      <c r="BQ250" s="865"/>
      <c r="BR250" s="865"/>
      <c r="BS250" s="865"/>
      <c r="BT250" s="865"/>
      <c r="BU250" s="865"/>
    </row>
    <row r="251" spans="39:73" s="165" customFormat="1">
      <c r="AM251" s="865"/>
      <c r="AN251" s="865"/>
      <c r="AO251" s="865"/>
      <c r="AP251" s="865"/>
      <c r="AQ251" s="865"/>
      <c r="AR251" s="865"/>
      <c r="AS251" s="865"/>
      <c r="AT251" s="865"/>
      <c r="AU251" s="865"/>
      <c r="AV251" s="865"/>
      <c r="AW251" s="865"/>
      <c r="AX251" s="865"/>
      <c r="AY251" s="865"/>
      <c r="AZ251" s="865"/>
      <c r="BA251" s="865"/>
      <c r="BB251" s="865"/>
      <c r="BC251" s="865"/>
      <c r="BD251" s="865"/>
      <c r="BE251" s="865"/>
      <c r="BF251" s="865"/>
      <c r="BG251" s="865"/>
      <c r="BH251" s="865"/>
      <c r="BI251" s="865"/>
      <c r="BJ251" s="865"/>
      <c r="BK251" s="865"/>
      <c r="BL251" s="865"/>
      <c r="BM251" s="865"/>
      <c r="BN251" s="865"/>
      <c r="BO251" s="865"/>
      <c r="BP251" s="865"/>
      <c r="BQ251" s="865"/>
      <c r="BR251" s="865"/>
      <c r="BS251" s="865"/>
      <c r="BT251" s="865"/>
      <c r="BU251" s="865"/>
    </row>
    <row r="252" spans="39:73" s="165" customFormat="1">
      <c r="AM252" s="865"/>
      <c r="AN252" s="865"/>
      <c r="AO252" s="865"/>
      <c r="AP252" s="865"/>
      <c r="AQ252" s="865"/>
      <c r="AR252" s="865"/>
      <c r="AS252" s="865"/>
      <c r="AT252" s="865"/>
      <c r="AU252" s="865"/>
      <c r="AV252" s="865"/>
      <c r="AW252" s="865"/>
      <c r="AX252" s="865"/>
      <c r="AY252" s="865"/>
      <c r="AZ252" s="865"/>
      <c r="BA252" s="865"/>
      <c r="BB252" s="865"/>
      <c r="BC252" s="865"/>
      <c r="BD252" s="865"/>
      <c r="BE252" s="865"/>
      <c r="BF252" s="865"/>
      <c r="BG252" s="865"/>
      <c r="BH252" s="865"/>
      <c r="BI252" s="865"/>
      <c r="BJ252" s="865"/>
      <c r="BK252" s="865"/>
      <c r="BL252" s="865"/>
      <c r="BM252" s="865"/>
      <c r="BN252" s="865"/>
      <c r="BO252" s="865"/>
      <c r="BP252" s="865"/>
      <c r="BQ252" s="865"/>
      <c r="BR252" s="865"/>
      <c r="BS252" s="865"/>
      <c r="BT252" s="865"/>
      <c r="BU252" s="865"/>
    </row>
    <row r="253" spans="39:73" s="165" customFormat="1">
      <c r="AM253" s="865"/>
      <c r="AN253" s="865"/>
      <c r="AO253" s="865"/>
      <c r="AP253" s="865"/>
      <c r="AQ253" s="865"/>
      <c r="AR253" s="865"/>
      <c r="AS253" s="865"/>
      <c r="AT253" s="865"/>
      <c r="AU253" s="865"/>
      <c r="AV253" s="865"/>
      <c r="AW253" s="865"/>
      <c r="AX253" s="865"/>
      <c r="AY253" s="865"/>
      <c r="AZ253" s="865"/>
      <c r="BA253" s="865"/>
      <c r="BB253" s="865"/>
      <c r="BC253" s="865"/>
      <c r="BD253" s="865"/>
      <c r="BE253" s="865"/>
      <c r="BF253" s="865"/>
      <c r="BG253" s="865"/>
      <c r="BH253" s="865"/>
      <c r="BI253" s="865"/>
      <c r="BJ253" s="865"/>
      <c r="BK253" s="865"/>
      <c r="BL253" s="865"/>
      <c r="BM253" s="865"/>
      <c r="BN253" s="865"/>
      <c r="BO253" s="865"/>
      <c r="BP253" s="865"/>
      <c r="BQ253" s="865"/>
      <c r="BR253" s="865"/>
      <c r="BS253" s="865"/>
      <c r="BT253" s="865"/>
      <c r="BU253" s="865"/>
    </row>
    <row r="254" spans="39:73" s="165" customFormat="1">
      <c r="AM254" s="865"/>
      <c r="AN254" s="865"/>
      <c r="AO254" s="865"/>
      <c r="AP254" s="865"/>
      <c r="AQ254" s="865"/>
      <c r="AR254" s="865"/>
      <c r="AS254" s="865"/>
      <c r="AT254" s="865"/>
      <c r="AU254" s="865"/>
      <c r="AV254" s="865"/>
      <c r="AW254" s="865"/>
      <c r="AX254" s="865"/>
      <c r="AY254" s="865"/>
      <c r="AZ254" s="865"/>
      <c r="BA254" s="865"/>
      <c r="BB254" s="865"/>
      <c r="BC254" s="865"/>
      <c r="BD254" s="865"/>
      <c r="BE254" s="865"/>
      <c r="BF254" s="865"/>
      <c r="BG254" s="865"/>
      <c r="BH254" s="865"/>
      <c r="BI254" s="865"/>
      <c r="BJ254" s="865"/>
      <c r="BK254" s="865"/>
      <c r="BL254" s="865"/>
      <c r="BM254" s="865"/>
      <c r="BN254" s="865"/>
      <c r="BO254" s="865"/>
      <c r="BP254" s="865"/>
      <c r="BQ254" s="865"/>
      <c r="BR254" s="865"/>
      <c r="BS254" s="865"/>
      <c r="BT254" s="865"/>
      <c r="BU254" s="865"/>
    </row>
    <row r="255" spans="39:73" s="165" customFormat="1">
      <c r="AM255" s="865"/>
      <c r="AN255" s="865"/>
      <c r="AO255" s="865"/>
      <c r="AP255" s="865"/>
      <c r="AQ255" s="865"/>
      <c r="AR255" s="865"/>
      <c r="AS255" s="865"/>
      <c r="AT255" s="865"/>
      <c r="AU255" s="865"/>
      <c r="AV255" s="865"/>
      <c r="AW255" s="865"/>
      <c r="AX255" s="865"/>
      <c r="AY255" s="865"/>
      <c r="AZ255" s="865"/>
      <c r="BA255" s="865"/>
      <c r="BB255" s="865"/>
      <c r="BC255" s="865"/>
      <c r="BD255" s="865"/>
      <c r="BE255" s="865"/>
      <c r="BF255" s="865"/>
      <c r="BG255" s="865"/>
      <c r="BH255" s="865"/>
      <c r="BI255" s="865"/>
      <c r="BJ255" s="865"/>
      <c r="BK255" s="865"/>
      <c r="BL255" s="865"/>
      <c r="BM255" s="865"/>
      <c r="BN255" s="865"/>
      <c r="BO255" s="865"/>
      <c r="BP255" s="865"/>
      <c r="BQ255" s="865"/>
      <c r="BR255" s="865"/>
      <c r="BS255" s="865"/>
      <c r="BT255" s="865"/>
      <c r="BU255" s="865"/>
    </row>
    <row r="256" spans="39:73" s="165" customFormat="1">
      <c r="AM256" s="865"/>
      <c r="AN256" s="865"/>
      <c r="AO256" s="865"/>
      <c r="AP256" s="865"/>
      <c r="AQ256" s="865"/>
      <c r="AR256" s="865"/>
      <c r="AS256" s="865"/>
      <c r="AT256" s="865"/>
      <c r="AU256" s="865"/>
      <c r="AV256" s="865"/>
      <c r="AW256" s="865"/>
      <c r="AX256" s="865"/>
      <c r="AY256" s="865"/>
      <c r="AZ256" s="865"/>
      <c r="BA256" s="865"/>
      <c r="BB256" s="865"/>
      <c r="BC256" s="865"/>
      <c r="BD256" s="865"/>
      <c r="BE256" s="865"/>
      <c r="BF256" s="865"/>
      <c r="BG256" s="865"/>
      <c r="BH256" s="865"/>
      <c r="BI256" s="865"/>
      <c r="BJ256" s="865"/>
      <c r="BK256" s="865"/>
      <c r="BL256" s="865"/>
      <c r="BM256" s="865"/>
      <c r="BN256" s="865"/>
      <c r="BO256" s="865"/>
      <c r="BP256" s="865"/>
      <c r="BQ256" s="865"/>
      <c r="BR256" s="865"/>
      <c r="BS256" s="865"/>
      <c r="BT256" s="865"/>
      <c r="BU256" s="865"/>
    </row>
    <row r="257" spans="39:73" s="165" customFormat="1">
      <c r="AM257" s="865"/>
      <c r="AN257" s="865"/>
      <c r="AO257" s="865"/>
      <c r="AP257" s="865"/>
      <c r="AQ257" s="865"/>
      <c r="AR257" s="865"/>
      <c r="AS257" s="865"/>
      <c r="AT257" s="865"/>
      <c r="AU257" s="865"/>
      <c r="AV257" s="865"/>
      <c r="AW257" s="865"/>
      <c r="AX257" s="865"/>
      <c r="AY257" s="865"/>
      <c r="AZ257" s="865"/>
      <c r="BA257" s="865"/>
      <c r="BB257" s="865"/>
      <c r="BC257" s="865"/>
      <c r="BD257" s="865"/>
      <c r="BE257" s="865"/>
      <c r="BF257" s="865"/>
      <c r="BG257" s="865"/>
      <c r="BH257" s="865"/>
      <c r="BI257" s="865"/>
      <c r="BJ257" s="865"/>
      <c r="BK257" s="865"/>
      <c r="BL257" s="865"/>
      <c r="BM257" s="865"/>
      <c r="BN257" s="865"/>
      <c r="BO257" s="865"/>
      <c r="BP257" s="865"/>
      <c r="BQ257" s="865"/>
      <c r="BR257" s="865"/>
      <c r="BS257" s="865"/>
      <c r="BT257" s="865"/>
      <c r="BU257" s="865"/>
    </row>
    <row r="258" spans="39:73" s="165" customFormat="1">
      <c r="AM258" s="865"/>
      <c r="AN258" s="865"/>
      <c r="AO258" s="865"/>
      <c r="AP258" s="865"/>
      <c r="AQ258" s="865"/>
      <c r="AR258" s="865"/>
      <c r="AS258" s="865"/>
      <c r="AT258" s="865"/>
      <c r="AU258" s="865"/>
      <c r="AV258" s="865"/>
      <c r="AW258" s="865"/>
      <c r="AX258" s="865"/>
      <c r="AY258" s="865"/>
      <c r="AZ258" s="865"/>
      <c r="BA258" s="865"/>
      <c r="BB258" s="865"/>
      <c r="BC258" s="865"/>
      <c r="BD258" s="865"/>
      <c r="BE258" s="865"/>
      <c r="BF258" s="865"/>
      <c r="BG258" s="865"/>
      <c r="BH258" s="865"/>
      <c r="BI258" s="865"/>
      <c r="BJ258" s="865"/>
      <c r="BK258" s="865"/>
      <c r="BL258" s="865"/>
      <c r="BM258" s="865"/>
      <c r="BN258" s="865"/>
      <c r="BO258" s="865"/>
      <c r="BP258" s="865"/>
      <c r="BQ258" s="865"/>
      <c r="BR258" s="865"/>
      <c r="BS258" s="865"/>
      <c r="BT258" s="865"/>
      <c r="BU258" s="865"/>
    </row>
    <row r="259" spans="39:73" s="165" customFormat="1">
      <c r="AM259" s="865"/>
      <c r="AN259" s="865"/>
      <c r="AO259" s="865"/>
      <c r="AP259" s="865"/>
      <c r="AQ259" s="865"/>
      <c r="AR259" s="865"/>
      <c r="AS259" s="865"/>
      <c r="AT259" s="865"/>
      <c r="AU259" s="865"/>
      <c r="AV259" s="865"/>
      <c r="AW259" s="865"/>
      <c r="AX259" s="865"/>
      <c r="AY259" s="865"/>
      <c r="AZ259" s="865"/>
      <c r="BA259" s="865"/>
      <c r="BB259" s="865"/>
      <c r="BC259" s="865"/>
      <c r="BD259" s="865"/>
      <c r="BE259" s="865"/>
      <c r="BF259" s="865"/>
      <c r="BG259" s="865"/>
      <c r="BH259" s="865"/>
      <c r="BI259" s="865"/>
      <c r="BJ259" s="865"/>
      <c r="BK259" s="865"/>
      <c r="BL259" s="865"/>
      <c r="BM259" s="865"/>
      <c r="BN259" s="865"/>
      <c r="BO259" s="865"/>
      <c r="BP259" s="865"/>
      <c r="BQ259" s="865"/>
      <c r="BR259" s="865"/>
      <c r="BS259" s="865"/>
      <c r="BT259" s="865"/>
      <c r="BU259" s="865"/>
    </row>
    <row r="260" spans="39:73" s="165" customFormat="1">
      <c r="AM260" s="865"/>
      <c r="AN260" s="865"/>
      <c r="AO260" s="865"/>
      <c r="AP260" s="865"/>
      <c r="AQ260" s="865"/>
      <c r="AR260" s="865"/>
      <c r="AS260" s="865"/>
      <c r="AT260" s="865"/>
      <c r="AU260" s="865"/>
      <c r="AV260" s="865"/>
      <c r="AW260" s="865"/>
      <c r="AX260" s="865"/>
      <c r="AY260" s="865"/>
      <c r="AZ260" s="865"/>
      <c r="BA260" s="865"/>
      <c r="BB260" s="865"/>
      <c r="BC260" s="865"/>
      <c r="BD260" s="865"/>
      <c r="BE260" s="865"/>
      <c r="BF260" s="865"/>
      <c r="BG260" s="865"/>
      <c r="BH260" s="865"/>
      <c r="BI260" s="865"/>
      <c r="BJ260" s="865"/>
      <c r="BK260" s="865"/>
      <c r="BL260" s="865"/>
      <c r="BM260" s="865"/>
      <c r="BN260" s="865"/>
      <c r="BO260" s="865"/>
      <c r="BP260" s="865"/>
      <c r="BQ260" s="865"/>
      <c r="BR260" s="865"/>
      <c r="BS260" s="865"/>
      <c r="BT260" s="865"/>
      <c r="BU260" s="865"/>
    </row>
    <row r="261" spans="39:73" s="165" customFormat="1">
      <c r="AM261" s="865"/>
      <c r="AN261" s="865"/>
      <c r="AO261" s="865"/>
      <c r="AP261" s="865"/>
      <c r="AQ261" s="865"/>
      <c r="AR261" s="865"/>
      <c r="AS261" s="865"/>
      <c r="AT261" s="865"/>
      <c r="AU261" s="865"/>
      <c r="AV261" s="865"/>
      <c r="AW261" s="865"/>
      <c r="AX261" s="865"/>
      <c r="AY261" s="865"/>
      <c r="AZ261" s="865"/>
      <c r="BA261" s="865"/>
      <c r="BB261" s="865"/>
      <c r="BC261" s="865"/>
      <c r="BD261" s="865"/>
      <c r="BE261" s="865"/>
      <c r="BF261" s="865"/>
      <c r="BG261" s="865"/>
      <c r="BH261" s="865"/>
      <c r="BI261" s="865"/>
      <c r="BJ261" s="865"/>
      <c r="BK261" s="865"/>
      <c r="BL261" s="865"/>
      <c r="BM261" s="865"/>
      <c r="BN261" s="865"/>
      <c r="BO261" s="865"/>
      <c r="BP261" s="865"/>
      <c r="BQ261" s="865"/>
      <c r="BR261" s="865"/>
      <c r="BS261" s="865"/>
      <c r="BT261" s="865"/>
      <c r="BU261" s="865"/>
    </row>
    <row r="262" spans="39:73" s="165" customFormat="1"/>
    <row r="263" spans="39:73" s="165" customFormat="1"/>
    <row r="264" spans="39:73" s="165" customFormat="1"/>
    <row r="265" spans="39:73" s="165" customFormat="1"/>
    <row r="266" spans="39:73" s="165" customFormat="1"/>
    <row r="267" spans="39:73" s="165" customFormat="1"/>
    <row r="268" spans="39:73" s="165" customFormat="1"/>
    <row r="269" spans="39:73" s="165" customFormat="1"/>
    <row r="270" spans="39:73" s="165" customFormat="1"/>
    <row r="271" spans="39:73" s="165" customFormat="1"/>
    <row r="272" spans="39:73" s="165" customFormat="1"/>
    <row r="273" s="165" customFormat="1"/>
    <row r="274" s="165" customFormat="1"/>
    <row r="275" s="165" customFormat="1"/>
    <row r="276" s="165" customFormat="1"/>
    <row r="277" s="165" customFormat="1"/>
    <row r="278" s="165" customFormat="1"/>
    <row r="279" s="165" customFormat="1"/>
    <row r="280" s="165" customFormat="1"/>
    <row r="281" s="165" customFormat="1"/>
    <row r="282" s="165" customFormat="1"/>
    <row r="283" s="165" customFormat="1"/>
    <row r="284" s="165" customFormat="1"/>
    <row r="285" s="165" customFormat="1"/>
    <row r="286" s="165" customFormat="1"/>
    <row r="287" s="165" customFormat="1"/>
    <row r="288" s="165" customFormat="1"/>
    <row r="289" s="165" customFormat="1"/>
    <row r="290" s="165" customFormat="1"/>
    <row r="291" s="165" customFormat="1"/>
    <row r="292" s="165" customFormat="1"/>
    <row r="293" s="165" customFormat="1"/>
    <row r="294" s="165" customFormat="1"/>
    <row r="295" s="165" customFormat="1"/>
    <row r="296" s="165" customFormat="1"/>
    <row r="297" s="165" customFormat="1"/>
    <row r="298" s="165" customFormat="1"/>
    <row r="299" s="165" customFormat="1"/>
    <row r="300" s="165" customFormat="1"/>
    <row r="301" s="165" customFormat="1"/>
    <row r="302" s="165" customFormat="1"/>
    <row r="303" s="165" customFormat="1"/>
    <row r="304" s="165" customFormat="1"/>
    <row r="305" s="165" customFormat="1"/>
    <row r="306" s="165" customFormat="1"/>
    <row r="307" s="165" customFormat="1"/>
    <row r="308" s="165" customFormat="1"/>
    <row r="309" s="165" customFormat="1"/>
    <row r="310" s="165" customFormat="1"/>
    <row r="311" s="165" customFormat="1"/>
    <row r="312" s="165" customFormat="1"/>
    <row r="313" s="165" customFormat="1"/>
    <row r="314" s="165" customFormat="1"/>
    <row r="315" s="165" customFormat="1"/>
    <row r="316" s="165" customFormat="1"/>
    <row r="317" s="165" customFormat="1"/>
    <row r="318" s="165" customFormat="1"/>
    <row r="319" s="165" customFormat="1"/>
    <row r="320" s="165" customFormat="1"/>
    <row r="321" s="165" customFormat="1"/>
    <row r="322" s="165" customFormat="1"/>
    <row r="323" s="165" customFormat="1"/>
    <row r="324" s="165" customFormat="1"/>
    <row r="325" s="165" customFormat="1"/>
    <row r="326" s="165" customFormat="1"/>
    <row r="327" s="165" customFormat="1"/>
    <row r="328" s="165" customFormat="1"/>
    <row r="329" s="165" customFormat="1"/>
    <row r="330" s="165" customFormat="1"/>
    <row r="331" s="165" customFormat="1"/>
    <row r="332" s="165" customFormat="1"/>
    <row r="333" s="165" customFormat="1"/>
    <row r="334" s="165" customFormat="1"/>
    <row r="335" s="165" customFormat="1"/>
    <row r="336" s="165" customFormat="1"/>
    <row r="337" s="165" customFormat="1"/>
    <row r="338" s="165" customFormat="1"/>
    <row r="339" s="165" customFormat="1"/>
    <row r="340" s="165" customFormat="1"/>
    <row r="341" s="165" customFormat="1"/>
    <row r="342" s="165" customFormat="1"/>
    <row r="343" s="165" customFormat="1"/>
    <row r="344" s="165" customFormat="1"/>
    <row r="345" s="165" customFormat="1"/>
    <row r="346" s="165" customFormat="1"/>
    <row r="347" s="165" customFormat="1"/>
    <row r="348" s="165" customFormat="1"/>
    <row r="349" s="165" customFormat="1"/>
    <row r="350" s="165" customFormat="1"/>
    <row r="351" s="165" customFormat="1"/>
    <row r="352" s="165" customFormat="1"/>
    <row r="353" s="165" customFormat="1"/>
    <row r="354" s="165" customFormat="1"/>
    <row r="355" s="165" customFormat="1"/>
    <row r="356" s="165" customFormat="1"/>
    <row r="357" s="165" customFormat="1"/>
    <row r="358" s="165" customFormat="1"/>
    <row r="359" s="165" customFormat="1"/>
    <row r="360" s="165" customFormat="1"/>
    <row r="361" s="165" customFormat="1"/>
    <row r="362" s="165" customFormat="1"/>
    <row r="363" s="165" customFormat="1"/>
    <row r="364" s="165" customFormat="1"/>
    <row r="365" s="165" customFormat="1"/>
    <row r="366" s="165" customFormat="1"/>
    <row r="367" s="165" customFormat="1"/>
    <row r="368" s="165" customFormat="1"/>
    <row r="369" s="165" customFormat="1"/>
    <row r="370" s="165" customFormat="1"/>
    <row r="371" s="165" customFormat="1"/>
    <row r="372" s="165" customFormat="1"/>
    <row r="373" s="165" customFormat="1"/>
    <row r="374" s="165" customFormat="1"/>
    <row r="375" s="165" customFormat="1"/>
    <row r="376" s="165" customFormat="1"/>
    <row r="377" s="165" customFormat="1"/>
    <row r="378" s="165" customFormat="1"/>
    <row r="379" s="165" customFormat="1"/>
    <row r="380" s="165" customFormat="1"/>
    <row r="381" s="165" customFormat="1"/>
    <row r="382" s="165" customFormat="1"/>
    <row r="383" s="165" customFormat="1"/>
    <row r="384" s="165" customFormat="1"/>
    <row r="385" s="165" customFormat="1"/>
    <row r="386" s="165" customFormat="1"/>
    <row r="387" s="165" customFormat="1"/>
    <row r="388" s="165" customFormat="1"/>
    <row r="389" s="165" customFormat="1"/>
    <row r="390" s="165" customFormat="1"/>
    <row r="391" s="165" customFormat="1"/>
    <row r="392" s="165" customFormat="1"/>
    <row r="393" s="165" customFormat="1"/>
    <row r="394" s="165" customFormat="1"/>
    <row r="395" s="165" customFormat="1"/>
    <row r="396" s="165" customFormat="1"/>
    <row r="397" s="165" customFormat="1"/>
    <row r="398" s="165" customFormat="1"/>
    <row r="399" s="165" customFormat="1"/>
    <row r="400" s="165" customFormat="1"/>
    <row r="401" s="165" customFormat="1"/>
    <row r="402" s="165" customFormat="1"/>
    <row r="403" s="165" customFormat="1"/>
    <row r="404" s="165" customFormat="1"/>
    <row r="405" s="165" customFormat="1"/>
    <row r="406" s="165" customFormat="1"/>
    <row r="407" s="165" customFormat="1"/>
    <row r="408" s="165" customFormat="1"/>
    <row r="409" s="165" customFormat="1"/>
    <row r="410" s="165" customFormat="1"/>
    <row r="411" s="165" customFormat="1"/>
    <row r="412" s="165" customFormat="1"/>
    <row r="413" s="165" customFormat="1"/>
    <row r="414" s="165" customFormat="1"/>
    <row r="415" s="165" customFormat="1"/>
    <row r="416" s="165" customFormat="1"/>
    <row r="417" s="165" customFormat="1"/>
    <row r="418" s="165" customFormat="1"/>
    <row r="419" s="165" customFormat="1"/>
    <row r="420" s="165" customFormat="1"/>
    <row r="421" s="165" customFormat="1"/>
    <row r="422" s="165" customFormat="1"/>
    <row r="423" s="165" customFormat="1"/>
    <row r="424" s="165" customFormat="1"/>
    <row r="425" s="165" customFormat="1"/>
    <row r="426" s="165" customFormat="1"/>
    <row r="427" s="165" customFormat="1"/>
    <row r="428" s="165" customFormat="1"/>
    <row r="429" s="165" customFormat="1"/>
    <row r="430" s="165" customFormat="1"/>
    <row r="431" s="165" customFormat="1"/>
    <row r="432" s="165" customFormat="1"/>
    <row r="433" s="165" customFormat="1"/>
    <row r="434" s="165" customFormat="1"/>
    <row r="435" s="165" customFormat="1"/>
    <row r="436" s="165" customFormat="1"/>
    <row r="437" s="165" customFormat="1"/>
    <row r="438" s="165" customFormat="1"/>
    <row r="439" s="165" customFormat="1"/>
    <row r="440" s="165" customFormat="1"/>
    <row r="441" s="165" customFormat="1"/>
    <row r="442" s="165" customFormat="1"/>
    <row r="443" s="165" customFormat="1"/>
    <row r="444" s="165" customFormat="1"/>
    <row r="445" s="165" customFormat="1"/>
    <row r="446" s="165" customFormat="1"/>
    <row r="447" s="165" customFormat="1"/>
    <row r="448" s="165" customFormat="1"/>
    <row r="449" s="165" customFormat="1"/>
    <row r="450" s="165" customFormat="1"/>
    <row r="451" s="165" customFormat="1"/>
    <row r="452" s="165" customFormat="1"/>
    <row r="453" s="165" customFormat="1"/>
    <row r="454" s="165" customFormat="1"/>
    <row r="455" s="165" customFormat="1"/>
    <row r="456" s="165" customFormat="1"/>
    <row r="457" s="165" customFormat="1"/>
    <row r="458" s="165" customFormat="1"/>
    <row r="459" s="165" customFormat="1"/>
    <row r="460" s="165" customFormat="1"/>
    <row r="461" s="165" customFormat="1"/>
    <row r="462" s="165" customFormat="1"/>
    <row r="463" s="165" customFormat="1"/>
    <row r="464" s="165" customFormat="1"/>
    <row r="465" s="165" customFormat="1"/>
    <row r="466" s="165" customFormat="1"/>
    <row r="467" s="165" customFormat="1"/>
    <row r="468" s="165" customFormat="1"/>
    <row r="469" s="165" customFormat="1"/>
    <row r="470" s="165" customFormat="1"/>
    <row r="471" s="165" customFormat="1"/>
    <row r="472" s="165" customFormat="1"/>
    <row r="473" s="165" customFormat="1"/>
    <row r="474" s="165" customFormat="1"/>
    <row r="475" s="165" customFormat="1"/>
    <row r="476" s="165" customFormat="1"/>
    <row r="477" s="165" customFormat="1"/>
    <row r="478" s="165" customFormat="1"/>
    <row r="479" s="165" customFormat="1"/>
    <row r="480" s="165" customFormat="1"/>
    <row r="481" s="165" customFormat="1"/>
    <row r="482" s="165" customFormat="1"/>
    <row r="483" s="165" customFormat="1"/>
    <row r="484" s="165" customFormat="1"/>
    <row r="485" s="165" customFormat="1"/>
    <row r="486" s="165" customFormat="1"/>
    <row r="487" s="165" customFormat="1"/>
    <row r="488" s="165" customFormat="1"/>
    <row r="489" s="165" customFormat="1"/>
    <row r="490" s="165" customFormat="1"/>
    <row r="491" s="165" customFormat="1"/>
    <row r="492" s="165" customFormat="1"/>
    <row r="493" s="165" customFormat="1"/>
    <row r="494" s="165" customFormat="1"/>
    <row r="495" s="165" customFormat="1"/>
    <row r="496" s="165" customFormat="1"/>
    <row r="497" s="165" customFormat="1"/>
    <row r="498" s="165" customFormat="1"/>
    <row r="499" s="165" customFormat="1"/>
    <row r="500" s="165" customFormat="1"/>
    <row r="501" s="165" customFormat="1"/>
    <row r="502" s="165" customFormat="1"/>
    <row r="503" s="165" customFormat="1"/>
    <row r="504" s="165" customFormat="1"/>
    <row r="505" s="165" customFormat="1"/>
    <row r="506" s="165" customFormat="1"/>
    <row r="507" s="165" customFormat="1"/>
    <row r="508" s="165" customFormat="1"/>
    <row r="509" s="165" customFormat="1"/>
    <row r="510" s="165" customFormat="1"/>
    <row r="511" s="165" customFormat="1"/>
    <row r="512" s="165" customFormat="1"/>
    <row r="513" s="165" customFormat="1"/>
    <row r="514" s="165" customFormat="1"/>
    <row r="515" s="165" customFormat="1"/>
    <row r="516" s="165" customFormat="1"/>
    <row r="517" s="165" customFormat="1"/>
    <row r="518" s="165" customFormat="1"/>
    <row r="519" s="165" customFormat="1"/>
    <row r="520" s="165" customFormat="1"/>
    <row r="521" s="165" customFormat="1"/>
    <row r="522" s="165" customFormat="1"/>
    <row r="523" s="165" customFormat="1"/>
    <row r="524" s="165" customFormat="1"/>
    <row r="525" s="165" customFormat="1"/>
    <row r="526" s="165" customFormat="1"/>
    <row r="527" s="165" customFormat="1"/>
    <row r="528" s="165" customFormat="1"/>
    <row r="529" s="165" customFormat="1"/>
    <row r="530" s="165" customFormat="1"/>
    <row r="531" s="165" customFormat="1"/>
    <row r="532" s="165" customFormat="1"/>
    <row r="533" s="165" customFormat="1"/>
    <row r="534" s="165" customFormat="1"/>
    <row r="535" s="165" customFormat="1"/>
    <row r="536" s="165" customFormat="1"/>
    <row r="537" s="165" customFormat="1"/>
    <row r="538" s="165" customFormat="1"/>
    <row r="539" s="165" customFormat="1"/>
    <row r="540" s="165" customFormat="1"/>
    <row r="541" s="165" customFormat="1"/>
    <row r="542" s="165" customFormat="1"/>
    <row r="543" s="165" customFormat="1"/>
    <row r="544" s="165" customFormat="1"/>
    <row r="545" s="165" customFormat="1"/>
    <row r="546" s="165" customFormat="1"/>
    <row r="547" s="165" customFormat="1"/>
    <row r="548" s="165" customFormat="1"/>
    <row r="549" s="165" customFormat="1"/>
    <row r="550" s="165" customFormat="1"/>
    <row r="551" s="165" customFormat="1"/>
    <row r="552" s="165" customFormat="1"/>
    <row r="553" s="165" customFormat="1"/>
    <row r="554" s="165" customFormat="1"/>
    <row r="555" s="165" customFormat="1"/>
    <row r="556" s="165" customFormat="1"/>
    <row r="557" s="165" customFormat="1"/>
    <row r="558" s="165" customFormat="1"/>
    <row r="559" s="165" customFormat="1"/>
    <row r="560" s="165" customFormat="1"/>
    <row r="561" s="165" customFormat="1"/>
    <row r="562" s="165" customFormat="1"/>
    <row r="563" s="165" customFormat="1"/>
    <row r="564" s="165" customFormat="1"/>
    <row r="565" s="165" customFormat="1"/>
    <row r="566" s="165" customFormat="1"/>
    <row r="567" s="165" customFormat="1"/>
    <row r="568" s="165" customFormat="1"/>
    <row r="569" s="165" customFormat="1"/>
    <row r="570" s="165" customFormat="1"/>
    <row r="571" s="165" customFormat="1"/>
    <row r="572" s="165" customFormat="1"/>
    <row r="573" s="165" customFormat="1"/>
    <row r="574" s="165" customFormat="1"/>
    <row r="575" s="165" customFormat="1"/>
    <row r="576" s="165" customFormat="1"/>
    <row r="577" s="165" customFormat="1"/>
    <row r="578" s="165" customFormat="1"/>
    <row r="579" s="165" customFormat="1"/>
    <row r="580" s="165" customFormat="1"/>
    <row r="581" s="165" customFormat="1"/>
    <row r="582" s="165" customFormat="1"/>
    <row r="583" s="165" customFormat="1"/>
    <row r="584" s="165" customFormat="1"/>
    <row r="585" s="165" customFormat="1"/>
    <row r="586" s="165" customFormat="1"/>
    <row r="587" s="165" customFormat="1"/>
    <row r="588" s="165" customFormat="1"/>
    <row r="589" s="165" customFormat="1"/>
    <row r="590" s="165" customFormat="1"/>
    <row r="591" s="165" customFormat="1"/>
    <row r="592" s="165" customFormat="1"/>
    <row r="593" s="165" customFormat="1"/>
    <row r="594" s="165" customFormat="1"/>
    <row r="595" s="165" customFormat="1"/>
    <row r="596" s="165" customFormat="1"/>
    <row r="597" s="165" customFormat="1"/>
    <row r="598" s="165" customFormat="1"/>
    <row r="599" s="165" customFormat="1"/>
    <row r="600" s="165" customFormat="1"/>
    <row r="601" s="165" customFormat="1"/>
    <row r="602" s="165" customFormat="1"/>
    <row r="603" s="165" customFormat="1"/>
    <row r="604" s="165" customFormat="1"/>
    <row r="605" s="165" customFormat="1"/>
    <row r="606" s="165" customFormat="1"/>
    <row r="607" s="165" customFormat="1"/>
    <row r="608" s="165" customFormat="1"/>
    <row r="609" s="165" customFormat="1"/>
    <row r="610" s="165" customFormat="1"/>
    <row r="611" s="165" customFormat="1"/>
    <row r="612" s="165" customFormat="1"/>
    <row r="613" s="165" customFormat="1"/>
    <row r="614" s="165" customFormat="1"/>
    <row r="615" s="165" customFormat="1"/>
    <row r="616" s="165" customFormat="1"/>
    <row r="617" s="165" customFormat="1"/>
    <row r="618" s="165" customFormat="1"/>
    <row r="619" s="165" customFormat="1"/>
    <row r="620" s="165" customFormat="1"/>
    <row r="621" s="165" customFormat="1"/>
    <row r="622" s="165" customFormat="1"/>
    <row r="623" s="165" customFormat="1"/>
    <row r="624" s="165" customFormat="1"/>
    <row r="625" s="165" customFormat="1"/>
    <row r="626" s="165" customFormat="1"/>
    <row r="627" s="165" customFormat="1"/>
    <row r="628" s="165" customFormat="1"/>
    <row r="629" s="165" customFormat="1"/>
    <row r="630" s="165" customFormat="1"/>
    <row r="631" s="165" customFormat="1"/>
    <row r="632" s="165" customFormat="1"/>
    <row r="633" s="165" customFormat="1"/>
    <row r="634" s="165" customFormat="1"/>
    <row r="635" s="165" customFormat="1"/>
    <row r="636" s="165" customFormat="1"/>
    <row r="637" s="165" customFormat="1"/>
    <row r="638" s="165" customFormat="1"/>
    <row r="639" s="165" customFormat="1"/>
    <row r="640" s="165" customFormat="1"/>
    <row r="641" s="165" customFormat="1"/>
    <row r="642" s="165" customFormat="1"/>
    <row r="643" s="165" customFormat="1"/>
    <row r="644" s="165" customFormat="1"/>
    <row r="645" s="165" customFormat="1"/>
    <row r="646" s="165" customFormat="1"/>
    <row r="647" s="165" customFormat="1"/>
    <row r="648" s="165" customFormat="1"/>
    <row r="649" s="165" customFormat="1"/>
    <row r="650" s="165" customFormat="1"/>
    <row r="651" s="165" customFormat="1"/>
    <row r="652" s="165" customFormat="1"/>
    <row r="653" s="165" customFormat="1"/>
    <row r="654" s="165" customFormat="1"/>
    <row r="655" s="165" customFormat="1"/>
    <row r="656" s="165" customFormat="1"/>
    <row r="657" s="165" customFormat="1"/>
    <row r="658" s="165" customFormat="1"/>
    <row r="659" s="165" customFormat="1"/>
    <row r="660" s="165" customFormat="1"/>
    <row r="661" s="165" customFormat="1"/>
    <row r="662" s="165" customFormat="1"/>
    <row r="663" s="165" customFormat="1"/>
    <row r="664" s="165" customFormat="1"/>
    <row r="665" s="165" customFormat="1"/>
    <row r="666" s="165" customFormat="1"/>
    <row r="667" s="165" customFormat="1"/>
    <row r="668" s="165" customFormat="1"/>
    <row r="669" s="165" customFormat="1"/>
    <row r="670" s="165" customFormat="1"/>
    <row r="671" s="165" customFormat="1"/>
    <row r="672" s="165" customFormat="1"/>
    <row r="673" s="165" customFormat="1"/>
    <row r="674" s="165" customFormat="1"/>
    <row r="675" s="165" customFormat="1"/>
    <row r="676" s="165" customFormat="1"/>
    <row r="677" s="165" customFormat="1"/>
    <row r="678" s="165" customFormat="1"/>
    <row r="679" s="165" customFormat="1"/>
    <row r="680" s="165" customFormat="1"/>
    <row r="681" s="165" customFormat="1"/>
    <row r="682" s="165" customFormat="1"/>
    <row r="683" s="165" customFormat="1"/>
    <row r="684" s="165" customFormat="1"/>
    <row r="685" s="165" customFormat="1"/>
    <row r="686" s="165" customFormat="1"/>
    <row r="687" s="165" customFormat="1"/>
    <row r="688" s="165" customFormat="1"/>
    <row r="689" s="165" customFormat="1"/>
    <row r="690" s="165" customFormat="1"/>
    <row r="691" s="165" customFormat="1"/>
    <row r="692" s="165" customFormat="1"/>
    <row r="693" s="165" customFormat="1"/>
    <row r="694" s="165" customFormat="1"/>
    <row r="695" s="165" customFormat="1"/>
    <row r="696" s="165" customFormat="1"/>
    <row r="697" s="165" customFormat="1"/>
    <row r="698" s="165" customFormat="1"/>
    <row r="699" s="165" customFormat="1"/>
    <row r="700" s="165" customFormat="1"/>
    <row r="701" s="165" customFormat="1"/>
    <row r="702" s="165" customFormat="1"/>
    <row r="703" s="165" customFormat="1"/>
    <row r="704" s="165" customFormat="1"/>
    <row r="705" s="165" customFormat="1"/>
    <row r="706" s="165" customFormat="1"/>
    <row r="707" s="165" customFormat="1"/>
    <row r="708" s="165" customFormat="1"/>
    <row r="709" s="165" customFormat="1"/>
    <row r="710" s="165" customFormat="1"/>
    <row r="711" s="165" customFormat="1"/>
    <row r="712" s="165" customFormat="1"/>
    <row r="713" s="165" customFormat="1"/>
    <row r="714" s="165" customFormat="1"/>
    <row r="715" s="165" customFormat="1"/>
    <row r="716" s="165" customFormat="1"/>
    <row r="717" s="165" customFormat="1"/>
    <row r="718" s="165" customFormat="1"/>
    <row r="719" s="165" customFormat="1"/>
    <row r="720" s="165" customFormat="1"/>
    <row r="721" s="165" customFormat="1"/>
    <row r="722" s="165" customFormat="1"/>
    <row r="723" s="165" customFormat="1"/>
    <row r="724" s="165" customFormat="1"/>
    <row r="725" s="165" customFormat="1"/>
    <row r="726" s="165" customFormat="1"/>
    <row r="727" s="165" customFormat="1"/>
    <row r="728" s="165" customFormat="1"/>
    <row r="729" s="165" customFormat="1"/>
    <row r="730" s="165" customFormat="1"/>
    <row r="731" s="165" customFormat="1"/>
    <row r="732" s="165" customFormat="1"/>
    <row r="733" s="165" customFormat="1"/>
    <row r="734" s="165" customFormat="1"/>
    <row r="735" s="165" customFormat="1"/>
    <row r="736" s="165" customFormat="1"/>
    <row r="737" s="165" customFormat="1"/>
    <row r="738" s="165" customFormat="1"/>
    <row r="739" s="165" customFormat="1"/>
    <row r="740" s="165" customFormat="1"/>
    <row r="741" s="165" customFormat="1"/>
    <row r="742" s="165" customFormat="1"/>
    <row r="743" s="165" customFormat="1"/>
    <row r="744" s="165" customFormat="1"/>
    <row r="745" s="165" customFormat="1"/>
    <row r="746" s="165" customFormat="1"/>
    <row r="747" s="165" customFormat="1"/>
    <row r="748" s="165" customFormat="1"/>
    <row r="749" s="165" customFormat="1"/>
    <row r="750" s="165" customFormat="1"/>
    <row r="751" s="165" customFormat="1"/>
    <row r="752" s="165" customFormat="1"/>
  </sheetData>
  <customSheetViews>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1"/>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2"/>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3"/>
      <headerFooter>
        <oddFooter>&amp;C&amp;1#&amp;"Calibri"&amp;8&amp;K000000TAJEMNICA PRZEDSIĘBIORSTWA – DO UŻYTKU SŁUŻBOWEGO, w rozumieniu art. 11 ust. 4 ustawy z dnia 16 kwietnia 1993 r. o zwalczaniu nieuczciwej konkurencji.</oddFooter>
      </headerFooter>
    </customSheetView>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4"/>
    </customSheetView>
  </customSheetViews>
  <mergeCells count="14">
    <mergeCell ref="AM2:AQ2"/>
    <mergeCell ref="AR2:AV2"/>
    <mergeCell ref="AW2:BA2"/>
    <mergeCell ref="BB2:BF2"/>
    <mergeCell ref="AM3:AQ3"/>
    <mergeCell ref="AR3:AV3"/>
    <mergeCell ref="AW3:BA3"/>
    <mergeCell ref="BB3:BF3"/>
    <mergeCell ref="BQ2:BU2"/>
    <mergeCell ref="BQ3:BU3"/>
    <mergeCell ref="BL2:BP2"/>
    <mergeCell ref="BL3:BP3"/>
    <mergeCell ref="BG2:BK2"/>
    <mergeCell ref="BG3:BK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ignoredErrors>
    <ignoredError sqref="BS11" formulaRange="1"/>
    <ignoredError sqref="BU26 BU20 BU11 BP11 BP20 BP26 BP32 BU32" formula="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9"/>
  <sheetViews>
    <sheetView showGridLines="0" zoomScale="85" zoomScaleNormal="85" zoomScaleSheetLayoutView="70" workbookViewId="0">
      <pane xSplit="2" topLeftCell="BQ1" activePane="topRight" state="frozen"/>
      <selection pane="topRight" activeCell="CA6" sqref="CA6"/>
    </sheetView>
  </sheetViews>
  <sheetFormatPr defaultColWidth="9" defaultRowHeight="12" outlineLevelCol="1"/>
  <cols>
    <col min="1" max="2" width="35.08203125" style="455" customWidth="1"/>
    <col min="3" max="6" width="8.58203125" style="455" customWidth="1"/>
    <col min="7" max="10" width="8.58203125" style="455" customWidth="1" outlineLevel="1"/>
    <col min="11" max="11" width="8.58203125" style="455" customWidth="1"/>
    <col min="12" max="15" width="8.58203125" style="455" customWidth="1" outlineLevel="1"/>
    <col min="16" max="16" width="8.58203125" style="455" customWidth="1"/>
    <col min="17" max="20" width="8.58203125" style="455" customWidth="1" outlineLevel="1"/>
    <col min="21" max="62" width="8.58203125" style="455" customWidth="1"/>
    <col min="63" max="65" width="9" style="455"/>
    <col min="66" max="67" width="8.58203125" style="455" customWidth="1"/>
    <col min="68" max="70" width="9" style="455"/>
    <col min="71" max="71" width="8.58203125" style="455" customWidth="1"/>
    <col min="72" max="75" width="9" style="455"/>
    <col min="76" max="76" width="8.58203125" style="455" customWidth="1"/>
    <col min="77" max="16384" width="9" style="455"/>
  </cols>
  <sheetData>
    <row r="1" spans="1:76" ht="94.5" customHeight="1">
      <c r="A1" s="454"/>
      <c r="B1" s="454"/>
      <c r="AP1" s="503"/>
      <c r="AQ1" s="503"/>
      <c r="AR1" s="503"/>
      <c r="AS1" s="503"/>
      <c r="AT1" s="504"/>
      <c r="AU1" s="503"/>
      <c r="AV1" s="503"/>
      <c r="AW1" s="503"/>
      <c r="AX1" s="503"/>
      <c r="AY1" s="504"/>
      <c r="AZ1" s="503"/>
      <c r="BA1" s="503"/>
      <c r="BB1" s="503"/>
      <c r="BC1" s="503"/>
      <c r="BD1" s="504"/>
      <c r="BE1" s="503"/>
      <c r="BF1" s="503"/>
      <c r="BG1" s="503"/>
      <c r="BH1" s="503"/>
      <c r="BI1" s="504"/>
      <c r="BJ1" s="503"/>
      <c r="BK1" s="503"/>
      <c r="BL1" s="503"/>
      <c r="BM1" s="503"/>
      <c r="BN1" s="504"/>
      <c r="BO1" s="503"/>
      <c r="BP1" s="503"/>
      <c r="BQ1" s="503"/>
      <c r="BR1" s="503"/>
      <c r="BS1" s="504"/>
      <c r="BX1" s="504"/>
    </row>
    <row r="2" spans="1:76" s="460" customFormat="1" ht="42">
      <c r="A2" s="461" t="s">
        <v>463</v>
      </c>
      <c r="B2" s="456" t="s">
        <v>464</v>
      </c>
      <c r="C2" s="457">
        <v>2006</v>
      </c>
      <c r="D2" s="457">
        <v>2007</v>
      </c>
      <c r="E2" s="457">
        <v>2008</v>
      </c>
      <c r="F2" s="457">
        <v>2009</v>
      </c>
      <c r="G2" s="458" t="s">
        <v>465</v>
      </c>
      <c r="H2" s="458" t="s">
        <v>466</v>
      </c>
      <c r="I2" s="458" t="s">
        <v>467</v>
      </c>
      <c r="J2" s="458" t="s">
        <v>468</v>
      </c>
      <c r="K2" s="457">
        <v>2010</v>
      </c>
      <c r="L2" s="458" t="s">
        <v>469</v>
      </c>
      <c r="M2" s="458" t="s">
        <v>470</v>
      </c>
      <c r="N2" s="458" t="s">
        <v>471</v>
      </c>
      <c r="O2" s="458" t="s">
        <v>472</v>
      </c>
      <c r="P2" s="457">
        <v>2011</v>
      </c>
      <c r="Q2" s="458" t="s">
        <v>473</v>
      </c>
      <c r="R2" s="458" t="s">
        <v>474</v>
      </c>
      <c r="S2" s="458" t="s">
        <v>475</v>
      </c>
      <c r="T2" s="458" t="s">
        <v>476</v>
      </c>
      <c r="U2" s="457">
        <v>2012</v>
      </c>
      <c r="V2" s="458" t="s">
        <v>477</v>
      </c>
      <c r="W2" s="458" t="s">
        <v>478</v>
      </c>
      <c r="X2" s="458" t="s">
        <v>479</v>
      </c>
      <c r="Y2" s="458" t="s">
        <v>480</v>
      </c>
      <c r="Z2" s="457">
        <v>2013</v>
      </c>
      <c r="AA2" s="458" t="s">
        <v>481</v>
      </c>
      <c r="AB2" s="458" t="s">
        <v>482</v>
      </c>
      <c r="AC2" s="458" t="s">
        <v>483</v>
      </c>
      <c r="AD2" s="458" t="s">
        <v>484</v>
      </c>
      <c r="AE2" s="457">
        <v>2014</v>
      </c>
      <c r="AF2" s="458" t="s">
        <v>485</v>
      </c>
      <c r="AG2" s="458" t="s">
        <v>486</v>
      </c>
      <c r="AH2" s="458" t="s">
        <v>487</v>
      </c>
      <c r="AI2" s="458" t="s">
        <v>488</v>
      </c>
      <c r="AJ2" s="457">
        <v>2015</v>
      </c>
      <c r="AK2" s="458" t="s">
        <v>489</v>
      </c>
      <c r="AL2" s="458" t="s">
        <v>490</v>
      </c>
      <c r="AM2" s="458" t="s">
        <v>491</v>
      </c>
      <c r="AN2" s="458" t="s">
        <v>492</v>
      </c>
      <c r="AO2" s="457">
        <v>2016</v>
      </c>
      <c r="AP2" s="463" t="s">
        <v>493</v>
      </c>
      <c r="AQ2" s="463" t="s">
        <v>494</v>
      </c>
      <c r="AR2" s="463" t="s">
        <v>495</v>
      </c>
      <c r="AS2" s="463" t="s">
        <v>496</v>
      </c>
      <c r="AT2" s="464" t="s">
        <v>497</v>
      </c>
      <c r="AU2" s="463" t="s">
        <v>498</v>
      </c>
      <c r="AV2" s="463" t="s">
        <v>499</v>
      </c>
      <c r="AW2" s="463" t="s">
        <v>500</v>
      </c>
      <c r="AX2" s="463" t="s">
        <v>501</v>
      </c>
      <c r="AY2" s="464" t="s">
        <v>502</v>
      </c>
      <c r="AZ2" s="463" t="s">
        <v>503</v>
      </c>
      <c r="BA2" s="463" t="s">
        <v>504</v>
      </c>
      <c r="BB2" s="463" t="s">
        <v>505</v>
      </c>
      <c r="BC2" s="463" t="s">
        <v>505</v>
      </c>
      <c r="BD2" s="464" t="s">
        <v>506</v>
      </c>
      <c r="BE2" s="463" t="s">
        <v>507</v>
      </c>
      <c r="BF2" s="463" t="s">
        <v>508</v>
      </c>
      <c r="BG2" s="463" t="s">
        <v>509</v>
      </c>
      <c r="BH2" s="463" t="s">
        <v>510</v>
      </c>
      <c r="BI2" s="464" t="s">
        <v>511</v>
      </c>
      <c r="BJ2" s="463" t="s">
        <v>512</v>
      </c>
      <c r="BK2" s="463" t="s">
        <v>513</v>
      </c>
      <c r="BL2" s="463" t="s">
        <v>514</v>
      </c>
      <c r="BM2" s="463" t="s">
        <v>515</v>
      </c>
      <c r="BN2" s="464" t="s">
        <v>516</v>
      </c>
      <c r="BO2" s="463" t="s">
        <v>517</v>
      </c>
      <c r="BP2" s="463" t="s">
        <v>518</v>
      </c>
      <c r="BQ2" s="463" t="s">
        <v>519</v>
      </c>
      <c r="BR2" s="463" t="s">
        <v>520</v>
      </c>
      <c r="BS2" s="464" t="s">
        <v>521</v>
      </c>
      <c r="BT2" s="463" t="s">
        <v>750</v>
      </c>
      <c r="BU2" s="463" t="s">
        <v>751</v>
      </c>
      <c r="BV2" s="463" t="s">
        <v>752</v>
      </c>
      <c r="BW2" s="463" t="s">
        <v>758</v>
      </c>
      <c r="BX2" s="464" t="s">
        <v>773</v>
      </c>
    </row>
    <row r="3" spans="1:76" s="465" customFormat="1" ht="42">
      <c r="A3" s="461" t="s">
        <v>463</v>
      </c>
      <c r="B3" s="456" t="s">
        <v>464</v>
      </c>
      <c r="C3" s="462">
        <v>2006</v>
      </c>
      <c r="D3" s="462">
        <v>2007</v>
      </c>
      <c r="E3" s="462">
        <v>2008</v>
      </c>
      <c r="F3" s="462">
        <v>2009</v>
      </c>
      <c r="G3" s="463" t="s">
        <v>465</v>
      </c>
      <c r="H3" s="463" t="s">
        <v>466</v>
      </c>
      <c r="I3" s="463" t="s">
        <v>467</v>
      </c>
      <c r="J3" s="463" t="s">
        <v>468</v>
      </c>
      <c r="K3" s="462">
        <v>2010</v>
      </c>
      <c r="L3" s="463" t="s">
        <v>469</v>
      </c>
      <c r="M3" s="463" t="s">
        <v>470</v>
      </c>
      <c r="N3" s="463" t="s">
        <v>471</v>
      </c>
      <c r="O3" s="463" t="s">
        <v>472</v>
      </c>
      <c r="P3" s="462">
        <v>2011</v>
      </c>
      <c r="Q3" s="463" t="s">
        <v>473</v>
      </c>
      <c r="R3" s="463" t="s">
        <v>474</v>
      </c>
      <c r="S3" s="463" t="s">
        <v>475</v>
      </c>
      <c r="T3" s="463" t="s">
        <v>476</v>
      </c>
      <c r="U3" s="462">
        <v>2012</v>
      </c>
      <c r="V3" s="463" t="s">
        <v>477</v>
      </c>
      <c r="W3" s="463" t="s">
        <v>478</v>
      </c>
      <c r="X3" s="463" t="s">
        <v>479</v>
      </c>
      <c r="Y3" s="463" t="s">
        <v>480</v>
      </c>
      <c r="Z3" s="462">
        <v>2013</v>
      </c>
      <c r="AA3" s="463" t="s">
        <v>481</v>
      </c>
      <c r="AB3" s="463" t="s">
        <v>482</v>
      </c>
      <c r="AC3" s="463" t="s">
        <v>483</v>
      </c>
      <c r="AD3" s="463" t="s">
        <v>484</v>
      </c>
      <c r="AE3" s="462">
        <v>2014</v>
      </c>
      <c r="AF3" s="463" t="s">
        <v>485</v>
      </c>
      <c r="AG3" s="463" t="s">
        <v>486</v>
      </c>
      <c r="AH3" s="463" t="s">
        <v>487</v>
      </c>
      <c r="AI3" s="463" t="s">
        <v>488</v>
      </c>
      <c r="AJ3" s="462">
        <v>2015</v>
      </c>
      <c r="AK3" s="463" t="s">
        <v>489</v>
      </c>
      <c r="AL3" s="463" t="s">
        <v>490</v>
      </c>
      <c r="AM3" s="463" t="s">
        <v>491</v>
      </c>
      <c r="AN3" s="463" t="s">
        <v>492</v>
      </c>
      <c r="AO3" s="462">
        <v>2016</v>
      </c>
      <c r="AP3" s="458" t="s">
        <v>522</v>
      </c>
      <c r="AQ3" s="458" t="s">
        <v>523</v>
      </c>
      <c r="AR3" s="458" t="s">
        <v>524</v>
      </c>
      <c r="AS3" s="458" t="s">
        <v>525</v>
      </c>
      <c r="AT3" s="459" t="s">
        <v>526</v>
      </c>
      <c r="AU3" s="458" t="s">
        <v>527</v>
      </c>
      <c r="AV3" s="458" t="s">
        <v>528</v>
      </c>
      <c r="AW3" s="458" t="s">
        <v>529</v>
      </c>
      <c r="AX3" s="458" t="s">
        <v>530</v>
      </c>
      <c r="AY3" s="459" t="s">
        <v>531</v>
      </c>
      <c r="AZ3" s="458" t="s">
        <v>532</v>
      </c>
      <c r="BA3" s="458" t="s">
        <v>533</v>
      </c>
      <c r="BB3" s="458" t="s">
        <v>534</v>
      </c>
      <c r="BC3" s="458" t="s">
        <v>535</v>
      </c>
      <c r="BD3" s="459" t="s">
        <v>536</v>
      </c>
      <c r="BE3" s="458" t="s">
        <v>537</v>
      </c>
      <c r="BF3" s="458" t="s">
        <v>538</v>
      </c>
      <c r="BG3" s="458" t="s">
        <v>539</v>
      </c>
      <c r="BH3" s="458" t="s">
        <v>540</v>
      </c>
      <c r="BI3" s="459" t="s">
        <v>541</v>
      </c>
      <c r="BJ3" s="458" t="s">
        <v>542</v>
      </c>
      <c r="BK3" s="458" t="s">
        <v>543</v>
      </c>
      <c r="BL3" s="458" t="s">
        <v>544</v>
      </c>
      <c r="BM3" s="458" t="s">
        <v>545</v>
      </c>
      <c r="BN3" s="459" t="s">
        <v>546</v>
      </c>
      <c r="BO3" s="458" t="s">
        <v>547</v>
      </c>
      <c r="BP3" s="458" t="s">
        <v>548</v>
      </c>
      <c r="BQ3" s="458" t="s">
        <v>549</v>
      </c>
      <c r="BR3" s="458" t="s">
        <v>550</v>
      </c>
      <c r="BS3" s="459" t="s">
        <v>551</v>
      </c>
      <c r="BT3" s="458" t="s">
        <v>753</v>
      </c>
      <c r="BU3" s="458" t="s">
        <v>754</v>
      </c>
      <c r="BV3" s="458" t="s">
        <v>755</v>
      </c>
      <c r="BW3" s="458" t="s">
        <v>759</v>
      </c>
      <c r="BX3" s="459" t="s">
        <v>551</v>
      </c>
    </row>
    <row r="4" spans="1:76" s="469" customFormat="1" ht="24" customHeight="1">
      <c r="A4" s="466" t="s">
        <v>552</v>
      </c>
      <c r="B4" s="466" t="s">
        <v>553</v>
      </c>
      <c r="C4" s="467">
        <v>0.155</v>
      </c>
      <c r="D4" s="467">
        <v>0.21099999999999999</v>
      </c>
      <c r="E4" s="467">
        <v>0.317</v>
      </c>
      <c r="F4" s="467">
        <v>0.251</v>
      </c>
      <c r="G4" s="468">
        <v>0.32900000000000001</v>
      </c>
      <c r="H4" s="468">
        <v>0.29499999999999998</v>
      </c>
      <c r="I4" s="468">
        <v>0.28499999999999998</v>
      </c>
      <c r="J4" s="468">
        <v>0.191</v>
      </c>
      <c r="K4" s="467">
        <v>0.27500000000000002</v>
      </c>
      <c r="L4" s="468">
        <v>0.30870278738464518</v>
      </c>
      <c r="M4" s="468">
        <v>0.34613505621374752</v>
      </c>
      <c r="N4" s="468">
        <v>0.31878501150261895</v>
      </c>
      <c r="O4" s="468">
        <v>0.27406013939927337</v>
      </c>
      <c r="P4" s="467">
        <v>0.31073681541046316</v>
      </c>
      <c r="Q4" s="468">
        <v>0.38466527099742531</v>
      </c>
      <c r="R4" s="468">
        <v>0.3779041668709594</v>
      </c>
      <c r="S4" s="468">
        <v>0.4001250502295432</v>
      </c>
      <c r="T4" s="468">
        <v>0.32927622113037824</v>
      </c>
      <c r="U4" s="467">
        <v>0.37154971807437509</v>
      </c>
      <c r="V4" s="468">
        <v>0.3519157165072388</v>
      </c>
      <c r="W4" s="468">
        <v>0.34957890245592677</v>
      </c>
      <c r="X4" s="468">
        <v>0.3961214215056621</v>
      </c>
      <c r="Y4" s="468">
        <v>0.34405245121739447</v>
      </c>
      <c r="Z4" s="467">
        <v>0.35944885852796471</v>
      </c>
      <c r="AA4" s="468">
        <v>0.38927182921261261</v>
      </c>
      <c r="AB4" s="468">
        <v>0.40603700097370976</v>
      </c>
      <c r="AC4" s="468">
        <v>0.37613655149611497</v>
      </c>
      <c r="AD4" s="468">
        <v>0.33211693308476481</v>
      </c>
      <c r="AE4" s="467">
        <v>0.36954614772129168</v>
      </c>
      <c r="AF4" s="468">
        <v>0.38497209102619145</v>
      </c>
      <c r="AG4" s="468">
        <v>0.39567471245747615</v>
      </c>
      <c r="AH4" s="468">
        <v>0.3852747525777464</v>
      </c>
      <c r="AI4" s="468">
        <v>0.33759914172956829</v>
      </c>
      <c r="AJ4" s="467">
        <v>0.37515015779293487</v>
      </c>
      <c r="AK4" s="468">
        <v>0.35807952622673433</v>
      </c>
      <c r="AL4" s="468">
        <v>0.3827418232428671</v>
      </c>
      <c r="AM4" s="468">
        <v>0.4007873356227491</v>
      </c>
      <c r="AN4" s="468">
        <v>0.35592284328034396</v>
      </c>
      <c r="AO4" s="467">
        <v>0.37419063084544396</v>
      </c>
      <c r="AP4" s="468">
        <v>0.38914008205643491</v>
      </c>
      <c r="AQ4" s="468">
        <v>0.39017773998947319</v>
      </c>
      <c r="AR4" s="468">
        <v>0.35597473754653058</v>
      </c>
      <c r="AS4" s="468">
        <v>0.33836073200992561</v>
      </c>
      <c r="AT4" s="467">
        <v>0.36800765114054906</v>
      </c>
      <c r="AU4" s="468">
        <v>0.37938531054179631</v>
      </c>
      <c r="AV4" s="468">
        <v>0.36355255070682235</v>
      </c>
      <c r="AW4" s="468">
        <v>0.33638025594149901</v>
      </c>
      <c r="AX4" s="468">
        <v>0.31355762824783479</v>
      </c>
      <c r="AY4" s="467">
        <v>0.3460289535003418</v>
      </c>
      <c r="AZ4" s="468">
        <v>0.37193724029230529</v>
      </c>
      <c r="BA4" s="468">
        <v>0.36814916182004787</v>
      </c>
      <c r="BB4" s="468">
        <v>0.35282118655787575</v>
      </c>
      <c r="BC4" s="468">
        <v>0.34596461503372328</v>
      </c>
      <c r="BD4" s="467">
        <v>0.35942652084171944</v>
      </c>
      <c r="BE4" s="468">
        <v>0.36043139424960502</v>
      </c>
      <c r="BF4" s="468">
        <v>0.33534774862891703</v>
      </c>
      <c r="BG4" s="468">
        <v>0.35921425004161806</v>
      </c>
      <c r="BH4" s="468">
        <v>0.34673652177205838</v>
      </c>
      <c r="BI4" s="467">
        <v>0.35040486809552868</v>
      </c>
      <c r="BJ4" s="468">
        <f>'P&amp;L'!BG37</f>
        <v>0.36242217312713398</v>
      </c>
      <c r="BK4" s="468">
        <f>'P&amp;L'!BH37</f>
        <v>0.3610785834098173</v>
      </c>
      <c r="BL4" s="468">
        <f>'P&amp;L'!BI37</f>
        <v>1.5155513044625486</v>
      </c>
      <c r="BM4" s="468">
        <f>'P&amp;L'!BJ37</f>
        <v>0.2698315467075037</v>
      </c>
      <c r="BN4" s="467">
        <f>'P&amp;L'!BK37</f>
        <v>0.61873995499839274</v>
      </c>
      <c r="BO4" s="468">
        <f>'P&amp;L'!BL37</f>
        <v>0.25667124250845413</v>
      </c>
      <c r="BP4" s="468">
        <f>'P&amp;L'!BM37</f>
        <v>0.27672624763792941</v>
      </c>
      <c r="BQ4" s="468">
        <f>'P&amp;L'!BN37</f>
        <v>0.29135711883579463</v>
      </c>
      <c r="BR4" s="468">
        <f>'P&amp;L'!BO37</f>
        <v>0.2502624212736177</v>
      </c>
      <c r="BS4" s="467">
        <f>'P&amp;L'!BP37</f>
        <v>0.2687665017459912</v>
      </c>
      <c r="BT4" s="468">
        <f>'P&amp;L'!BQ37</f>
        <v>0.23792704654143107</v>
      </c>
      <c r="BU4" s="468">
        <f>'P&amp;L'!BR37</f>
        <v>0.24271992218371943</v>
      </c>
      <c r="BV4" s="468">
        <f>'P&amp;L'!BS37</f>
        <v>0.28787221112943845</v>
      </c>
      <c r="BW4" s="468">
        <f>'P&amp;L'!BT37</f>
        <v>0.18381094662501704</v>
      </c>
      <c r="BX4" s="467">
        <f>'P&amp;L'!BU37</f>
        <v>0.2371296683619179</v>
      </c>
    </row>
    <row r="5" spans="1:76" s="469" customFormat="1" ht="24" customHeight="1">
      <c r="A5" s="466" t="s">
        <v>554</v>
      </c>
      <c r="B5" s="466" t="s">
        <v>555</v>
      </c>
      <c r="C5" s="467">
        <v>0.11600000000000001</v>
      </c>
      <c r="D5" s="467">
        <v>0.14399999999999999</v>
      </c>
      <c r="E5" s="467">
        <v>0.246</v>
      </c>
      <c r="F5" s="467">
        <v>0.182</v>
      </c>
      <c r="G5" s="468">
        <v>0.23</v>
      </c>
      <c r="H5" s="468">
        <v>0.182</v>
      </c>
      <c r="I5" s="468">
        <v>0.188</v>
      </c>
      <c r="J5" s="468">
        <v>9.8000000000000004E-2</v>
      </c>
      <c r="K5" s="467">
        <v>0.17399999999999999</v>
      </c>
      <c r="L5" s="468">
        <v>0.18967721753120198</v>
      </c>
      <c r="M5" s="468">
        <v>0.1105688210628496</v>
      </c>
      <c r="N5" s="468" t="s">
        <v>556</v>
      </c>
      <c r="O5" s="468">
        <v>0.10608165132384817</v>
      </c>
      <c r="P5" s="467">
        <v>6.7707133573549461E-2</v>
      </c>
      <c r="Q5" s="468">
        <v>0.30649285055729641</v>
      </c>
      <c r="R5" s="468">
        <v>0.13939020375571728</v>
      </c>
      <c r="S5" s="468">
        <v>0.266952761732768</v>
      </c>
      <c r="T5" s="468">
        <v>0.1620322508446396</v>
      </c>
      <c r="U5" s="467">
        <v>0.21535338337745638</v>
      </c>
      <c r="V5" s="468">
        <v>0.13643419081993929</v>
      </c>
      <c r="W5" s="468">
        <v>0.10971771925199814</v>
      </c>
      <c r="X5" s="468">
        <v>0.26051734065642024</v>
      </c>
      <c r="Y5" s="468">
        <v>0.21631129917457795</v>
      </c>
      <c r="Z5" s="467">
        <v>0.18051820848101818</v>
      </c>
      <c r="AA5" s="468">
        <v>0.13582744164810381</v>
      </c>
      <c r="AB5" s="468">
        <v>7.5662981843175381E-2</v>
      </c>
      <c r="AC5" s="468">
        <v>1.9920648040998381E-2</v>
      </c>
      <c r="AD5" s="468">
        <v>5.5531315695532789E-3</v>
      </c>
      <c r="AE5" s="467">
        <v>3.94742169260043E-2</v>
      </c>
      <c r="AF5" s="468">
        <v>7.3336195792185463E-2</v>
      </c>
      <c r="AG5" s="468">
        <v>0.12331929369836385</v>
      </c>
      <c r="AH5" s="468">
        <v>0.20808315044101192</v>
      </c>
      <c r="AI5" s="468">
        <v>7.111383577914876E-2</v>
      </c>
      <c r="AJ5" s="467">
        <v>0.11843632291560617</v>
      </c>
      <c r="AK5" s="468">
        <v>7.5507614213197988E-2</v>
      </c>
      <c r="AL5" s="468">
        <v>9.4518809611527338E-2</v>
      </c>
      <c r="AM5" s="468">
        <v>0.11299103777535824</v>
      </c>
      <c r="AN5" s="468">
        <v>0.134827028519585</v>
      </c>
      <c r="AO5" s="467">
        <v>0.10493535324467103</v>
      </c>
      <c r="AP5" s="468">
        <v>0.11362304278656968</v>
      </c>
      <c r="AQ5" s="468">
        <v>0.11405320053443456</v>
      </c>
      <c r="AR5" s="468">
        <v>9.8247521853695272E-2</v>
      </c>
      <c r="AS5" s="468">
        <v>6.0949131513647663E-2</v>
      </c>
      <c r="AT5" s="467">
        <v>9.6168325092078288E-2</v>
      </c>
      <c r="AU5" s="468">
        <v>0.12455773903405941</v>
      </c>
      <c r="AV5" s="468">
        <v>8.8890596189305407E-2</v>
      </c>
      <c r="AW5" s="468">
        <v>8.3034734917733014E-2</v>
      </c>
      <c r="AX5" s="468">
        <v>2.1785476349100594E-2</v>
      </c>
      <c r="AY5" s="467">
        <v>7.6370237972693752E-2</v>
      </c>
      <c r="AZ5" s="468">
        <v>0.1064980656254476</v>
      </c>
      <c r="BA5" s="468">
        <v>9.1994526171741281E-2</v>
      </c>
      <c r="BB5" s="468">
        <v>8.1766007467846707E-2</v>
      </c>
      <c r="BC5" s="468">
        <v>0.10162588380958593</v>
      </c>
      <c r="BD5" s="467">
        <v>9.5459956663612081E-2</v>
      </c>
      <c r="BE5" s="468">
        <v>6.4521266111988732E-2</v>
      </c>
      <c r="BF5" s="468">
        <v>0.10154749013169415</v>
      </c>
      <c r="BG5" s="468">
        <v>0.11486598967870809</v>
      </c>
      <c r="BH5" s="468">
        <v>0.10056941383535499</v>
      </c>
      <c r="BI5" s="467">
        <v>9.5809410472377121E-2</v>
      </c>
      <c r="BJ5" s="468">
        <f>'P&amp;L'!BG32/'P&amp;L'!BG5</f>
        <v>0.13068219856731605</v>
      </c>
      <c r="BK5" s="468">
        <f>'P&amp;L'!BH32/'P&amp;L'!BH5</f>
        <v>0.17144032661328604</v>
      </c>
      <c r="BL5" s="468">
        <f>'P&amp;L'!BI32/'P&amp;L'!BI5</f>
        <v>1.0385236980111483</v>
      </c>
      <c r="BM5" s="468">
        <f>'P&amp;L'!BJ32/'P&amp;L'!BJ5</f>
        <v>0.10220520673813159</v>
      </c>
      <c r="BN5" s="467">
        <f>'P&amp;L'!BK32/'P&amp;L'!BK5</f>
        <v>0.35474927675988421</v>
      </c>
      <c r="BO5" s="468">
        <f>'P&amp;L'!BL32/'P&amp;L'!BL5</f>
        <v>7.1249204807982039E-2</v>
      </c>
      <c r="BP5" s="468">
        <f>'P&amp;L'!BM32/'P&amp;L'!BM5</f>
        <v>8.7574734363867243E-2</v>
      </c>
      <c r="BQ5" s="468">
        <f>'P&amp;L'!BN32/'P&amp;L'!BN5</f>
        <v>7.065333700204858E-2</v>
      </c>
      <c r="BR5" s="468">
        <f>'P&amp;L'!BO32/'P&amp;L'!BO5</f>
        <v>5.0880569162584259E-2</v>
      </c>
      <c r="BS5" s="467">
        <f>'P&amp;L'!BP32/'P&amp;L'!BP5</f>
        <v>6.9769962757349827E-2</v>
      </c>
      <c r="BT5" s="468">
        <f>'P&amp;L'!BQ32/'P&amp;L'!BQ5</f>
        <v>2.2192354577564022E-2</v>
      </c>
      <c r="BU5" s="468">
        <f>'P&amp;L'!BR32/'P&amp;L'!BR5</f>
        <v>2.4621557541492471E-3</v>
      </c>
      <c r="BV5" s="468">
        <f>'P&amp;L'!BS32/'P&amp;L'!BS5</f>
        <v>2.9574326475099232E-2</v>
      </c>
      <c r="BW5" s="468">
        <f>'P&amp;L'!BT32/'P&amp;L'!BT5</f>
        <v>3.5393182126850532E-2</v>
      </c>
      <c r="BX5" s="467">
        <f>'P&amp;L'!BU32/'P&amp;L'!BU5</f>
        <v>2.2867542913336852E-2</v>
      </c>
    </row>
    <row r="6" spans="1:76" s="4" customFormat="1" ht="24" customHeight="1">
      <c r="A6" s="4" t="s">
        <v>557</v>
      </c>
      <c r="B6" s="4" t="s">
        <v>558</v>
      </c>
      <c r="C6" s="467">
        <v>0.158</v>
      </c>
      <c r="D6" s="467">
        <v>0.191</v>
      </c>
      <c r="E6" s="467">
        <v>0.35599999999999998</v>
      </c>
      <c r="F6" s="467">
        <v>0.29699999999999999</v>
      </c>
      <c r="G6" s="468">
        <v>0.10100000000000001</v>
      </c>
      <c r="H6" s="468">
        <v>7.0999999999999994E-2</v>
      </c>
      <c r="I6" s="468">
        <v>6.9000000000000006E-2</v>
      </c>
      <c r="J6" s="468">
        <v>3.5999999999999997E-2</v>
      </c>
      <c r="K6" s="467">
        <v>0.255</v>
      </c>
      <c r="L6" s="468">
        <v>6.2271468324674333E-2</v>
      </c>
      <c r="M6" s="468">
        <v>1.3239521157757844E-2</v>
      </c>
      <c r="N6" s="468" t="s">
        <v>556</v>
      </c>
      <c r="O6" s="468">
        <v>1.4264993041101997E-2</v>
      </c>
      <c r="P6" s="467">
        <v>2.9950184610851395E-2</v>
      </c>
      <c r="Q6" s="468">
        <v>3.7273881405565285E-2</v>
      </c>
      <c r="R6" s="468">
        <v>1.7775372865166162E-2</v>
      </c>
      <c r="S6" s="468">
        <v>3.1199624869035991E-2</v>
      </c>
      <c r="T6" s="468">
        <v>2.1869529763033944E-2</v>
      </c>
      <c r="U6" s="467">
        <v>0.10758152928832863</v>
      </c>
      <c r="V6" s="468">
        <v>1.6894118349245417E-2</v>
      </c>
      <c r="W6" s="468">
        <v>1.4437552333780404E-2</v>
      </c>
      <c r="X6" s="468">
        <v>3.1520471398527435E-2</v>
      </c>
      <c r="Y6" s="468">
        <v>3.0503344649529706E-2</v>
      </c>
      <c r="Z6" s="467">
        <v>9.2569363820704936E-2</v>
      </c>
      <c r="AA6" s="468">
        <v>1.6778114005449145E-2</v>
      </c>
      <c r="AB6" s="468">
        <v>4.7471709233085704E-3</v>
      </c>
      <c r="AC6" s="468">
        <v>1.7539263205391209E-3</v>
      </c>
      <c r="AD6" s="468">
        <v>5.1209457655268075E-4</v>
      </c>
      <c r="AE6" s="467">
        <v>1.0699118831546462E-2</v>
      </c>
      <c r="AF6" s="468">
        <v>6.3051655844275677E-3</v>
      </c>
      <c r="AG6" s="468">
        <v>1.1218857997627276E-2</v>
      </c>
      <c r="AH6" s="468">
        <v>1.9220838831831989E-2</v>
      </c>
      <c r="AI6" s="468">
        <v>7.0063910668514045E-3</v>
      </c>
      <c r="AJ6" s="467">
        <v>4.3918294004175129E-2</v>
      </c>
      <c r="AK6" s="468">
        <v>6.2950750295357192E-3</v>
      </c>
      <c r="AL6" s="468">
        <v>8.3716748062985218E-3</v>
      </c>
      <c r="AM6" s="468">
        <v>9.8133713549945403E-3</v>
      </c>
      <c r="AN6" s="468">
        <v>1.232631187949209E-2</v>
      </c>
      <c r="AO6" s="467">
        <v>3.6820258715510319E-2</v>
      </c>
      <c r="AP6" s="468">
        <v>9.8500355675565938E-3</v>
      </c>
      <c r="AQ6" s="468">
        <v>1.0312071016747503E-2</v>
      </c>
      <c r="AR6" s="468">
        <v>8.7347448740545761E-3</v>
      </c>
      <c r="AS6" s="468">
        <v>5.6636402939904901E-3</v>
      </c>
      <c r="AT6" s="467">
        <v>3.4053898256232916E-2</v>
      </c>
      <c r="AU6" s="468">
        <v>1.0475220832855341E-2</v>
      </c>
      <c r="AV6" s="468">
        <v>7.7777329622608473E-3</v>
      </c>
      <c r="AW6" s="468">
        <v>7.4715498777771496E-3</v>
      </c>
      <c r="AX6" s="468">
        <v>2.1305152328581472E-3</v>
      </c>
      <c r="AY6" s="467">
        <v>2.658583305100215E-2</v>
      </c>
      <c r="AZ6" s="468">
        <v>9.4489540360668291E-3</v>
      </c>
      <c r="BA6" s="468">
        <v>8.5748360927574603E-3</v>
      </c>
      <c r="BB6" s="468">
        <v>7.5612976657490755E-3</v>
      </c>
      <c r="BC6" s="468">
        <v>9.5705378402926155E-3</v>
      </c>
      <c r="BD6" s="467">
        <v>3.4201094827797859E-2</v>
      </c>
      <c r="BE6" s="468">
        <v>5.6275610027343359E-3</v>
      </c>
      <c r="BF6" s="468">
        <v>8.9109457189450597E-3</v>
      </c>
      <c r="BG6" s="468">
        <v>1.0513773042685913E-2</v>
      </c>
      <c r="BH6" s="468">
        <v>9.8647008914389284E-3</v>
      </c>
      <c r="BI6" s="467">
        <v>3.4611456939151457E-2</v>
      </c>
      <c r="BJ6" s="468">
        <f>'P&amp;L'!BG32/'Balance sheet'!AM40</f>
        <v>1.1846637029844181E-2</v>
      </c>
      <c r="BK6" s="468">
        <f>'P&amp;L'!BH32/'Balance sheet'!AN40</f>
        <v>1.6453892954015972E-2</v>
      </c>
      <c r="BL6" s="468">
        <f>'P&amp;L'!BI32/'Balance sheet'!AO40</f>
        <v>8.7543164087479253E-2</v>
      </c>
      <c r="BM6" s="468">
        <f>'P&amp;L'!BJ32/'Balance sheet'!AP40</f>
        <v>1.0351459503055485E-2</v>
      </c>
      <c r="BN6" s="467">
        <f>'P&amp;L'!BK32/'Balance sheet'!AP40</f>
        <v>0.13693892111548836</v>
      </c>
      <c r="BO6" s="468">
        <f>'P&amp;L'!BL32/'Balance sheet'!AQ40</f>
        <v>6.671850309764478E-3</v>
      </c>
      <c r="BP6" s="468">
        <f>'P&amp;L'!BM32/'Balance sheet'!AR40</f>
        <v>8.8860250204312492E-3</v>
      </c>
      <c r="BQ6" s="468">
        <f>'P&amp;L'!BN32/'Balance sheet'!AS40</f>
        <v>7.2933958631833671E-3</v>
      </c>
      <c r="BR6" s="468">
        <f>'P&amp;L'!BO32/'Balance sheet'!AT40</f>
        <v>5.4013730940426705E-3</v>
      </c>
      <c r="BS6" s="467">
        <f>'P&amp;L'!BP32/'Balance sheet'!AT40</f>
        <v>2.7892133495942009E-2</v>
      </c>
      <c r="BT6" s="468">
        <f>'P&amp;L'!BQ32/'Balance sheet'!AU40</f>
        <v>2.1639348259404152E-3</v>
      </c>
      <c r="BU6" s="468">
        <f>'P&amp;L'!BR32/'Balance sheet'!AV40</f>
        <v>2.3343881309332922E-4</v>
      </c>
      <c r="BV6" s="468">
        <f>'P&amp;L'!BS32/'Balance sheet'!AW40</f>
        <v>2.7792659148326432E-3</v>
      </c>
      <c r="BW6" s="468">
        <f>'P&amp;L'!BT32/'Balance sheet'!AX40</f>
        <v>3.5048834350547581E-3</v>
      </c>
      <c r="BX6" s="467">
        <f>'P&amp;L'!BU32/'Balance sheet'!AX40</f>
        <v>8.3815938477595376E-3</v>
      </c>
    </row>
    <row r="7" spans="1:76" s="4" customFormat="1" ht="24" customHeight="1">
      <c r="A7" s="4" t="s">
        <v>559</v>
      </c>
      <c r="B7" s="4" t="s">
        <v>560</v>
      </c>
      <c r="C7" s="467" t="s">
        <v>556</v>
      </c>
      <c r="D7" s="467" t="s">
        <v>556</v>
      </c>
      <c r="E7" s="467">
        <v>11.443</v>
      </c>
      <c r="F7" s="467">
        <v>2.5009999999999999</v>
      </c>
      <c r="G7" s="468">
        <v>0.26700000000000002</v>
      </c>
      <c r="H7" s="468">
        <v>0.26200000000000001</v>
      </c>
      <c r="I7" s="468">
        <v>0.21199999999999999</v>
      </c>
      <c r="J7" s="468">
        <v>9.5000000000000001E-2</v>
      </c>
      <c r="K7" s="467">
        <v>1.5249999999999999</v>
      </c>
      <c r="L7" s="468">
        <v>0.17852586122288744</v>
      </c>
      <c r="M7" s="468">
        <v>3.8577428856174406E-2</v>
      </c>
      <c r="N7" s="468" t="s">
        <v>556</v>
      </c>
      <c r="O7" s="468">
        <v>4.1927279961049509E-2</v>
      </c>
      <c r="P7" s="467">
        <v>9.1999999999999998E-2</v>
      </c>
      <c r="Q7" s="468">
        <v>0.10877317095676947</v>
      </c>
      <c r="R7" s="468">
        <v>4.7546166174335783E-2</v>
      </c>
      <c r="S7" s="468">
        <v>7.8824364260900753E-2</v>
      </c>
      <c r="T7" s="468">
        <v>5.1825928219061103E-2</v>
      </c>
      <c r="U7" s="467">
        <v>0.31992749070239374</v>
      </c>
      <c r="V7" s="468">
        <v>3.854988705193179E-2</v>
      </c>
      <c r="W7" s="468">
        <v>3.1460520932769673E-2</v>
      </c>
      <c r="X7" s="468">
        <v>6.6607225701146078E-2</v>
      </c>
      <c r="Y7" s="468">
        <v>6.122340013627673E-2</v>
      </c>
      <c r="Z7" s="467">
        <v>0.21223515288993153</v>
      </c>
      <c r="AA7" s="468">
        <v>3.2613364596168266E-2</v>
      </c>
      <c r="AB7" s="468">
        <v>1.4743961784008204E-2</v>
      </c>
      <c r="AC7" s="468">
        <v>5.3069088907238835E-3</v>
      </c>
      <c r="AD7" s="468">
        <v>1.5445378522098774E-3</v>
      </c>
      <c r="AE7" s="467">
        <v>3.3292737061360989E-2</v>
      </c>
      <c r="AF7" s="468">
        <v>1.8684840992878312E-2</v>
      </c>
      <c r="AG7" s="468">
        <v>3.2907179060443298E-2</v>
      </c>
      <c r="AH7" s="468">
        <v>5.2576510593774481E-2</v>
      </c>
      <c r="AI7" s="468">
        <v>1.8441055193998745E-2</v>
      </c>
      <c r="AJ7" s="467">
        <v>0.12803327940836601</v>
      </c>
      <c r="AK7" s="468">
        <v>1.7454310774736723E-2</v>
      </c>
      <c r="AL7" s="468">
        <v>2.1926367667866348E-2</v>
      </c>
      <c r="AM7" s="468">
        <v>2.5065730185716849E-2</v>
      </c>
      <c r="AN7" s="468">
        <v>3.0971927726127686E-2</v>
      </c>
      <c r="AO7" s="467">
        <v>9.8584477531236128E-2</v>
      </c>
      <c r="AP7" s="468">
        <v>2.3855356028443631E-2</v>
      </c>
      <c r="AQ7" s="468">
        <v>2.4616809689427963E-2</v>
      </c>
      <c r="AR7" s="468">
        <v>2.003411513859275E-2</v>
      </c>
      <c r="AS7" s="468">
        <v>1.3144252316130978E-2</v>
      </c>
      <c r="AT7" s="467">
        <v>8.4607397328941306E-2</v>
      </c>
      <c r="AU7" s="468">
        <v>2.3166941519725995E-2</v>
      </c>
      <c r="AV7" s="468">
        <v>1.7500340326410829E-2</v>
      </c>
      <c r="AW7" s="468">
        <v>1.6879487446299284E-2</v>
      </c>
      <c r="AX7" s="468">
        <v>4.7357673536184428E-3</v>
      </c>
      <c r="AY7" s="467">
        <v>6.2492821097931937E-2</v>
      </c>
      <c r="AZ7" s="468">
        <v>2.1426563749972937E-2</v>
      </c>
      <c r="BA7" s="468">
        <v>1.9700210995193979E-2</v>
      </c>
      <c r="BB7" s="468">
        <v>1.6991651459198471E-2</v>
      </c>
      <c r="BC7" s="468">
        <v>2.2038353376764706E-2</v>
      </c>
      <c r="BD7" s="467">
        <v>8.3491262106832345E-2</v>
      </c>
      <c r="BE7" s="468">
        <v>1.2713485180485014E-2</v>
      </c>
      <c r="BF7" s="468">
        <v>1.9846661159394624E-2</v>
      </c>
      <c r="BG7" s="468">
        <v>2.412874257778895E-2</v>
      </c>
      <c r="BH7" s="468">
        <v>2.3157985929700729E-2</v>
      </c>
      <c r="BI7" s="467">
        <v>8.626396577458123E-2</v>
      </c>
      <c r="BJ7" s="468">
        <f>'P&amp;L'!BG32/('Balance sheet'!AM54-'P&amp;L'!BG32)</f>
        <v>2.6068550137220467E-2</v>
      </c>
      <c r="BK7" s="468">
        <f>'P&amp;L'!BH32/('Balance sheet'!AN54-'P&amp;L'!BH32)</f>
        <v>3.7564057223297066E-2</v>
      </c>
      <c r="BL7" s="468">
        <f>'P&amp;L'!BI32/('Balance sheet'!AO54-'P&amp;L'!BI32)</f>
        <v>0.21933753613597581</v>
      </c>
      <c r="BM7" s="468">
        <f>'P&amp;L'!BJ32/('Balance sheet'!AP54-'P&amp;L'!BJ32)</f>
        <v>2.2171431608740983E-2</v>
      </c>
      <c r="BN7" s="467">
        <f>'P&amp;L'!BK32/('Balance sheet'!AP54-'P&amp;L'!BK32)</f>
        <v>0.40241201082943617</v>
      </c>
      <c r="BO7" s="468">
        <f>'P&amp;L'!BL32/('Balance sheet'!AQ54-'P&amp;L'!BL32)</f>
        <v>1.3823477825920315E-2</v>
      </c>
      <c r="BP7" s="468">
        <f>'P&amp;L'!BM32/('Balance sheet'!AR54-'P&amp;L'!BM32)</f>
        <v>1.8669801414599018E-2</v>
      </c>
      <c r="BQ7" s="468">
        <f>'P&amp;L'!BN32/('Balance sheet'!AS54-'P&amp;L'!BN32)</f>
        <v>1.4983726026686772E-2</v>
      </c>
      <c r="BR7" s="468">
        <f>'P&amp;L'!BO32/('Balance sheet'!AT54-'P&amp;L'!BO32)</f>
        <v>1.1159929139246429E-2</v>
      </c>
      <c r="BS7" s="467">
        <f>'P&amp;L'!BP32/('Balance sheet'!AT54-'P&amp;L'!BP32)</f>
        <v>6.0437165067036912E-2</v>
      </c>
      <c r="BT7" s="468">
        <f>'P&amp;L'!BQ32/('Balance sheet'!AU54-'P&amp;L'!BQ32)</f>
        <v>4.4940406489141875E-3</v>
      </c>
      <c r="BU7" s="468">
        <f>'P&amp;L'!BR32/('Balance sheet'!AV54-'P&amp;L'!BR32)</f>
        <v>5.1119581955419901E-4</v>
      </c>
      <c r="BV7" s="468">
        <f>'P&amp;L'!BS32/('Balance sheet'!AW54-'P&amp;L'!BS32)</f>
        <v>6.5256396340023131E-3</v>
      </c>
      <c r="BW7" s="468">
        <f>'P&amp;L'!BT32/('Balance sheet'!AX54-'P&amp;L'!BT32)</f>
        <v>8.0556912252935237E-3</v>
      </c>
      <c r="BX7" s="467">
        <f>'P&amp;L'!BU32/('Balance sheet'!AX54-'P&amp;L'!BU32)</f>
        <v>1.9482793117247026E-2</v>
      </c>
    </row>
    <row r="8" spans="1:76" s="4" customFormat="1" ht="24" customHeight="1">
      <c r="A8" s="4" t="s">
        <v>561</v>
      </c>
      <c r="B8" s="4" t="s">
        <v>562</v>
      </c>
      <c r="C8" s="470">
        <v>0.6</v>
      </c>
      <c r="D8" s="470">
        <v>1.1000000000000001</v>
      </c>
      <c r="E8" s="470">
        <v>1.4</v>
      </c>
      <c r="F8" s="470">
        <v>1</v>
      </c>
      <c r="G8" s="471">
        <v>1.2</v>
      </c>
      <c r="H8" s="471">
        <v>0.9</v>
      </c>
      <c r="I8" s="471">
        <v>1</v>
      </c>
      <c r="J8" s="471">
        <v>0.9</v>
      </c>
      <c r="K8" s="470">
        <v>0.9</v>
      </c>
      <c r="L8" s="471">
        <v>0.99222253558666473</v>
      </c>
      <c r="M8" s="471">
        <v>1.1972812574503593</v>
      </c>
      <c r="N8" s="471">
        <v>1.1937547068795404</v>
      </c>
      <c r="O8" s="471">
        <v>1.1052998425278158</v>
      </c>
      <c r="P8" s="470">
        <v>1.1000000000000001</v>
      </c>
      <c r="Q8" s="471">
        <v>1.2520302028925108</v>
      </c>
      <c r="R8" s="471">
        <v>1.13470796163891</v>
      </c>
      <c r="S8" s="471">
        <v>1.0480052530350539</v>
      </c>
      <c r="T8" s="471">
        <v>1.0172641031890362</v>
      </c>
      <c r="U8" s="470">
        <v>1.0172641031890362</v>
      </c>
      <c r="V8" s="471">
        <v>1.1953668834873901</v>
      </c>
      <c r="W8" s="471">
        <v>1.1434662606816619</v>
      </c>
      <c r="X8" s="471">
        <v>1.2291320432164132</v>
      </c>
      <c r="Y8" s="471">
        <v>1.2518939180227138</v>
      </c>
      <c r="Z8" s="470">
        <v>1.2518939180227138</v>
      </c>
      <c r="AA8" s="471">
        <v>1.3919076872487033</v>
      </c>
      <c r="AB8" s="471">
        <v>1.1114925821972736</v>
      </c>
      <c r="AC8" s="471">
        <v>0.94501659921971548</v>
      </c>
      <c r="AD8" s="471">
        <v>0.95569502090756708</v>
      </c>
      <c r="AE8" s="470">
        <v>0.95569502090756708</v>
      </c>
      <c r="AF8" s="471">
        <v>0.95351583208829338</v>
      </c>
      <c r="AG8" s="471">
        <v>1.0069261213720315</v>
      </c>
      <c r="AH8" s="471">
        <v>0.47434112256006483</v>
      </c>
      <c r="AI8" s="471">
        <v>0.49948621035847135</v>
      </c>
      <c r="AJ8" s="470">
        <v>0.49948621035847135</v>
      </c>
      <c r="AK8" s="471">
        <v>0.92874645654158483</v>
      </c>
      <c r="AL8" s="471">
        <v>0.9143403550836332</v>
      </c>
      <c r="AM8" s="471">
        <v>0.99730487345250907</v>
      </c>
      <c r="AN8" s="471">
        <v>1.0242312289470821</v>
      </c>
      <c r="AO8" s="470">
        <v>1.0242312289470821</v>
      </c>
      <c r="AP8" s="471">
        <v>0.89580852038479164</v>
      </c>
      <c r="AQ8" s="471">
        <v>0.89208350653549495</v>
      </c>
      <c r="AR8" s="471">
        <v>0.91086116341294232</v>
      </c>
      <c r="AS8" s="471">
        <v>1.0040863235857489</v>
      </c>
      <c r="AT8" s="470">
        <v>1.0040863235857489</v>
      </c>
      <c r="AU8" s="471">
        <v>1.490674318507891</v>
      </c>
      <c r="AV8" s="471">
        <v>1.1393504531722054</v>
      </c>
      <c r="AW8" s="471">
        <v>1.1493006613900034</v>
      </c>
      <c r="AX8" s="471">
        <v>1.0805204638743873</v>
      </c>
      <c r="AY8" s="470">
        <v>1.0805204638743873</v>
      </c>
      <c r="AZ8" s="471">
        <v>1.0288783163318305</v>
      </c>
      <c r="BA8" s="471">
        <v>0.90459880771651757</v>
      </c>
      <c r="BB8" s="471">
        <v>0.8907010624311551</v>
      </c>
      <c r="BC8" s="471">
        <v>0.8494768412801198</v>
      </c>
      <c r="BD8" s="470">
        <v>0.8494768412801198</v>
      </c>
      <c r="BE8" s="471">
        <v>1.0446639929570576</v>
      </c>
      <c r="BF8" s="471">
        <v>1.4179311763798159</v>
      </c>
      <c r="BG8" s="471">
        <v>1.1340274796049807</v>
      </c>
      <c r="BH8" s="471">
        <v>1.0005308660700745</v>
      </c>
      <c r="BI8" s="470">
        <v>1.0005308660700745</v>
      </c>
      <c r="BJ8" s="471">
        <f>'Balance sheet'!AM37/'Balance sheet'!AM76</f>
        <v>1.2774572249281877</v>
      </c>
      <c r="BK8" s="471">
        <f>'Balance sheet'!AN37/'Balance sheet'!AN76</f>
        <v>1.0301228183581126</v>
      </c>
      <c r="BL8" s="471">
        <f>'Balance sheet'!AO37/'Balance sheet'!AO76</f>
        <v>1.7694467309501412</v>
      </c>
      <c r="BM8" s="471">
        <f>'Balance sheet'!AP37/'Balance sheet'!AP76</f>
        <v>1.4356326537866806</v>
      </c>
      <c r="BN8" s="470">
        <f>'Balance sheet'!AP37/'Balance sheet'!AP76</f>
        <v>1.4356326537866806</v>
      </c>
      <c r="BO8" s="471">
        <f>'Balance sheet'!AQ37/'Balance sheet'!AQ76</f>
        <v>1.4459542259866642</v>
      </c>
      <c r="BP8" s="471">
        <f>'Balance sheet'!AR37/'Balance sheet'!AR76</f>
        <v>1.0795776506819179</v>
      </c>
      <c r="BQ8" s="471">
        <f>'Balance sheet'!AS37/'Balance sheet'!AS76</f>
        <v>1.2105886363228622</v>
      </c>
      <c r="BR8" s="471">
        <f>'Balance sheet'!AT37/'Balance sheet'!AT76</f>
        <v>1.0139658612281091</v>
      </c>
      <c r="BS8" s="470">
        <f>'Balance sheet'!AT37/'Balance sheet'!AT76</f>
        <v>1.0139658612281091</v>
      </c>
      <c r="BT8" s="471">
        <f>'Balance sheet'!AU37/'Balance sheet'!AU76</f>
        <v>1.1551395360405923</v>
      </c>
      <c r="BU8" s="471">
        <f>'Balance sheet'!AV37/'Balance sheet'!AV76</f>
        <v>1.5649167096303938</v>
      </c>
      <c r="BV8" s="471">
        <f>'Balance sheet'!AW37/'Balance sheet'!AW76</f>
        <v>1.4882702070659974</v>
      </c>
      <c r="BW8" s="471">
        <f>'Balance sheet'!AX37/'Balance sheet'!AX76</f>
        <v>1.6351027956053521</v>
      </c>
      <c r="BX8" s="470">
        <f>'Balance sheet'!AX37/'Balance sheet'!AX76</f>
        <v>1.6351027956053521</v>
      </c>
    </row>
    <row r="9" spans="1:76" s="4" customFormat="1" ht="24" customHeight="1">
      <c r="A9" s="485" t="s">
        <v>563</v>
      </c>
      <c r="B9" s="485" t="s">
        <v>564</v>
      </c>
      <c r="C9" s="486">
        <v>1.177</v>
      </c>
      <c r="D9" s="486">
        <v>0.89700000000000002</v>
      </c>
      <c r="E9" s="486">
        <v>0.61299999999999999</v>
      </c>
      <c r="F9" s="486">
        <v>0.58399999999999996</v>
      </c>
      <c r="G9" s="487">
        <v>0.52300000000000002</v>
      </c>
      <c r="H9" s="487">
        <v>0.65900000000000003</v>
      </c>
      <c r="I9" s="487">
        <v>0.60299999999999998</v>
      </c>
      <c r="J9" s="487">
        <v>0.57799999999999996</v>
      </c>
      <c r="K9" s="486">
        <v>0.57799999999999996</v>
      </c>
      <c r="L9" s="487">
        <v>0.58891930091111089</v>
      </c>
      <c r="M9" s="487">
        <v>0.64356702219385198</v>
      </c>
      <c r="N9" s="487">
        <v>0.66091379189163646</v>
      </c>
      <c r="O9" s="487">
        <v>0.64550322816584982</v>
      </c>
      <c r="P9" s="486">
        <v>0.64600000000000002</v>
      </c>
      <c r="Q9" s="487">
        <v>0.6200507963830475</v>
      </c>
      <c r="R9" s="487">
        <v>0.60836960799428208</v>
      </c>
      <c r="S9" s="487">
        <v>0.57298843092335383</v>
      </c>
      <c r="T9" s="487">
        <v>0.55614999608907556</v>
      </c>
      <c r="U9" s="486">
        <v>0.55614999608907556</v>
      </c>
      <c r="V9" s="487">
        <v>0.54486547055728474</v>
      </c>
      <c r="W9" s="487">
        <v>0.52665229914601286</v>
      </c>
      <c r="X9" s="487">
        <v>0.49525051978561557</v>
      </c>
      <c r="Y9" s="487">
        <v>0.47126649202023174</v>
      </c>
      <c r="Z9" s="486">
        <v>0.47126649202023174</v>
      </c>
      <c r="AA9" s="487">
        <v>0.46876671667355413</v>
      </c>
      <c r="AB9" s="487">
        <v>0.67327892593910244</v>
      </c>
      <c r="AC9" s="487">
        <v>0.66774740549903211</v>
      </c>
      <c r="AD9" s="487">
        <v>0.66793699017975172</v>
      </c>
      <c r="AE9" s="486">
        <v>0.66793699017975172</v>
      </c>
      <c r="AF9" s="487">
        <v>0.65624665453377584</v>
      </c>
      <c r="AG9" s="487">
        <v>0.64785681126528083</v>
      </c>
      <c r="AH9" s="487">
        <v>0.61520071910800012</v>
      </c>
      <c r="AI9" s="487">
        <v>0.61305921834949684</v>
      </c>
      <c r="AJ9" s="486">
        <v>0.61305921834949684</v>
      </c>
      <c r="AK9" s="487">
        <v>0.63304473558921559</v>
      </c>
      <c r="AL9" s="487">
        <v>0.60981976788452963</v>
      </c>
      <c r="AM9" s="487">
        <v>0.59868152930210516</v>
      </c>
      <c r="AN9" s="487">
        <v>0.58969032755965733</v>
      </c>
      <c r="AO9" s="486">
        <v>0.58969032755965733</v>
      </c>
      <c r="AP9" s="487">
        <v>0.57724329660438722</v>
      </c>
      <c r="AQ9" s="487">
        <v>0.57078429578109258</v>
      </c>
      <c r="AR9" s="487">
        <v>0.55527171043335344</v>
      </c>
      <c r="AS9" s="487">
        <v>0.56345294711053473</v>
      </c>
      <c r="AT9" s="486">
        <v>0.56345294711053473</v>
      </c>
      <c r="AU9" s="487">
        <v>0.53736233796030752</v>
      </c>
      <c r="AV9" s="487">
        <v>0.54778902647252581</v>
      </c>
      <c r="AW9" s="487">
        <v>0.54988764710333504</v>
      </c>
      <c r="AX9" s="487">
        <v>0.54799197310468839</v>
      </c>
      <c r="AY9" s="486">
        <v>0.54799197310468839</v>
      </c>
      <c r="AZ9" s="487">
        <v>0.5495585402907468</v>
      </c>
      <c r="BA9" s="487">
        <v>0.55615895813668714</v>
      </c>
      <c r="BB9" s="487">
        <v>0.54743795100023351</v>
      </c>
      <c r="BC9" s="487">
        <v>0.5561620885190367</v>
      </c>
      <c r="BD9" s="486">
        <v>0.5561620885190367</v>
      </c>
      <c r="BE9" s="487">
        <v>0.55172741107270029</v>
      </c>
      <c r="BF9" s="487">
        <v>0.54209939061024826</v>
      </c>
      <c r="BG9" s="487">
        <v>0.55374976001170229</v>
      </c>
      <c r="BH9" s="487">
        <v>0.56436056167899751</v>
      </c>
      <c r="BI9" s="486">
        <v>0.56436056167899751</v>
      </c>
      <c r="BJ9" s="487">
        <f>'Balance sheet'!AM79/'Balance sheet'!AM40</f>
        <v>0.53371163270570032</v>
      </c>
      <c r="BK9" s="487">
        <f>'Balance sheet'!AN79/'Balance sheet'!AN40</f>
        <v>0.54552385465171038</v>
      </c>
      <c r="BL9" s="487">
        <f>'Balance sheet'!AO79/'Balance sheet'!AO40</f>
        <v>0.51333151687361345</v>
      </c>
      <c r="BM9" s="487">
        <f>'Balance sheet'!AP79/'Balance sheet'!AP40</f>
        <v>0.52276576604522751</v>
      </c>
      <c r="BN9" s="486">
        <f>'Balance sheet'!AP79/'Balance sheet'!AP40</f>
        <v>0.52276576604522751</v>
      </c>
      <c r="BO9" s="487">
        <f>'Balance sheet'!AQ79/'Balance sheet'!AQ40</f>
        <v>0.51068185808522926</v>
      </c>
      <c r="BP9" s="487">
        <f>'Balance sheet'!AR79/'Balance sheet'!AR40</f>
        <v>0.51515684918589311</v>
      </c>
      <c r="BQ9" s="487">
        <f>'Balance sheet'!AS79/'Balance sheet'!AS40</f>
        <v>0.50595211795671313</v>
      </c>
      <c r="BR9" s="487">
        <f>'Balance sheet'!AT79/'Balance sheet'!AT40</f>
        <v>0.51060154890951082</v>
      </c>
      <c r="BS9" s="486">
        <f>'Balance sheet'!AT79/'Balance sheet'!AT40</f>
        <v>0.51060154890951082</v>
      </c>
      <c r="BT9" s="487">
        <f>'Balance sheet'!AU79/'Balance sheet'!AU40</f>
        <v>0.51632399285596731</v>
      </c>
      <c r="BU9" s="487">
        <f>'Balance sheet'!AV79/'Balance sheet'!AV40</f>
        <v>0.54311413140587805</v>
      </c>
      <c r="BV9" s="487">
        <f>'Balance sheet'!AW79/'Balance sheet'!AW40</f>
        <v>0.57132134786238553</v>
      </c>
      <c r="BW9" s="487">
        <f>'Balance sheet'!AX79/'Balance sheet'!AX40</f>
        <v>0.56141346596120678</v>
      </c>
      <c r="BX9" s="486">
        <f>'Balance sheet'!AX79/'Balance sheet'!AX40</f>
        <v>0.56141346596120678</v>
      </c>
    </row>
    <row r="13" spans="1:76" s="473" customFormat="1" ht="13.5">
      <c r="A13" s="472" t="s">
        <v>565</v>
      </c>
      <c r="B13" s="472" t="s">
        <v>566</v>
      </c>
    </row>
    <row r="14" spans="1:76" s="473" customFormat="1" ht="13.5">
      <c r="A14" s="472" t="s">
        <v>567</v>
      </c>
      <c r="B14" s="472" t="s">
        <v>568</v>
      </c>
    </row>
    <row r="15" spans="1:76" s="473" customFormat="1" ht="13.5">
      <c r="A15" s="472" t="s">
        <v>569</v>
      </c>
      <c r="B15" s="472" t="s">
        <v>570</v>
      </c>
    </row>
    <row r="16" spans="1:76" s="473" customFormat="1" ht="13.5">
      <c r="A16" s="472" t="s">
        <v>571</v>
      </c>
      <c r="B16" s="472" t="s">
        <v>572</v>
      </c>
    </row>
    <row r="17" spans="1:2" s="473" customFormat="1" ht="13.5">
      <c r="A17" s="472" t="s">
        <v>573</v>
      </c>
      <c r="B17" s="472" t="s">
        <v>574</v>
      </c>
    </row>
    <row r="18" spans="1:2" s="473" customFormat="1" ht="13.5">
      <c r="A18" s="472" t="s">
        <v>575</v>
      </c>
      <c r="B18" s="472" t="s">
        <v>576</v>
      </c>
    </row>
    <row r="19" spans="1:2" s="473" customFormat="1" ht="13.5">
      <c r="A19" s="472" t="s">
        <v>577</v>
      </c>
      <c r="B19" s="472" t="s">
        <v>578</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9"/>
  <sheetViews>
    <sheetView showGridLines="0" zoomScale="85" zoomScaleNormal="85" zoomScaleSheetLayoutView="85" workbookViewId="0">
      <pane xSplit="2" ySplit="4" topLeftCell="T5" activePane="bottomRight" state="frozen"/>
      <selection pane="topRight" activeCell="C1" sqref="C1"/>
      <selection pane="bottomLeft" activeCell="A5" sqref="A5"/>
      <selection pane="bottomRight" activeCell="C5" sqref="C5"/>
    </sheetView>
  </sheetViews>
  <sheetFormatPr defaultColWidth="9" defaultRowHeight="28.5" customHeight="1"/>
  <cols>
    <col min="1" max="2" width="40.58203125" style="601" customWidth="1"/>
    <col min="3" max="5" width="9" style="601"/>
    <col min="6" max="6" width="10.58203125" style="601" customWidth="1"/>
    <col min="7" max="16384" width="9" style="601"/>
  </cols>
  <sheetData>
    <row r="1" spans="1:36" s="581" customFormat="1" ht="89.25" customHeight="1">
      <c r="A1" s="580"/>
      <c r="B1" s="580"/>
      <c r="H1" s="582"/>
      <c r="I1" s="582"/>
      <c r="L1" s="582"/>
      <c r="M1" s="582"/>
      <c r="P1" s="582"/>
      <c r="Q1" s="582"/>
      <c r="T1" s="582"/>
      <c r="U1" s="582"/>
      <c r="V1" s="778"/>
      <c r="X1" s="582"/>
      <c r="Y1" s="582"/>
      <c r="Z1" s="778"/>
    </row>
    <row r="2" spans="1:36" s="584" customFormat="1" ht="12">
      <c r="A2" s="1067"/>
      <c r="B2" s="1067"/>
      <c r="C2" s="583"/>
      <c r="D2" s="583"/>
      <c r="E2" s="583"/>
      <c r="F2" s="583"/>
      <c r="G2" s="583"/>
      <c r="H2" s="583"/>
      <c r="I2" s="583"/>
      <c r="J2" s="583"/>
      <c r="K2" s="583"/>
      <c r="L2" s="583"/>
      <c r="M2" s="583"/>
      <c r="N2" s="583"/>
      <c r="O2" s="583"/>
      <c r="P2" s="583"/>
      <c r="Q2" s="583"/>
      <c r="S2" s="583"/>
      <c r="T2" s="583"/>
      <c r="U2" s="583"/>
      <c r="W2" s="583"/>
      <c r="X2" s="859"/>
      <c r="Y2" s="583"/>
    </row>
    <row r="3" spans="1:36" s="586" customFormat="1" ht="20.149999999999999" customHeight="1">
      <c r="A3" s="585" t="s">
        <v>579</v>
      </c>
      <c r="B3" s="585" t="s">
        <v>580</v>
      </c>
      <c r="C3" s="1065">
        <v>2018</v>
      </c>
      <c r="D3" s="1065"/>
      <c r="E3" s="1065"/>
      <c r="F3" s="1065"/>
      <c r="G3" s="1064">
        <v>2019</v>
      </c>
      <c r="H3" s="1065"/>
      <c r="I3" s="1065"/>
      <c r="J3" s="1066"/>
      <c r="K3" s="1065">
        <v>2020</v>
      </c>
      <c r="L3" s="1065"/>
      <c r="M3" s="1065"/>
      <c r="N3" s="1065"/>
      <c r="O3" s="1064">
        <v>2021</v>
      </c>
      <c r="P3" s="1065"/>
      <c r="Q3" s="1065"/>
      <c r="R3" s="1066"/>
      <c r="S3" s="1064">
        <v>2022</v>
      </c>
      <c r="T3" s="1065"/>
      <c r="U3" s="1065"/>
      <c r="V3" s="1066"/>
      <c r="W3" s="1064">
        <v>2023</v>
      </c>
      <c r="X3" s="1065"/>
      <c r="Y3" s="1065"/>
      <c r="Z3" s="1066"/>
    </row>
    <row r="4" spans="1:36" s="586" customFormat="1" ht="21.75" customHeight="1">
      <c r="A4" s="585"/>
      <c r="B4" s="585"/>
      <c r="C4" s="587" t="s">
        <v>581</v>
      </c>
      <c r="D4" s="587" t="s">
        <v>582</v>
      </c>
      <c r="E4" s="587" t="s">
        <v>583</v>
      </c>
      <c r="F4" s="587" t="s">
        <v>584</v>
      </c>
      <c r="G4" s="588" t="str">
        <f t="shared" ref="G4:R4" si="0">C4</f>
        <v>1Q</v>
      </c>
      <c r="H4" s="587" t="str">
        <f t="shared" si="0"/>
        <v>2Q</v>
      </c>
      <c r="I4" s="587" t="str">
        <f t="shared" si="0"/>
        <v>3Q</v>
      </c>
      <c r="J4" s="589" t="str">
        <f t="shared" si="0"/>
        <v>4Q</v>
      </c>
      <c r="K4" s="587" t="str">
        <f t="shared" si="0"/>
        <v>1Q</v>
      </c>
      <c r="L4" s="587" t="str">
        <f t="shared" si="0"/>
        <v>2Q</v>
      </c>
      <c r="M4" s="587" t="str">
        <f t="shared" si="0"/>
        <v>3Q</v>
      </c>
      <c r="N4" s="587" t="str">
        <f t="shared" si="0"/>
        <v>4Q</v>
      </c>
      <c r="O4" s="588" t="str">
        <f t="shared" si="0"/>
        <v>1Q</v>
      </c>
      <c r="P4" s="587" t="str">
        <f t="shared" si="0"/>
        <v>2Q</v>
      </c>
      <c r="Q4" s="587" t="str">
        <f t="shared" si="0"/>
        <v>3Q</v>
      </c>
      <c r="R4" s="589" t="str">
        <f t="shared" si="0"/>
        <v>4Q</v>
      </c>
      <c r="S4" s="588" t="str">
        <f t="shared" ref="S4" si="1">O4</f>
        <v>1Q</v>
      </c>
      <c r="T4" s="587" t="str">
        <f t="shared" ref="T4" si="2">P4</f>
        <v>2Q</v>
      </c>
      <c r="U4" s="587" t="str">
        <f t="shared" ref="U4" si="3">Q4</f>
        <v>3Q</v>
      </c>
      <c r="V4" s="589" t="str">
        <f t="shared" ref="V4" si="4">R4</f>
        <v>4Q</v>
      </c>
      <c r="W4" s="588" t="str">
        <f t="shared" ref="W4" si="5">S4</f>
        <v>1Q</v>
      </c>
      <c r="X4" s="587" t="str">
        <f t="shared" ref="X4" si="6">T4</f>
        <v>2Q</v>
      </c>
      <c r="Y4" s="587" t="str">
        <f t="shared" ref="Y4" si="7">U4</f>
        <v>3Q</v>
      </c>
      <c r="Z4" s="589" t="str">
        <f t="shared" ref="Z4" si="8">V4</f>
        <v>4Q</v>
      </c>
    </row>
    <row r="5" spans="1:36" s="594" customFormat="1" ht="20.149999999999999" customHeight="1">
      <c r="A5" s="590" t="s">
        <v>585</v>
      </c>
      <c r="B5" s="590" t="s">
        <v>586</v>
      </c>
      <c r="C5" s="591"/>
      <c r="D5" s="591"/>
      <c r="E5" s="591"/>
      <c r="F5" s="591"/>
      <c r="G5" s="592"/>
      <c r="H5" s="591"/>
      <c r="I5" s="591"/>
      <c r="J5" s="591"/>
      <c r="K5" s="593"/>
      <c r="L5" s="591"/>
      <c r="M5" s="591"/>
      <c r="N5" s="591"/>
      <c r="O5" s="592"/>
      <c r="P5" s="591"/>
      <c r="Q5" s="591"/>
      <c r="R5" s="681"/>
      <c r="S5" s="592"/>
      <c r="T5" s="591"/>
      <c r="U5" s="591"/>
      <c r="V5" s="681"/>
      <c r="W5" s="592"/>
      <c r="X5" s="591"/>
      <c r="Y5" s="591"/>
      <c r="Z5" s="681"/>
    </row>
    <row r="6" spans="1:36" ht="20.149999999999999" customHeight="1">
      <c r="A6" s="595" t="s">
        <v>587</v>
      </c>
      <c r="B6" s="596" t="s">
        <v>588</v>
      </c>
      <c r="C6" s="597">
        <f t="shared" ref="C6:R6" si="9">SUM(C7:C9)</f>
        <v>12361.7</v>
      </c>
      <c r="D6" s="597">
        <f t="shared" si="9"/>
        <v>12435.4</v>
      </c>
      <c r="E6" s="597">
        <f t="shared" si="9"/>
        <v>12508</v>
      </c>
      <c r="F6" s="597">
        <f t="shared" si="9"/>
        <v>12646.4</v>
      </c>
      <c r="G6" s="598">
        <f t="shared" si="9"/>
        <v>12677.4</v>
      </c>
      <c r="H6" s="597">
        <f t="shared" si="9"/>
        <v>12715.1</v>
      </c>
      <c r="I6" s="597">
        <f t="shared" si="9"/>
        <v>12793.1</v>
      </c>
      <c r="J6" s="597">
        <f t="shared" si="9"/>
        <v>12901.7</v>
      </c>
      <c r="K6" s="599">
        <f t="shared" si="9"/>
        <v>12907.6</v>
      </c>
      <c r="L6" s="597">
        <f t="shared" si="9"/>
        <v>12984.099999999999</v>
      </c>
      <c r="M6" s="597">
        <f t="shared" si="9"/>
        <v>13084</v>
      </c>
      <c r="N6" s="597">
        <f>SUM(N7:N9)</f>
        <v>13169.3</v>
      </c>
      <c r="O6" s="598">
        <f t="shared" si="9"/>
        <v>13172</v>
      </c>
      <c r="P6" s="597">
        <f t="shared" si="9"/>
        <v>13188</v>
      </c>
      <c r="Q6" s="597">
        <f t="shared" si="9"/>
        <v>13494</v>
      </c>
      <c r="R6" s="682">
        <f t="shared" si="9"/>
        <v>13465</v>
      </c>
      <c r="S6" s="598">
        <f t="shared" ref="S6:U6" si="10">SUM(S7:S9)</f>
        <v>13379</v>
      </c>
      <c r="T6" s="597">
        <f t="shared" si="10"/>
        <v>13349</v>
      </c>
      <c r="U6" s="597">
        <f t="shared" si="10"/>
        <v>13341</v>
      </c>
      <c r="V6" s="682">
        <f>SUM(V7:V9)</f>
        <v>13285</v>
      </c>
      <c r="W6" s="598">
        <f t="shared" ref="W6:Y6" si="11">SUM(W7:W9)</f>
        <v>13163</v>
      </c>
      <c r="X6" s="597">
        <f t="shared" si="11"/>
        <v>13083</v>
      </c>
      <c r="Y6" s="597">
        <f t="shared" si="11"/>
        <v>13054</v>
      </c>
      <c r="Z6" s="682">
        <f>SUM(Z7:Z9)</f>
        <v>13083</v>
      </c>
      <c r="AA6" s="600"/>
      <c r="AB6" s="984"/>
      <c r="AC6" s="984"/>
      <c r="AD6" s="984"/>
      <c r="AE6" s="984"/>
      <c r="AF6" s="984"/>
      <c r="AG6" s="984"/>
      <c r="AH6" s="984"/>
      <c r="AI6" s="984"/>
      <c r="AJ6" s="984"/>
    </row>
    <row r="7" spans="1:36" ht="20.149999999999999" customHeight="1">
      <c r="A7" s="602" t="s">
        <v>589</v>
      </c>
      <c r="B7" s="602" t="s">
        <v>590</v>
      </c>
      <c r="C7" s="603">
        <v>5220.5</v>
      </c>
      <c r="D7" s="603">
        <v>5270</v>
      </c>
      <c r="E7" s="603">
        <v>5288.3</v>
      </c>
      <c r="F7" s="603">
        <v>5358.7</v>
      </c>
      <c r="G7" s="604">
        <v>5345.9</v>
      </c>
      <c r="H7" s="603">
        <v>5334.3</v>
      </c>
      <c r="I7" s="603">
        <v>5317.8</v>
      </c>
      <c r="J7" s="605">
        <v>5336</v>
      </c>
      <c r="K7" s="603">
        <v>5300.7</v>
      </c>
      <c r="L7" s="603">
        <v>5319.4</v>
      </c>
      <c r="M7" s="603">
        <v>5339.7</v>
      </c>
      <c r="N7" s="603">
        <v>5355.3</v>
      </c>
      <c r="O7" s="604">
        <v>5344</v>
      </c>
      <c r="P7" s="603">
        <v>5332</v>
      </c>
      <c r="Q7" s="603">
        <v>5306</v>
      </c>
      <c r="R7" s="683">
        <v>5264</v>
      </c>
      <c r="S7" s="604">
        <v>5177</v>
      </c>
      <c r="T7" s="603">
        <v>5117</v>
      </c>
      <c r="U7" s="603">
        <v>5106</v>
      </c>
      <c r="V7" s="687">
        <v>5049</v>
      </c>
      <c r="W7" s="604">
        <v>4951</v>
      </c>
      <c r="X7" s="603">
        <v>4895</v>
      </c>
      <c r="Y7" s="903">
        <v>4863</v>
      </c>
      <c r="Z7" s="687">
        <v>4843</v>
      </c>
      <c r="AA7" s="600"/>
      <c r="AB7" s="984"/>
      <c r="AC7" s="984"/>
      <c r="AD7" s="984"/>
      <c r="AE7" s="984"/>
      <c r="AF7" s="984"/>
      <c r="AG7" s="984"/>
      <c r="AH7" s="984"/>
      <c r="AI7" s="984"/>
      <c r="AJ7" s="984"/>
    </row>
    <row r="8" spans="1:36" ht="20.149999999999999" customHeight="1">
      <c r="A8" s="602" t="s">
        <v>591</v>
      </c>
      <c r="B8" s="602" t="s">
        <v>592</v>
      </c>
      <c r="C8" s="603">
        <v>5109</v>
      </c>
      <c r="D8" s="603">
        <v>5150.6000000000004</v>
      </c>
      <c r="E8" s="603">
        <v>5212.2</v>
      </c>
      <c r="F8" s="603">
        <v>5271.2</v>
      </c>
      <c r="G8" s="604">
        <v>5334.6</v>
      </c>
      <c r="H8" s="603">
        <v>5396.4</v>
      </c>
      <c r="I8" s="603">
        <v>5494.2</v>
      </c>
      <c r="J8" s="605">
        <v>5578.1</v>
      </c>
      <c r="K8" s="603">
        <v>5628.3</v>
      </c>
      <c r="L8" s="603">
        <v>5683.4</v>
      </c>
      <c r="M8" s="603">
        <v>5760.6</v>
      </c>
      <c r="N8" s="603">
        <v>5810.2</v>
      </c>
      <c r="O8" s="604">
        <v>5832</v>
      </c>
      <c r="P8" s="603">
        <v>5864</v>
      </c>
      <c r="Q8" s="603">
        <v>6182</v>
      </c>
      <c r="R8" s="683">
        <v>6195</v>
      </c>
      <c r="S8" s="604">
        <v>6205</v>
      </c>
      <c r="T8" s="603">
        <v>6230</v>
      </c>
      <c r="U8" s="603">
        <v>6232</v>
      </c>
      <c r="V8" s="687">
        <v>6238</v>
      </c>
      <c r="W8" s="604">
        <v>6232</v>
      </c>
      <c r="X8" s="603">
        <v>6218</v>
      </c>
      <c r="Y8" s="903">
        <v>6213</v>
      </c>
      <c r="Z8" s="687">
        <v>6246</v>
      </c>
      <c r="AA8" s="600"/>
      <c r="AB8" s="984"/>
      <c r="AC8" s="984"/>
      <c r="AD8" s="984"/>
      <c r="AE8" s="984"/>
      <c r="AF8" s="984"/>
      <c r="AG8" s="984"/>
      <c r="AH8" s="984"/>
      <c r="AI8" s="984"/>
      <c r="AJ8" s="984"/>
    </row>
    <row r="9" spans="1:36" ht="20.149999999999999" customHeight="1">
      <c r="A9" s="602" t="s">
        <v>593</v>
      </c>
      <c r="B9" s="602" t="s">
        <v>594</v>
      </c>
      <c r="C9" s="603">
        <v>2032.2</v>
      </c>
      <c r="D9" s="603">
        <v>2014.8</v>
      </c>
      <c r="E9" s="603">
        <v>2007.5</v>
      </c>
      <c r="F9" s="603">
        <v>2016.5</v>
      </c>
      <c r="G9" s="604">
        <v>1996.9</v>
      </c>
      <c r="H9" s="603">
        <v>1984.4</v>
      </c>
      <c r="I9" s="603">
        <v>1981.1</v>
      </c>
      <c r="J9" s="605">
        <v>1987.6</v>
      </c>
      <c r="K9" s="603">
        <v>1978.6</v>
      </c>
      <c r="L9" s="603">
        <v>1981.3</v>
      </c>
      <c r="M9" s="603">
        <v>1983.7</v>
      </c>
      <c r="N9" s="603">
        <v>2003.8</v>
      </c>
      <c r="O9" s="604">
        <v>1996</v>
      </c>
      <c r="P9" s="603">
        <v>1992</v>
      </c>
      <c r="Q9" s="603">
        <v>2006</v>
      </c>
      <c r="R9" s="683">
        <v>2006</v>
      </c>
      <c r="S9" s="604">
        <v>1997</v>
      </c>
      <c r="T9" s="603">
        <v>2002</v>
      </c>
      <c r="U9" s="603">
        <v>2003</v>
      </c>
      <c r="V9" s="687">
        <v>1998</v>
      </c>
      <c r="W9" s="604">
        <v>1980</v>
      </c>
      <c r="X9" s="603">
        <v>1970</v>
      </c>
      <c r="Y9" s="903">
        <v>1978</v>
      </c>
      <c r="Z9" s="687">
        <v>1994</v>
      </c>
      <c r="AA9" s="600"/>
      <c r="AB9" s="984"/>
      <c r="AC9" s="984"/>
      <c r="AD9" s="984"/>
      <c r="AE9" s="984"/>
      <c r="AF9" s="984"/>
      <c r="AG9" s="984"/>
      <c r="AH9" s="984"/>
      <c r="AI9" s="984"/>
      <c r="AJ9" s="984"/>
    </row>
    <row r="10" spans="1:36" s="606" customFormat="1" ht="20.149999999999999" customHeight="1">
      <c r="A10" s="595" t="s">
        <v>595</v>
      </c>
      <c r="B10" s="596" t="s">
        <v>596</v>
      </c>
      <c r="C10" s="597">
        <v>6252</v>
      </c>
      <c r="D10" s="597">
        <v>6217</v>
      </c>
      <c r="E10" s="597">
        <v>6192</v>
      </c>
      <c r="F10" s="597">
        <v>6176.3</v>
      </c>
      <c r="G10" s="598">
        <v>6133.1</v>
      </c>
      <c r="H10" s="597">
        <v>6100.4</v>
      </c>
      <c r="I10" s="597">
        <v>6082.7</v>
      </c>
      <c r="J10" s="597">
        <v>6086.7</v>
      </c>
      <c r="K10" s="599">
        <v>6046.1</v>
      </c>
      <c r="L10" s="597">
        <v>6033</v>
      </c>
      <c r="M10" s="597">
        <v>6018.3</v>
      </c>
      <c r="N10" s="597">
        <v>6003.6</v>
      </c>
      <c r="O10" s="598">
        <v>5962</v>
      </c>
      <c r="P10" s="597">
        <v>5932</v>
      </c>
      <c r="Q10" s="597">
        <v>6069</v>
      </c>
      <c r="R10" s="682">
        <v>6047</v>
      </c>
      <c r="S10" s="598">
        <v>6012</v>
      </c>
      <c r="T10" s="597">
        <v>5990</v>
      </c>
      <c r="U10" s="597">
        <v>5967</v>
      </c>
      <c r="V10" s="682">
        <v>5934</v>
      </c>
      <c r="W10" s="975">
        <v>5887</v>
      </c>
      <c r="X10" s="976">
        <v>5848</v>
      </c>
      <c r="Y10" s="977">
        <v>5820</v>
      </c>
      <c r="Z10" s="682">
        <v>5795</v>
      </c>
      <c r="AA10" s="600"/>
      <c r="AB10" s="984"/>
      <c r="AC10" s="984"/>
      <c r="AD10" s="984"/>
      <c r="AE10" s="984"/>
      <c r="AF10" s="984"/>
      <c r="AG10" s="984"/>
      <c r="AH10" s="984"/>
      <c r="AI10" s="984"/>
      <c r="AJ10" s="984"/>
    </row>
    <row r="11" spans="1:36" s="612" customFormat="1" ht="20.149999999999999" customHeight="1">
      <c r="A11" s="607" t="s">
        <v>597</v>
      </c>
      <c r="B11" s="608" t="s">
        <v>598</v>
      </c>
      <c r="C11" s="609">
        <v>60.6</v>
      </c>
      <c r="D11" s="609">
        <v>61.3</v>
      </c>
      <c r="E11" s="609">
        <v>62.5</v>
      </c>
      <c r="F11" s="609">
        <v>62.6</v>
      </c>
      <c r="G11" s="610">
        <v>62</v>
      </c>
      <c r="H11" s="609">
        <v>62.2</v>
      </c>
      <c r="I11" s="609">
        <v>63.4</v>
      </c>
      <c r="J11" s="609">
        <v>63.8</v>
      </c>
      <c r="K11" s="611">
        <v>63.3</v>
      </c>
      <c r="L11" s="609">
        <v>63.3</v>
      </c>
      <c r="M11" s="609">
        <v>64.900000000000006</v>
      </c>
      <c r="N11" s="609">
        <v>66.2</v>
      </c>
      <c r="O11" s="610">
        <v>67.2</v>
      </c>
      <c r="P11" s="609">
        <v>67.8</v>
      </c>
      <c r="Q11" s="609">
        <v>68.599999999999994</v>
      </c>
      <c r="R11" s="684">
        <v>69.099999999999994</v>
      </c>
      <c r="S11" s="610">
        <v>69.8</v>
      </c>
      <c r="T11" s="609">
        <v>70.2</v>
      </c>
      <c r="U11" s="609">
        <v>71.3</v>
      </c>
      <c r="V11" s="684">
        <v>71.7</v>
      </c>
      <c r="W11" s="610">
        <v>71.400000000000006</v>
      </c>
      <c r="X11" s="609">
        <v>71.8</v>
      </c>
      <c r="Y11" s="609">
        <v>73.5</v>
      </c>
      <c r="Z11" s="684">
        <v>73.599999999999994</v>
      </c>
      <c r="AB11" s="846"/>
      <c r="AD11" s="846"/>
    </row>
    <row r="12" spans="1:36" s="612" customFormat="1" ht="20.149999999999999" customHeight="1">
      <c r="A12" s="607" t="s">
        <v>599</v>
      </c>
      <c r="B12" s="608" t="s">
        <v>600</v>
      </c>
      <c r="C12" s="609">
        <v>60.6</v>
      </c>
      <c r="D12" s="609">
        <v>60.9</v>
      </c>
      <c r="E12" s="609">
        <v>61.5</v>
      </c>
      <c r="F12" s="609">
        <v>61.8</v>
      </c>
      <c r="G12" s="610">
        <v>62</v>
      </c>
      <c r="H12" s="609">
        <v>62.1</v>
      </c>
      <c r="I12" s="609">
        <v>62.5</v>
      </c>
      <c r="J12" s="609">
        <v>62.9</v>
      </c>
      <c r="K12" s="611">
        <v>63.3</v>
      </c>
      <c r="L12" s="609">
        <v>63.3</v>
      </c>
      <c r="M12" s="609">
        <v>63.9</v>
      </c>
      <c r="N12" s="609">
        <v>64.5</v>
      </c>
      <c r="O12" s="610">
        <v>67.2</v>
      </c>
      <c r="P12" s="609">
        <v>67.5</v>
      </c>
      <c r="Q12" s="609">
        <v>67.900000000000006</v>
      </c>
      <c r="R12" s="684">
        <v>68.2</v>
      </c>
      <c r="S12" s="610">
        <v>69.8</v>
      </c>
      <c r="T12" s="609">
        <v>70</v>
      </c>
      <c r="U12" s="609">
        <v>70.400000000000006</v>
      </c>
      <c r="V12" s="684">
        <v>70.8</v>
      </c>
      <c r="W12" s="610">
        <v>71.400000000000006</v>
      </c>
      <c r="X12" s="609">
        <v>71.599999999999994</v>
      </c>
      <c r="Y12" s="609">
        <v>72.2</v>
      </c>
      <c r="Z12" s="993">
        <v>72.599999999999994</v>
      </c>
      <c r="AB12" s="846"/>
      <c r="AD12" s="846"/>
    </row>
    <row r="13" spans="1:36" ht="20.149999999999999" customHeight="1">
      <c r="A13" s="613" t="s">
        <v>601</v>
      </c>
      <c r="B13" s="613" t="s">
        <v>602</v>
      </c>
      <c r="C13" s="614" t="s">
        <v>603</v>
      </c>
      <c r="D13" s="614" t="s">
        <v>603</v>
      </c>
      <c r="E13" s="614" t="s">
        <v>603</v>
      </c>
      <c r="F13" s="614" t="s">
        <v>603</v>
      </c>
      <c r="G13" s="615">
        <v>7.9000000000000001E-2</v>
      </c>
      <c r="H13" s="614">
        <v>7.6999999999999999E-2</v>
      </c>
      <c r="I13" s="614">
        <v>7.3999999999999996E-2</v>
      </c>
      <c r="J13" s="614">
        <v>7.1999999999999995E-2</v>
      </c>
      <c r="K13" s="616">
        <v>7.1999999999999995E-2</v>
      </c>
      <c r="L13" s="614">
        <v>6.9000000000000006E-2</v>
      </c>
      <c r="M13" s="614">
        <v>6.7000000000000004E-2</v>
      </c>
      <c r="N13" s="614">
        <v>6.9000000000000006E-2</v>
      </c>
      <c r="O13" s="615">
        <v>7.0999999999999994E-2</v>
      </c>
      <c r="P13" s="614">
        <v>7.2999999999999995E-2</v>
      </c>
      <c r="Q13" s="614">
        <v>6.9000000000000006E-2</v>
      </c>
      <c r="R13" s="685">
        <v>6.9000000000000006E-2</v>
      </c>
      <c r="S13" s="615">
        <v>6.8000000000000005E-2</v>
      </c>
      <c r="T13" s="614">
        <v>6.8000000000000005E-2</v>
      </c>
      <c r="U13" s="614">
        <v>6.8000000000000005E-2</v>
      </c>
      <c r="V13" s="685">
        <v>7.0000000000000007E-2</v>
      </c>
      <c r="W13" s="615">
        <v>7.1999999999999995E-2</v>
      </c>
      <c r="X13" s="614">
        <v>7.2999999999999995E-2</v>
      </c>
      <c r="Y13" s="901">
        <v>7.4999999999999997E-2</v>
      </c>
      <c r="Z13" s="685">
        <v>7.5999999999999998E-2</v>
      </c>
      <c r="AA13" s="600"/>
      <c r="AB13" s="846"/>
      <c r="AD13" s="846"/>
    </row>
    <row r="14" spans="1:36" ht="20.149999999999999" customHeight="1">
      <c r="A14" s="613" t="s">
        <v>604</v>
      </c>
      <c r="B14" s="613" t="s">
        <v>605</v>
      </c>
      <c r="C14" s="617">
        <v>1.98</v>
      </c>
      <c r="D14" s="617">
        <v>2</v>
      </c>
      <c r="E14" s="617">
        <v>2.02</v>
      </c>
      <c r="F14" s="617">
        <v>2.0499999999999998</v>
      </c>
      <c r="G14" s="618">
        <v>2.0699999999999998</v>
      </c>
      <c r="H14" s="617">
        <v>2.08</v>
      </c>
      <c r="I14" s="617">
        <v>2.1</v>
      </c>
      <c r="J14" s="617">
        <v>2.12</v>
      </c>
      <c r="K14" s="619">
        <v>2.13</v>
      </c>
      <c r="L14" s="617">
        <v>2.15</v>
      </c>
      <c r="M14" s="617">
        <v>2.17</v>
      </c>
      <c r="N14" s="617">
        <v>2.19</v>
      </c>
      <c r="O14" s="618">
        <v>2.21</v>
      </c>
      <c r="P14" s="617">
        <v>2.2200000000000002</v>
      </c>
      <c r="Q14" s="617">
        <v>2.2200000000000002</v>
      </c>
      <c r="R14" s="686">
        <v>2.23</v>
      </c>
      <c r="S14" s="618">
        <v>2.23</v>
      </c>
      <c r="T14" s="617">
        <v>2.23</v>
      </c>
      <c r="U14" s="617">
        <v>2.2400000000000002</v>
      </c>
      <c r="V14" s="686">
        <v>2.2400000000000002</v>
      </c>
      <c r="W14" s="618">
        <v>2.2400000000000002</v>
      </c>
      <c r="X14" s="617">
        <v>2.2400000000000002</v>
      </c>
      <c r="Y14" s="900">
        <v>2.2400000000000002</v>
      </c>
      <c r="Z14" s="686">
        <v>2.2599999999999998</v>
      </c>
      <c r="AA14" s="612"/>
      <c r="AB14" s="846"/>
    </row>
    <row r="15" spans="1:36" s="594" customFormat="1" ht="20.149999999999999" customHeight="1">
      <c r="A15" s="590" t="s">
        <v>606</v>
      </c>
      <c r="B15" s="590" t="s">
        <v>607</v>
      </c>
      <c r="C15" s="591"/>
      <c r="D15" s="591"/>
      <c r="E15" s="591"/>
      <c r="F15" s="591"/>
      <c r="G15" s="592"/>
      <c r="H15" s="591"/>
      <c r="I15" s="591"/>
      <c r="J15" s="591"/>
      <c r="K15" s="593"/>
      <c r="L15" s="591"/>
      <c r="M15" s="591"/>
      <c r="N15" s="591"/>
      <c r="O15" s="592"/>
      <c r="P15" s="591"/>
      <c r="Q15" s="591"/>
      <c r="R15" s="681"/>
      <c r="S15" s="592"/>
      <c r="T15" s="591"/>
      <c r="U15" s="591"/>
      <c r="V15" s="681"/>
      <c r="W15" s="592"/>
      <c r="X15" s="591"/>
      <c r="Y15" s="899"/>
      <c r="Z15" s="681"/>
      <c r="AA15" s="600"/>
      <c r="AB15" s="846"/>
    </row>
    <row r="16" spans="1:36" s="600" customFormat="1" ht="20.149999999999999" customHeight="1">
      <c r="A16" s="620" t="s">
        <v>608</v>
      </c>
      <c r="B16" s="621" t="s">
        <v>609</v>
      </c>
      <c r="C16" s="597">
        <f t="shared" ref="C16:R16" si="12">SUM(C17:C19)</f>
        <v>2783.2</v>
      </c>
      <c r="D16" s="597">
        <f t="shared" si="12"/>
        <v>2768.7</v>
      </c>
      <c r="E16" s="597">
        <f t="shared" si="12"/>
        <v>2794.2000000000003</v>
      </c>
      <c r="F16" s="597">
        <f t="shared" si="12"/>
        <v>2646.9</v>
      </c>
      <c r="G16" s="598">
        <f t="shared" si="12"/>
        <v>2642.7999999999997</v>
      </c>
      <c r="H16" s="597">
        <f t="shared" si="12"/>
        <v>2607.4</v>
      </c>
      <c r="I16" s="597">
        <f t="shared" si="12"/>
        <v>2678.9</v>
      </c>
      <c r="J16" s="597">
        <f t="shared" si="12"/>
        <v>2657.5</v>
      </c>
      <c r="K16" s="599">
        <f t="shared" si="12"/>
        <v>2638.7000000000003</v>
      </c>
      <c r="L16" s="597">
        <f t="shared" si="12"/>
        <v>2525.1999999999998</v>
      </c>
      <c r="M16" s="597">
        <f t="shared" si="12"/>
        <v>2671.2</v>
      </c>
      <c r="N16" s="597">
        <f t="shared" si="12"/>
        <v>2617.8000000000002</v>
      </c>
      <c r="O16" s="598">
        <f t="shared" si="12"/>
        <v>2736</v>
      </c>
      <c r="P16" s="597">
        <f t="shared" si="12"/>
        <v>2596</v>
      </c>
      <c r="Q16" s="597">
        <f t="shared" si="12"/>
        <v>2773</v>
      </c>
      <c r="R16" s="682">
        <f t="shared" si="12"/>
        <v>2665.6990000000001</v>
      </c>
      <c r="S16" s="598">
        <f t="shared" ref="S16:V16" si="13">SUM(S17:S19)</f>
        <v>2832</v>
      </c>
      <c r="T16" s="597">
        <f t="shared" si="13"/>
        <v>2772</v>
      </c>
      <c r="U16" s="597">
        <f t="shared" si="13"/>
        <v>2832</v>
      </c>
      <c r="V16" s="682">
        <f t="shared" si="13"/>
        <v>2691</v>
      </c>
      <c r="W16" s="598">
        <f t="shared" ref="W16:Z16" si="14">SUM(W17:W19)</f>
        <v>2693</v>
      </c>
      <c r="X16" s="597">
        <f t="shared" si="14"/>
        <v>2656</v>
      </c>
      <c r="Y16" s="597">
        <f t="shared" si="14"/>
        <v>2738</v>
      </c>
      <c r="Z16" s="682">
        <f t="shared" si="14"/>
        <v>2646</v>
      </c>
      <c r="AB16" s="846"/>
    </row>
    <row r="17" spans="1:28" s="600" customFormat="1" ht="20.149999999999999" customHeight="1">
      <c r="A17" s="622" t="s">
        <v>610</v>
      </c>
      <c r="B17" s="622" t="s">
        <v>611</v>
      </c>
      <c r="C17" s="623">
        <v>75.2</v>
      </c>
      <c r="D17" s="623">
        <v>59.7</v>
      </c>
      <c r="E17" s="623">
        <v>91.3</v>
      </c>
      <c r="F17" s="623">
        <v>95.7</v>
      </c>
      <c r="G17" s="624">
        <v>144.6</v>
      </c>
      <c r="H17" s="623">
        <v>87.2</v>
      </c>
      <c r="I17" s="623">
        <v>142.9</v>
      </c>
      <c r="J17" s="623">
        <v>161.19999999999999</v>
      </c>
      <c r="K17" s="625">
        <v>172</v>
      </c>
      <c r="L17" s="623">
        <v>93.3</v>
      </c>
      <c r="M17" s="623">
        <v>158.1</v>
      </c>
      <c r="N17" s="623">
        <v>114.4</v>
      </c>
      <c r="O17" s="624">
        <v>225</v>
      </c>
      <c r="P17" s="623">
        <v>135</v>
      </c>
      <c r="Q17" s="623">
        <v>145</v>
      </c>
      <c r="R17" s="687">
        <v>89.698999999999998</v>
      </c>
      <c r="S17" s="624">
        <v>129</v>
      </c>
      <c r="T17" s="623">
        <v>81</v>
      </c>
      <c r="U17" s="623">
        <v>161</v>
      </c>
      <c r="V17" s="687">
        <v>82</v>
      </c>
      <c r="W17" s="624">
        <v>121</v>
      </c>
      <c r="X17" s="603">
        <v>79</v>
      </c>
      <c r="Y17" s="623">
        <v>128</v>
      </c>
      <c r="Z17" s="687">
        <v>98</v>
      </c>
      <c r="AB17" s="846"/>
    </row>
    <row r="18" spans="1:28" s="600" customFormat="1" ht="20.149999999999999" customHeight="1">
      <c r="A18" s="622" t="s">
        <v>591</v>
      </c>
      <c r="B18" s="622" t="s">
        <v>612</v>
      </c>
      <c r="C18" s="623">
        <v>2539.4</v>
      </c>
      <c r="D18" s="623">
        <v>2545.6999999999998</v>
      </c>
      <c r="E18" s="623">
        <v>2550.4</v>
      </c>
      <c r="F18" s="623">
        <v>2423.8000000000002</v>
      </c>
      <c r="G18" s="624">
        <v>2387.6999999999998</v>
      </c>
      <c r="H18" s="623">
        <v>2418.4</v>
      </c>
      <c r="I18" s="623">
        <v>2443.3000000000002</v>
      </c>
      <c r="J18" s="623">
        <v>2415.8000000000002</v>
      </c>
      <c r="K18" s="625">
        <v>2393.4</v>
      </c>
      <c r="L18" s="623">
        <v>2364.1999999999998</v>
      </c>
      <c r="M18" s="623">
        <v>2449.1999999999998</v>
      </c>
      <c r="N18" s="623">
        <v>2445.9</v>
      </c>
      <c r="O18" s="624">
        <v>2458</v>
      </c>
      <c r="P18" s="623">
        <v>2414</v>
      </c>
      <c r="Q18" s="623">
        <v>2584</v>
      </c>
      <c r="R18" s="687">
        <v>2537</v>
      </c>
      <c r="S18" s="624">
        <v>2666</v>
      </c>
      <c r="T18" s="623">
        <v>2655</v>
      </c>
      <c r="U18" s="623">
        <v>2636</v>
      </c>
      <c r="V18" s="687">
        <v>2578</v>
      </c>
      <c r="W18" s="624">
        <v>2542</v>
      </c>
      <c r="X18" s="603">
        <v>2548</v>
      </c>
      <c r="Y18" s="623">
        <v>2582</v>
      </c>
      <c r="Z18" s="687">
        <v>2522</v>
      </c>
      <c r="AB18" s="846"/>
    </row>
    <row r="19" spans="1:28" s="600" customFormat="1" ht="20.149999999999999" customHeight="1">
      <c r="A19" s="622" t="s">
        <v>613</v>
      </c>
      <c r="B19" s="622" t="s">
        <v>614</v>
      </c>
      <c r="C19" s="623">
        <v>168.6</v>
      </c>
      <c r="D19" s="623">
        <v>163.30000000000001</v>
      </c>
      <c r="E19" s="623">
        <v>152.5</v>
      </c>
      <c r="F19" s="623">
        <v>127.4</v>
      </c>
      <c r="G19" s="624">
        <v>110.5</v>
      </c>
      <c r="H19" s="623">
        <v>101.8</v>
      </c>
      <c r="I19" s="623">
        <v>92.7</v>
      </c>
      <c r="J19" s="623">
        <v>80.5</v>
      </c>
      <c r="K19" s="625">
        <v>73.3</v>
      </c>
      <c r="L19" s="623">
        <v>67.7</v>
      </c>
      <c r="M19" s="623">
        <v>63.9</v>
      </c>
      <c r="N19" s="623">
        <v>57.5</v>
      </c>
      <c r="O19" s="624">
        <v>53</v>
      </c>
      <c r="P19" s="623">
        <v>47</v>
      </c>
      <c r="Q19" s="623">
        <v>44</v>
      </c>
      <c r="R19" s="687">
        <v>39</v>
      </c>
      <c r="S19" s="624">
        <v>37</v>
      </c>
      <c r="T19" s="623">
        <v>36</v>
      </c>
      <c r="U19" s="623">
        <v>35</v>
      </c>
      <c r="V19" s="687">
        <v>31</v>
      </c>
      <c r="W19" s="624">
        <v>30</v>
      </c>
      <c r="X19" s="603">
        <v>29</v>
      </c>
      <c r="Y19" s="623">
        <v>28</v>
      </c>
      <c r="Z19" s="687">
        <v>26</v>
      </c>
      <c r="AB19" s="846"/>
    </row>
    <row r="20" spans="1:28" s="612" customFormat="1" ht="20.149999999999999" customHeight="1">
      <c r="A20" s="607" t="s">
        <v>615</v>
      </c>
      <c r="B20" s="608" t="s">
        <v>616</v>
      </c>
      <c r="C20" s="609">
        <v>15.1</v>
      </c>
      <c r="D20" s="609">
        <v>15.4</v>
      </c>
      <c r="E20" s="609">
        <v>15.9</v>
      </c>
      <c r="F20" s="609">
        <v>15.2</v>
      </c>
      <c r="G20" s="610">
        <v>15</v>
      </c>
      <c r="H20" s="609">
        <v>15.5</v>
      </c>
      <c r="I20" s="609">
        <v>15.7</v>
      </c>
      <c r="J20" s="609">
        <v>15.2</v>
      </c>
      <c r="K20" s="611">
        <v>15.1</v>
      </c>
      <c r="L20" s="609">
        <v>15.2</v>
      </c>
      <c r="M20" s="609">
        <v>15.9</v>
      </c>
      <c r="N20" s="609">
        <v>15.8</v>
      </c>
      <c r="O20" s="610">
        <v>15.6</v>
      </c>
      <c r="P20" s="609">
        <v>16</v>
      </c>
      <c r="Q20" s="609">
        <v>16.399999999999999</v>
      </c>
      <c r="R20" s="684">
        <v>16.600000000000001</v>
      </c>
      <c r="S20" s="610">
        <v>17.2</v>
      </c>
      <c r="T20" s="609">
        <v>17.399999999999999</v>
      </c>
      <c r="U20" s="609">
        <v>17.899999999999999</v>
      </c>
      <c r="V20" s="684">
        <v>17.399999999999999</v>
      </c>
      <c r="W20" s="610">
        <v>17.100000000000001</v>
      </c>
      <c r="X20" s="609">
        <v>17.8</v>
      </c>
      <c r="Y20" s="609">
        <v>17.899999999999999</v>
      </c>
      <c r="Z20" s="684">
        <v>17.399999999999999</v>
      </c>
      <c r="AB20" s="846"/>
    </row>
    <row r="21" spans="1:28" s="612" customFormat="1" ht="20.149999999999999" customHeight="1" thickBot="1">
      <c r="A21" s="626" t="s">
        <v>617</v>
      </c>
      <c r="B21" s="627" t="s">
        <v>618</v>
      </c>
      <c r="C21" s="628">
        <v>15.1</v>
      </c>
      <c r="D21" s="628">
        <v>15.3</v>
      </c>
      <c r="E21" s="628">
        <v>15.5</v>
      </c>
      <c r="F21" s="628">
        <v>15.4</v>
      </c>
      <c r="G21" s="629">
        <v>15</v>
      </c>
      <c r="H21" s="628">
        <v>15.3</v>
      </c>
      <c r="I21" s="628">
        <v>15.4</v>
      </c>
      <c r="J21" s="628">
        <v>15.4</v>
      </c>
      <c r="K21" s="630">
        <v>15.1</v>
      </c>
      <c r="L21" s="628">
        <v>15.1</v>
      </c>
      <c r="M21" s="628">
        <v>15.4</v>
      </c>
      <c r="N21" s="628">
        <v>15.5</v>
      </c>
      <c r="O21" s="629">
        <v>15.6</v>
      </c>
      <c r="P21" s="628">
        <v>15.8</v>
      </c>
      <c r="Q21" s="628">
        <v>16</v>
      </c>
      <c r="R21" s="688">
        <v>16.2</v>
      </c>
      <c r="S21" s="629">
        <v>17.2</v>
      </c>
      <c r="T21" s="628">
        <v>17.3</v>
      </c>
      <c r="U21" s="628">
        <v>17.5</v>
      </c>
      <c r="V21" s="688">
        <v>17.5</v>
      </c>
      <c r="W21" s="629">
        <v>17.100000000000001</v>
      </c>
      <c r="X21" s="628">
        <v>17.5</v>
      </c>
      <c r="Y21" s="996">
        <v>17.600000000000001</v>
      </c>
      <c r="Z21" s="688">
        <v>17.600000000000001</v>
      </c>
      <c r="AB21" s="846"/>
    </row>
    <row r="22" spans="1:28" s="594" customFormat="1" ht="20.149999999999999" customHeight="1">
      <c r="A22" s="590" t="s">
        <v>619</v>
      </c>
      <c r="B22" s="590" t="s">
        <v>620</v>
      </c>
      <c r="C22" s="591"/>
      <c r="D22" s="591"/>
      <c r="E22" s="591"/>
      <c r="F22" s="591"/>
      <c r="G22" s="592"/>
      <c r="H22" s="591"/>
      <c r="I22" s="591"/>
      <c r="J22" s="591"/>
      <c r="K22" s="593"/>
      <c r="L22" s="591"/>
      <c r="M22" s="591"/>
      <c r="N22" s="591"/>
      <c r="O22" s="592"/>
      <c r="P22" s="591"/>
      <c r="Q22" s="591"/>
      <c r="R22" s="681"/>
      <c r="S22" s="592"/>
      <c r="T22" s="591"/>
      <c r="U22" s="591"/>
      <c r="V22" s="681"/>
      <c r="W22" s="592"/>
      <c r="X22" s="591"/>
      <c r="Y22" s="902"/>
      <c r="Z22" s="681"/>
      <c r="AA22" s="600"/>
      <c r="AB22" s="846"/>
    </row>
    <row r="23" spans="1:28" s="612" customFormat="1" ht="20.149999999999999" customHeight="1">
      <c r="A23" s="607" t="s">
        <v>621</v>
      </c>
      <c r="B23" s="608" t="s">
        <v>622</v>
      </c>
      <c r="C23" s="609">
        <v>68.2</v>
      </c>
      <c r="D23" s="609">
        <v>68</v>
      </c>
      <c r="E23" s="609">
        <v>68.099999999999994</v>
      </c>
      <c r="F23" s="609">
        <v>68.2</v>
      </c>
      <c r="G23" s="610">
        <v>68.2</v>
      </c>
      <c r="H23" s="609">
        <v>68.2</v>
      </c>
      <c r="I23" s="609">
        <v>68.400000000000006</v>
      </c>
      <c r="J23" s="609">
        <v>68.7</v>
      </c>
      <c r="K23" s="611">
        <v>68.900000000000006</v>
      </c>
      <c r="L23" s="609">
        <v>68.599999999999994</v>
      </c>
      <c r="M23" s="609">
        <v>68.900000000000006</v>
      </c>
      <c r="N23" s="609">
        <v>69.3</v>
      </c>
      <c r="O23" s="610">
        <v>68.8</v>
      </c>
      <c r="P23" s="609">
        <v>68.3</v>
      </c>
      <c r="Q23" s="609">
        <v>68.8</v>
      </c>
      <c r="R23" s="684">
        <v>68.900000000000006</v>
      </c>
      <c r="S23" s="610">
        <v>68.900000000000006</v>
      </c>
      <c r="T23" s="609">
        <v>68.8</v>
      </c>
      <c r="U23" s="609">
        <v>69.099999999999994</v>
      </c>
      <c r="V23" s="684">
        <v>69.099999999999994</v>
      </c>
      <c r="W23" s="610">
        <v>69.3</v>
      </c>
      <c r="X23" s="609">
        <v>69</v>
      </c>
      <c r="Y23" s="609">
        <v>68.8</v>
      </c>
      <c r="Z23" s="684">
        <v>68.8</v>
      </c>
      <c r="AB23" s="846"/>
    </row>
    <row r="24" spans="1:28" ht="20.149999999999999" customHeight="1">
      <c r="A24" s="607" t="s">
        <v>623</v>
      </c>
      <c r="B24" s="608" t="s">
        <v>624</v>
      </c>
      <c r="C24" s="623">
        <v>1412.8</v>
      </c>
      <c r="D24" s="623">
        <v>1438.5</v>
      </c>
      <c r="E24" s="623">
        <v>1442.3</v>
      </c>
      <c r="F24" s="623">
        <v>1408.8</v>
      </c>
      <c r="G24" s="624">
        <v>1391.3</v>
      </c>
      <c r="H24" s="623">
        <v>1384.2</v>
      </c>
      <c r="I24" s="623">
        <v>1409.9</v>
      </c>
      <c r="J24" s="623">
        <v>1413.9</v>
      </c>
      <c r="K24" s="625">
        <v>1392.9</v>
      </c>
      <c r="L24" s="623">
        <v>1376.1</v>
      </c>
      <c r="M24" s="623">
        <v>1368.6</v>
      </c>
      <c r="N24" s="623">
        <v>1384.2</v>
      </c>
      <c r="O24" s="624">
        <v>1404</v>
      </c>
      <c r="P24" s="623">
        <v>1387</v>
      </c>
      <c r="Q24" s="623">
        <v>1367</v>
      </c>
      <c r="R24" s="687">
        <v>1403</v>
      </c>
      <c r="S24" s="624">
        <v>1392</v>
      </c>
      <c r="T24" s="623">
        <v>1378</v>
      </c>
      <c r="U24" s="623">
        <v>1425</v>
      </c>
      <c r="V24" s="687">
        <v>1427</v>
      </c>
      <c r="W24" s="624">
        <v>1434</v>
      </c>
      <c r="X24" s="623">
        <v>1463</v>
      </c>
      <c r="Y24" s="623">
        <v>1456</v>
      </c>
      <c r="Z24" s="687">
        <v>1463</v>
      </c>
      <c r="AA24" s="612"/>
      <c r="AB24" s="846"/>
    </row>
    <row r="25" spans="1:28" ht="20.149999999999999" customHeight="1" thickBot="1">
      <c r="A25" s="631" t="s">
        <v>625</v>
      </c>
      <c r="B25" s="632" t="s">
        <v>626</v>
      </c>
      <c r="C25" s="633">
        <v>1412.8</v>
      </c>
      <c r="D25" s="633">
        <v>1425.6</v>
      </c>
      <c r="E25" s="633">
        <v>1431.2</v>
      </c>
      <c r="F25" s="633">
        <v>1425.6</v>
      </c>
      <c r="G25" s="634">
        <v>1391.3</v>
      </c>
      <c r="H25" s="633">
        <v>1387.8</v>
      </c>
      <c r="I25" s="633">
        <v>1395.1</v>
      </c>
      <c r="J25" s="633">
        <v>1399.9</v>
      </c>
      <c r="K25" s="635">
        <v>1392.9</v>
      </c>
      <c r="L25" s="633">
        <v>1384.5</v>
      </c>
      <c r="M25" s="633">
        <v>1379.2</v>
      </c>
      <c r="N25" s="633">
        <v>1380.5</v>
      </c>
      <c r="O25" s="634">
        <v>1404</v>
      </c>
      <c r="P25" s="633">
        <v>1396</v>
      </c>
      <c r="Q25" s="633">
        <v>1386</v>
      </c>
      <c r="R25" s="689">
        <v>1390</v>
      </c>
      <c r="S25" s="634">
        <v>1392</v>
      </c>
      <c r="T25" s="633">
        <v>1385</v>
      </c>
      <c r="U25" s="633">
        <v>1398</v>
      </c>
      <c r="V25" s="689">
        <v>1406</v>
      </c>
      <c r="W25" s="634">
        <v>1434</v>
      </c>
      <c r="X25" s="633">
        <v>1449</v>
      </c>
      <c r="Y25" s="633">
        <v>1451</v>
      </c>
      <c r="Z25" s="689">
        <v>1454</v>
      </c>
      <c r="AA25" s="612"/>
      <c r="AB25" s="846"/>
    </row>
    <row r="26" spans="1:28" ht="20.149999999999999" customHeight="1">
      <c r="C26" s="612"/>
      <c r="D26" s="612"/>
      <c r="E26" s="612"/>
      <c r="F26" s="612"/>
      <c r="G26" s="612"/>
      <c r="H26" s="612"/>
      <c r="I26" s="612"/>
      <c r="J26" s="612"/>
      <c r="K26" s="612"/>
      <c r="L26" s="612"/>
      <c r="M26" s="612"/>
      <c r="N26" s="612"/>
      <c r="O26" s="612"/>
      <c r="P26" s="612"/>
      <c r="Q26" s="612"/>
      <c r="S26" s="612"/>
      <c r="T26" s="612"/>
      <c r="U26" s="612"/>
      <c r="W26" s="612"/>
      <c r="X26" s="612"/>
      <c r="Y26" s="612"/>
    </row>
    <row r="27" spans="1:28" ht="60">
      <c r="A27" s="636" t="s">
        <v>627</v>
      </c>
      <c r="B27" s="637" t="s">
        <v>628</v>
      </c>
      <c r="C27" s="638"/>
      <c r="D27" s="638"/>
      <c r="E27" s="638"/>
      <c r="F27" s="638"/>
      <c r="G27" s="638"/>
      <c r="H27" s="638"/>
      <c r="I27" s="638"/>
      <c r="J27" s="638"/>
      <c r="K27" s="638"/>
      <c r="L27" s="638"/>
      <c r="M27" s="638"/>
      <c r="N27" s="638"/>
      <c r="O27" s="638"/>
      <c r="P27" s="638"/>
      <c r="Q27" s="638"/>
      <c r="S27" s="638"/>
      <c r="T27" s="638"/>
      <c r="U27" s="638"/>
      <c r="W27" s="638"/>
      <c r="X27" s="638"/>
      <c r="Y27" s="638"/>
    </row>
    <row r="28" spans="1:28" ht="60">
      <c r="A28" s="636" t="s">
        <v>629</v>
      </c>
      <c r="B28" s="637" t="s">
        <v>630</v>
      </c>
      <c r="C28" s="639"/>
      <c r="D28" s="639"/>
      <c r="E28" s="639"/>
      <c r="F28" s="639"/>
      <c r="G28" s="640"/>
      <c r="H28" s="640"/>
      <c r="I28" s="640"/>
      <c r="J28" s="640"/>
      <c r="K28" s="640"/>
      <c r="L28" s="640"/>
      <c r="M28" s="640"/>
      <c r="N28" s="640"/>
      <c r="O28" s="640"/>
      <c r="P28" s="640"/>
      <c r="Q28" s="721"/>
      <c r="R28" s="721"/>
      <c r="S28" s="722"/>
      <c r="T28" s="723"/>
      <c r="U28" s="640"/>
      <c r="W28" s="722"/>
      <c r="X28" s="723"/>
      <c r="Y28" s="640"/>
    </row>
    <row r="29" spans="1:28" ht="36">
      <c r="A29" s="641" t="s">
        <v>631</v>
      </c>
      <c r="B29" s="637" t="s">
        <v>632</v>
      </c>
      <c r="C29" s="639"/>
      <c r="D29" s="639"/>
      <c r="E29" s="639"/>
      <c r="F29" s="639"/>
      <c r="G29" s="640"/>
      <c r="H29" s="640"/>
      <c r="I29" s="640"/>
      <c r="J29" s="640"/>
      <c r="K29" s="640"/>
      <c r="L29" s="640"/>
      <c r="M29" s="640"/>
      <c r="N29" s="640"/>
      <c r="O29" s="640"/>
      <c r="P29" s="640"/>
      <c r="Q29" s="721"/>
      <c r="S29" s="722"/>
      <c r="T29" s="723"/>
      <c r="U29" s="640"/>
      <c r="W29" s="722"/>
      <c r="X29" s="723"/>
      <c r="Y29" s="640"/>
    </row>
    <row r="30" spans="1:28" ht="132" customHeight="1">
      <c r="A30" s="641" t="s">
        <v>633</v>
      </c>
      <c r="B30" s="637" t="s">
        <v>634</v>
      </c>
      <c r="G30" s="640"/>
      <c r="H30" s="640"/>
      <c r="I30" s="640"/>
      <c r="J30" s="640"/>
      <c r="K30" s="640"/>
      <c r="L30" s="640"/>
      <c r="M30" s="640"/>
      <c r="N30" s="640"/>
      <c r="O30" s="640"/>
      <c r="P30" s="640"/>
      <c r="Q30" s="640"/>
      <c r="S30" s="640"/>
      <c r="T30" s="640"/>
      <c r="U30" s="640"/>
      <c r="W30" s="640"/>
      <c r="X30" s="640"/>
      <c r="Y30" s="640"/>
    </row>
    <row r="31" spans="1:28" ht="36">
      <c r="A31" s="641" t="s">
        <v>635</v>
      </c>
      <c r="B31" s="637" t="s">
        <v>636</v>
      </c>
      <c r="C31" s="639"/>
      <c r="D31" s="639"/>
      <c r="E31" s="639"/>
      <c r="F31" s="639"/>
    </row>
    <row r="32" spans="1:28" ht="12">
      <c r="A32" s="642"/>
      <c r="B32" s="637"/>
    </row>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0.149999999999999" customHeight="1"/>
    <row r="42" ht="20.149999999999999" customHeight="1"/>
    <row r="43" ht="20.149999999999999" customHeight="1"/>
    <row r="44" ht="20.149999999999999" customHeight="1"/>
    <row r="45" ht="20.149999999999999" customHeight="1"/>
    <row r="46" ht="20.149999999999999" customHeight="1"/>
    <row r="47" ht="20.149999999999999" customHeight="1"/>
    <row r="48" ht="20.149999999999999" customHeight="1"/>
    <row r="49" ht="20.149999999999999" customHeight="1"/>
  </sheetData>
  <mergeCells count="7">
    <mergeCell ref="W3:Z3"/>
    <mergeCell ref="S3:V3"/>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
  <sheetViews>
    <sheetView showGridLines="0" zoomScale="68" zoomScaleNormal="68" workbookViewId="0">
      <pane xSplit="32" ySplit="3" topLeftCell="AV4" activePane="bottomRight" state="frozen"/>
      <selection pane="topRight" activeCell="AG1" sqref="AG1"/>
      <selection pane="bottomLeft" activeCell="A4" sqref="A4"/>
      <selection pane="bottomRight" activeCell="AG4" sqref="AG4"/>
    </sheetView>
  </sheetViews>
  <sheetFormatPr defaultColWidth="9" defaultRowHeight="14"/>
  <cols>
    <col min="1" max="1" width="1.58203125" style="135" customWidth="1"/>
    <col min="2" max="2" width="35" customWidth="1"/>
    <col min="3" max="3" width="35.08203125" customWidth="1"/>
    <col min="4" max="32" width="3.1640625" hidden="1" customWidth="1"/>
    <col min="33" max="38" width="8.6640625" customWidth="1"/>
    <col min="39" max="40" width="8.6640625" style="135" customWidth="1"/>
    <col min="41" max="44" width="8.6640625" customWidth="1"/>
    <col min="45" max="45" width="6.58203125" bestFit="1" customWidth="1"/>
    <col min="46" max="48" width="8.6640625" customWidth="1"/>
    <col min="49" max="49" width="9.1640625" customWidth="1"/>
    <col min="50" max="62" width="8.6640625" customWidth="1"/>
  </cols>
  <sheetData>
    <row r="1" spans="1:64" s="135" customFormat="1" ht="89.25" customHeight="1" thickBot="1">
      <c r="B1" s="2"/>
      <c r="C1" s="2"/>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K1"/>
      <c r="AP1"/>
      <c r="AU1"/>
      <c r="AZ1"/>
      <c r="BE1"/>
      <c r="BJ1"/>
    </row>
    <row r="2" spans="1:64" ht="20.25" customHeight="1" thickBot="1">
      <c r="A2"/>
      <c r="B2" s="1086"/>
      <c r="C2" s="1086"/>
      <c r="D2" s="1080"/>
      <c r="E2" s="1081"/>
      <c r="F2" s="1081"/>
      <c r="G2" s="1082"/>
      <c r="H2" s="1080"/>
      <c r="I2" s="1081"/>
      <c r="J2" s="1081"/>
      <c r="K2" s="1081"/>
      <c r="L2" s="1082"/>
      <c r="M2" s="1080"/>
      <c r="N2" s="1081"/>
      <c r="O2" s="1081"/>
      <c r="P2" s="1081"/>
      <c r="Q2" s="1082"/>
      <c r="R2" s="1080"/>
      <c r="S2" s="1081"/>
      <c r="T2" s="1081"/>
      <c r="U2" s="1081"/>
      <c r="V2" s="1082"/>
      <c r="W2" s="1080"/>
      <c r="X2" s="1081"/>
      <c r="Y2" s="1081"/>
      <c r="Z2" s="1081"/>
      <c r="AA2" s="1082"/>
      <c r="AB2" s="1080"/>
      <c r="AC2" s="1081"/>
      <c r="AD2" s="1081"/>
      <c r="AE2" s="1081"/>
      <c r="AF2" s="1082"/>
      <c r="AG2" s="1070">
        <v>2018</v>
      </c>
      <c r="AH2" s="1071"/>
      <c r="AI2" s="1071"/>
      <c r="AJ2" s="1071"/>
      <c r="AK2" s="1084">
        <v>2018</v>
      </c>
      <c r="AL2" s="1070">
        <v>2019</v>
      </c>
      <c r="AM2" s="1071"/>
      <c r="AN2" s="1071"/>
      <c r="AO2" s="1071"/>
      <c r="AP2" s="1068">
        <v>2019</v>
      </c>
      <c r="AQ2" s="1070">
        <v>2020</v>
      </c>
      <c r="AR2" s="1071"/>
      <c r="AS2" s="1071"/>
      <c r="AT2" s="1071"/>
      <c r="AU2" s="1068">
        <v>2020</v>
      </c>
      <c r="AV2" s="1070">
        <v>2021</v>
      </c>
      <c r="AW2" s="1071"/>
      <c r="AX2" s="1071"/>
      <c r="AY2" s="1071"/>
      <c r="AZ2" s="1068" t="s">
        <v>637</v>
      </c>
      <c r="BA2" s="1070">
        <v>2022</v>
      </c>
      <c r="BB2" s="1071"/>
      <c r="BC2" s="1071"/>
      <c r="BD2" s="1071"/>
      <c r="BE2" s="1068" t="s">
        <v>638</v>
      </c>
      <c r="BF2" s="1070">
        <v>2023</v>
      </c>
      <c r="BG2" s="1071"/>
      <c r="BH2" s="1071"/>
      <c r="BI2" s="1071"/>
      <c r="BJ2" s="1068" t="s">
        <v>639</v>
      </c>
    </row>
    <row r="3" spans="1:64" s="341" customFormat="1" ht="20.25" customHeight="1" thickBot="1">
      <c r="B3" s="1087"/>
      <c r="C3" s="1087"/>
      <c r="D3" s="342"/>
      <c r="E3" s="343"/>
      <c r="F3" s="343"/>
      <c r="G3" s="1083"/>
      <c r="H3" s="342"/>
      <c r="I3" s="343"/>
      <c r="J3" s="343"/>
      <c r="K3" s="343"/>
      <c r="L3" s="1083"/>
      <c r="M3" s="342"/>
      <c r="N3" s="343"/>
      <c r="O3" s="343"/>
      <c r="P3" s="343"/>
      <c r="Q3" s="1083"/>
      <c r="R3" s="342"/>
      <c r="S3" s="343"/>
      <c r="T3" s="343"/>
      <c r="U3" s="343"/>
      <c r="V3" s="1083"/>
      <c r="W3" s="342"/>
      <c r="X3" s="343"/>
      <c r="Y3" s="343"/>
      <c r="Z3" s="343"/>
      <c r="AA3" s="1083"/>
      <c r="AB3" s="342"/>
      <c r="AC3" s="343"/>
      <c r="AD3" s="343"/>
      <c r="AE3" s="343"/>
      <c r="AF3" s="1083"/>
      <c r="AG3" s="358" t="s">
        <v>581</v>
      </c>
      <c r="AH3" s="359" t="s">
        <v>582</v>
      </c>
      <c r="AI3" s="359" t="s">
        <v>583</v>
      </c>
      <c r="AJ3" s="359" t="s">
        <v>584</v>
      </c>
      <c r="AK3" s="1085"/>
      <c r="AL3" s="358" t="s">
        <v>581</v>
      </c>
      <c r="AM3" s="359" t="s">
        <v>582</v>
      </c>
      <c r="AN3" s="359" t="s">
        <v>583</v>
      </c>
      <c r="AO3" s="359" t="s">
        <v>584</v>
      </c>
      <c r="AP3" s="1069"/>
      <c r="AQ3" s="358" t="s">
        <v>581</v>
      </c>
      <c r="AR3" s="359" t="s">
        <v>582</v>
      </c>
      <c r="AS3" s="359" t="s">
        <v>583</v>
      </c>
      <c r="AT3" s="359" t="s">
        <v>584</v>
      </c>
      <c r="AU3" s="1069"/>
      <c r="AV3" s="358" t="s">
        <v>581</v>
      </c>
      <c r="AW3" s="359" t="s">
        <v>582</v>
      </c>
      <c r="AX3" s="359" t="s">
        <v>583</v>
      </c>
      <c r="AY3" s="359" t="s">
        <v>584</v>
      </c>
      <c r="AZ3" s="1069"/>
      <c r="BA3" s="358" t="s">
        <v>581</v>
      </c>
      <c r="BB3" s="359" t="s">
        <v>582</v>
      </c>
      <c r="BC3" s="359" t="s">
        <v>583</v>
      </c>
      <c r="BD3" s="359" t="s">
        <v>584</v>
      </c>
      <c r="BE3" s="1069"/>
      <c r="BF3" s="358" t="s">
        <v>581</v>
      </c>
      <c r="BG3" s="359" t="s">
        <v>582</v>
      </c>
      <c r="BH3" s="359" t="s">
        <v>583</v>
      </c>
      <c r="BI3" s="359" t="s">
        <v>584</v>
      </c>
      <c r="BJ3" s="1069"/>
    </row>
    <row r="4" spans="1:64" ht="20.25" customHeight="1" thickBot="1">
      <c r="A4"/>
      <c r="B4" s="362" t="s">
        <v>640</v>
      </c>
      <c r="C4" s="363" t="s">
        <v>641</v>
      </c>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4"/>
      <c r="AH4" s="364"/>
      <c r="AI4" s="364"/>
      <c r="AJ4" s="364"/>
      <c r="AK4" s="505"/>
      <c r="AL4" s="364"/>
      <c r="AM4" s="364"/>
      <c r="AN4" s="364"/>
      <c r="AO4" s="364"/>
      <c r="AP4" s="505"/>
      <c r="AQ4" s="364"/>
      <c r="AR4" s="364"/>
      <c r="AS4" s="364"/>
      <c r="AT4" s="364"/>
      <c r="AU4" s="505"/>
      <c r="AV4" s="364"/>
      <c r="AW4" s="364"/>
      <c r="AX4" s="364"/>
      <c r="AY4" s="364"/>
      <c r="AZ4" s="505"/>
      <c r="BA4" s="364"/>
      <c r="BB4" s="364"/>
      <c r="BC4" s="364"/>
      <c r="BD4" s="364"/>
      <c r="BE4" s="505"/>
      <c r="BF4" s="364"/>
      <c r="BG4" s="364"/>
      <c r="BH4" s="364"/>
      <c r="BI4" s="364"/>
      <c r="BJ4" s="505"/>
    </row>
    <row r="5" spans="1:64" ht="25.5" customHeight="1" thickBot="1">
      <c r="A5"/>
      <c r="B5" s="365" t="s">
        <v>642</v>
      </c>
      <c r="C5" s="365" t="s">
        <v>643</v>
      </c>
      <c r="D5" s="366"/>
      <c r="E5" s="366"/>
      <c r="F5" s="367"/>
      <c r="G5" s="368"/>
      <c r="H5" s="366"/>
      <c r="I5" s="366"/>
      <c r="J5" s="366"/>
      <c r="K5" s="367"/>
      <c r="L5" s="368"/>
      <c r="M5" s="366"/>
      <c r="N5" s="366"/>
      <c r="O5" s="366"/>
      <c r="P5" s="367"/>
      <c r="Q5" s="368"/>
      <c r="R5" s="366"/>
      <c r="S5" s="366"/>
      <c r="T5" s="366"/>
      <c r="U5" s="367"/>
      <c r="V5" s="368"/>
      <c r="W5" s="366"/>
      <c r="X5" s="366"/>
      <c r="Y5" s="366"/>
      <c r="Z5" s="367"/>
      <c r="AA5" s="368"/>
      <c r="AB5" s="366"/>
      <c r="AC5" s="366"/>
      <c r="AD5" s="366"/>
      <c r="AE5" s="367"/>
      <c r="AF5" s="368"/>
      <c r="AG5" s="369">
        <v>0.2392</v>
      </c>
      <c r="AH5" s="366">
        <v>0.24160000000000001</v>
      </c>
      <c r="AI5" s="366">
        <v>0.25054333360988129</v>
      </c>
      <c r="AJ5" s="366">
        <v>0.24169975469679564</v>
      </c>
      <c r="AK5" s="506">
        <v>0.24299999999999999</v>
      </c>
      <c r="AL5" s="369">
        <v>0.23364792536680987</v>
      </c>
      <c r="AM5" s="366">
        <v>0.24935000000000002</v>
      </c>
      <c r="AN5" s="366">
        <v>0.24822427628137333</v>
      </c>
      <c r="AO5" s="366">
        <v>0.24182527254608499</v>
      </c>
      <c r="AP5" s="506">
        <v>0.2429</v>
      </c>
      <c r="AQ5" s="369">
        <v>0.23250381468797382</v>
      </c>
      <c r="AR5" s="366">
        <v>0.23040912825290802</v>
      </c>
      <c r="AS5" s="366">
        <v>0.24614294127335679</v>
      </c>
      <c r="AT5" s="367">
        <v>0.24959999999999999</v>
      </c>
      <c r="AU5" s="506">
        <v>0.2394</v>
      </c>
      <c r="AV5" s="366">
        <v>0.24402895821124099</v>
      </c>
      <c r="AW5" s="366">
        <v>0.25085533390902925</v>
      </c>
      <c r="AX5" s="366">
        <v>0.24971187343000292</v>
      </c>
      <c r="AY5" s="367">
        <v>0.24015232926794333</v>
      </c>
      <c r="AZ5" s="506">
        <v>0.2457</v>
      </c>
      <c r="BA5" s="366">
        <v>0.23194245292240989</v>
      </c>
      <c r="BB5" s="366">
        <v>0.22814234798524977</v>
      </c>
      <c r="BC5" s="366">
        <v>0.22469900811855634</v>
      </c>
      <c r="BD5" s="367">
        <v>0.21629999999999999</v>
      </c>
      <c r="BE5" s="506">
        <v>0.2253</v>
      </c>
      <c r="BF5" s="366">
        <v>0.2185</v>
      </c>
      <c r="BG5" s="366">
        <v>0.21959999999999999</v>
      </c>
      <c r="BH5" s="366">
        <v>0.22220400000000001</v>
      </c>
      <c r="BI5" s="367">
        <v>0.22</v>
      </c>
      <c r="BJ5" s="506">
        <f>AVERAGE(BF5:BI5)</f>
        <v>0.22007599999999999</v>
      </c>
    </row>
    <row r="6" spans="1:64" s="850" customFormat="1" ht="25.5" customHeight="1">
      <c r="B6" s="187" t="s">
        <v>644</v>
      </c>
      <c r="C6" s="187" t="s">
        <v>645</v>
      </c>
      <c r="D6" s="140"/>
      <c r="E6" s="140"/>
      <c r="F6" s="136"/>
      <c r="G6" s="346"/>
      <c r="H6" s="140"/>
      <c r="I6" s="140"/>
      <c r="J6" s="140"/>
      <c r="K6" s="136"/>
      <c r="L6" s="346"/>
      <c r="M6" s="140"/>
      <c r="N6" s="140"/>
      <c r="O6" s="140"/>
      <c r="P6" s="136"/>
      <c r="Q6" s="346"/>
      <c r="R6" s="140"/>
      <c r="S6" s="140"/>
      <c r="T6" s="140"/>
      <c r="U6" s="136"/>
      <c r="V6" s="346"/>
      <c r="W6" s="140"/>
      <c r="X6" s="140"/>
      <c r="Y6" s="140"/>
      <c r="Z6" s="136"/>
      <c r="AA6" s="346"/>
      <c r="AB6" s="140"/>
      <c r="AC6" s="140"/>
      <c r="AD6" s="140"/>
      <c r="AE6" s="136"/>
      <c r="AF6" s="346"/>
      <c r="AG6" s="141">
        <v>0.1187</v>
      </c>
      <c r="AH6" s="140">
        <v>0.1114</v>
      </c>
      <c r="AI6" s="140">
        <v>0.1133</v>
      </c>
      <c r="AJ6" s="140">
        <v>0.11070000000000001</v>
      </c>
      <c r="AK6" s="507">
        <v>0.1137</v>
      </c>
      <c r="AL6" s="141">
        <v>0.112</v>
      </c>
      <c r="AM6" s="140">
        <v>0.1138</v>
      </c>
      <c r="AN6" s="140">
        <v>0.1099</v>
      </c>
      <c r="AO6" s="140">
        <v>0.1043</v>
      </c>
      <c r="AP6" s="507">
        <v>0.1099</v>
      </c>
      <c r="AQ6" s="141">
        <v>9.9000000000000005E-2</v>
      </c>
      <c r="AR6" s="140">
        <v>9.1800000000000007E-2</v>
      </c>
      <c r="AS6" s="140">
        <v>9.3799999999999994E-2</v>
      </c>
      <c r="AT6" s="188">
        <v>9.5500000000000002E-2</v>
      </c>
      <c r="AU6" s="507">
        <v>9.5100000000000004E-2</v>
      </c>
      <c r="AV6" s="140">
        <v>9.2155000000000001E-2</v>
      </c>
      <c r="AW6" s="140">
        <v>8.9494000000000004E-2</v>
      </c>
      <c r="AX6" s="140">
        <v>8.7143507332248127E-2</v>
      </c>
      <c r="AY6" s="188">
        <v>8.8921403903550189E-2</v>
      </c>
      <c r="AZ6" s="507">
        <v>8.9530308836228353E-2</v>
      </c>
      <c r="BA6" s="140">
        <v>8.3168000000000006E-2</v>
      </c>
      <c r="BB6" s="140">
        <v>7.6904E-2</v>
      </c>
      <c r="BC6" s="140">
        <v>7.5086E-2</v>
      </c>
      <c r="BD6" s="188">
        <v>7.8100000000000003E-2</v>
      </c>
      <c r="BE6" s="507">
        <v>7.8522999999999996E-2</v>
      </c>
      <c r="BF6" s="140">
        <v>7.9980999999999997E-2</v>
      </c>
      <c r="BG6" s="140">
        <v>7.7648999999999996E-2</v>
      </c>
      <c r="BH6" s="140">
        <v>7.1568999999999994E-2</v>
      </c>
      <c r="BI6" s="188">
        <v>7.4999999999999997E-2</v>
      </c>
      <c r="BJ6" s="507">
        <f>AVERAGE(BF6:BI6)</f>
        <v>7.6049749999999999E-2</v>
      </c>
    </row>
    <row r="7" spans="1:64" s="850" customFormat="1" ht="25.5" customHeight="1">
      <c r="B7" s="187" t="s">
        <v>646</v>
      </c>
      <c r="C7" s="189" t="s">
        <v>647</v>
      </c>
      <c r="D7" s="140"/>
      <c r="E7" s="140"/>
      <c r="F7" s="188"/>
      <c r="G7" s="346"/>
      <c r="H7" s="140"/>
      <c r="I7" s="140"/>
      <c r="J7" s="140"/>
      <c r="K7" s="188"/>
      <c r="L7" s="346"/>
      <c r="M7" s="140"/>
      <c r="N7" s="140"/>
      <c r="O7" s="140"/>
      <c r="P7" s="188"/>
      <c r="Q7" s="346"/>
      <c r="R7" s="140"/>
      <c r="S7" s="140"/>
      <c r="T7" s="140"/>
      <c r="U7" s="188"/>
      <c r="V7" s="346"/>
      <c r="W7" s="140"/>
      <c r="X7" s="140"/>
      <c r="Y7" s="140"/>
      <c r="Z7" s="188"/>
      <c r="AA7" s="346"/>
      <c r="AB7" s="140"/>
      <c r="AC7" s="140"/>
      <c r="AD7" s="140"/>
      <c r="AE7" s="188"/>
      <c r="AF7" s="346"/>
      <c r="AG7" s="141">
        <v>0.1205</v>
      </c>
      <c r="AH7" s="140">
        <v>0.13009999999999999</v>
      </c>
      <c r="AI7" s="140">
        <v>0.13726561528746634</v>
      </c>
      <c r="AJ7" s="140">
        <v>0.13099975469679564</v>
      </c>
      <c r="AK7" s="508">
        <v>0.12939999999999999</v>
      </c>
      <c r="AL7" s="141">
        <v>0.1216</v>
      </c>
      <c r="AM7" s="140">
        <v>0.13550000000000001</v>
      </c>
      <c r="AN7" s="140">
        <v>0.13844127269311104</v>
      </c>
      <c r="AO7" s="140">
        <v>0.13762187191363667</v>
      </c>
      <c r="AP7" s="508">
        <v>0.13300000000000001</v>
      </c>
      <c r="AQ7" s="141">
        <v>0.13355841310577754</v>
      </c>
      <c r="AR7" s="140">
        <v>0.13863586912018128</v>
      </c>
      <c r="AS7" s="140">
        <v>0.15230242840291572</v>
      </c>
      <c r="AT7" s="188">
        <v>0.15409999999999999</v>
      </c>
      <c r="AU7" s="508">
        <v>0.14419999999999999</v>
      </c>
      <c r="AV7" s="140">
        <v>0.15187354531355715</v>
      </c>
      <c r="AW7" s="140">
        <v>0.16135533390902926</v>
      </c>
      <c r="AX7" s="140">
        <v>0.16261187343000294</v>
      </c>
      <c r="AY7" s="188">
        <v>0.15123092536439314</v>
      </c>
      <c r="AZ7" s="508">
        <v>0.15635797009177527</v>
      </c>
      <c r="BA7" s="140">
        <v>0.14877267548397363</v>
      </c>
      <c r="BB7" s="140">
        <v>0.15123834798524977</v>
      </c>
      <c r="BC7" s="140">
        <v>0.149613</v>
      </c>
      <c r="BD7" s="188">
        <v>0.13819999999999999</v>
      </c>
      <c r="BE7" s="508">
        <v>0.14677699999999999</v>
      </c>
      <c r="BF7" s="140">
        <v>0.138519</v>
      </c>
      <c r="BG7" s="140">
        <v>0.14195099999999999</v>
      </c>
      <c r="BH7" s="140">
        <v>0.15063500000000002</v>
      </c>
      <c r="BI7" s="188">
        <v>0.14499999999999999</v>
      </c>
      <c r="BJ7" s="508">
        <f>AVERAGE(BF7:BI7)</f>
        <v>0.14402624999999999</v>
      </c>
    </row>
    <row r="8" spans="1:64" s="137" customFormat="1" ht="25.5" customHeight="1">
      <c r="B8" s="138" t="s">
        <v>648</v>
      </c>
      <c r="C8" s="138" t="s">
        <v>649</v>
      </c>
      <c r="D8" s="347"/>
      <c r="E8" s="347"/>
      <c r="F8" s="139"/>
      <c r="G8" s="348"/>
      <c r="H8" s="347"/>
      <c r="I8" s="347"/>
      <c r="J8" s="347"/>
      <c r="K8" s="139"/>
      <c r="L8" s="348"/>
      <c r="M8" s="347"/>
      <c r="N8" s="347"/>
      <c r="O8" s="347"/>
      <c r="P8" s="139"/>
      <c r="Q8" s="348"/>
      <c r="R8" s="347"/>
      <c r="S8" s="347"/>
      <c r="T8" s="347"/>
      <c r="U8" s="139"/>
      <c r="V8" s="348"/>
      <c r="W8" s="347"/>
      <c r="X8" s="347"/>
      <c r="Y8" s="347"/>
      <c r="Z8" s="139"/>
      <c r="AA8" s="348"/>
      <c r="AB8" s="347"/>
      <c r="AC8" s="347"/>
      <c r="AD8" s="347"/>
      <c r="AE8" s="139"/>
      <c r="AF8" s="348"/>
      <c r="AG8" s="140">
        <v>0.27055000000000001</v>
      </c>
      <c r="AH8" s="140">
        <v>0.26307285482727094</v>
      </c>
      <c r="AI8" s="140">
        <v>0.27107489405369956</v>
      </c>
      <c r="AJ8" s="140">
        <v>0.2799015081566204</v>
      </c>
      <c r="AK8" s="508">
        <v>0.27143265306764186</v>
      </c>
      <c r="AL8" s="141">
        <v>0.27277595774888108</v>
      </c>
      <c r="AM8" s="141">
        <v>0.26956701442344921</v>
      </c>
      <c r="AN8" s="141">
        <v>0.25968869690122404</v>
      </c>
      <c r="AO8" s="141">
        <v>0.26098146875847023</v>
      </c>
      <c r="AP8" s="508">
        <v>0.2659147690729412</v>
      </c>
      <c r="AQ8" s="141">
        <v>0.2642789018622998</v>
      </c>
      <c r="AR8" s="141">
        <v>0.27327354861641062</v>
      </c>
      <c r="AS8" s="141">
        <v>0.25869999999999999</v>
      </c>
      <c r="AT8" s="141">
        <v>0.26550000000000001</v>
      </c>
      <c r="AU8" s="508">
        <v>0.26569999999999999</v>
      </c>
      <c r="AV8" s="140">
        <v>0.24552122777620281</v>
      </c>
      <c r="AW8" s="141">
        <v>0.24025279408748573</v>
      </c>
      <c r="AX8" s="141">
        <v>0.24019199288108664</v>
      </c>
      <c r="AY8" s="141">
        <v>0.24716767238182133</v>
      </c>
      <c r="AZ8" s="508">
        <v>0.24349999999999999</v>
      </c>
      <c r="BA8" s="140">
        <v>0.24870403561745946</v>
      </c>
      <c r="BB8" s="140">
        <v>0.24280764993354145</v>
      </c>
      <c r="BC8" s="140">
        <v>0.23386599999999999</v>
      </c>
      <c r="BD8" s="140">
        <v>0.22439999999999999</v>
      </c>
      <c r="BE8" s="508">
        <v>0.23760000000000001</v>
      </c>
      <c r="BF8" s="140">
        <v>0.2334</v>
      </c>
      <c r="BG8" s="140">
        <v>0.2346</v>
      </c>
      <c r="BH8" s="140">
        <v>0.23289399999999999</v>
      </c>
      <c r="BI8" s="140">
        <v>0.23769999999999999</v>
      </c>
      <c r="BJ8" s="508">
        <f>AVERAGE(BF8:BI8)</f>
        <v>0.23464849999999998</v>
      </c>
    </row>
    <row r="9" spans="1:64" s="137" customFormat="1" ht="25.5" customHeight="1" thickBot="1">
      <c r="B9" s="138" t="s">
        <v>650</v>
      </c>
      <c r="C9" s="138" t="s">
        <v>651</v>
      </c>
      <c r="D9" s="347"/>
      <c r="E9" s="347"/>
      <c r="F9" s="139"/>
      <c r="G9" s="348"/>
      <c r="H9" s="347"/>
      <c r="I9" s="347"/>
      <c r="J9" s="347"/>
      <c r="K9" s="139"/>
      <c r="L9" s="348"/>
      <c r="M9" s="347"/>
      <c r="N9" s="347"/>
      <c r="O9" s="347"/>
      <c r="P9" s="139"/>
      <c r="Q9" s="348"/>
      <c r="R9" s="347"/>
      <c r="S9" s="347"/>
      <c r="T9" s="347"/>
      <c r="U9" s="139"/>
      <c r="V9" s="348"/>
      <c r="W9" s="347"/>
      <c r="X9" s="347"/>
      <c r="Y9" s="347"/>
      <c r="Z9" s="139"/>
      <c r="AA9" s="348"/>
      <c r="AB9" s="347"/>
      <c r="AC9" s="347"/>
      <c r="AD9" s="347"/>
      <c r="AE9" s="139"/>
      <c r="AF9" s="348"/>
      <c r="AG9" s="140">
        <v>0.21878</v>
      </c>
      <c r="AH9" s="140">
        <v>0.22343613004529736</v>
      </c>
      <c r="AI9" s="140">
        <v>0.20803558567084823</v>
      </c>
      <c r="AJ9" s="140">
        <v>0.20762155694075871</v>
      </c>
      <c r="AK9" s="509">
        <v>0.21439941200856841</v>
      </c>
      <c r="AL9" s="141">
        <v>0.21973490554611111</v>
      </c>
      <c r="AM9" s="141">
        <v>0.20743316354782532</v>
      </c>
      <c r="AN9" s="141">
        <v>0.21547125280795693</v>
      </c>
      <c r="AO9" s="141">
        <v>0.21739933081273113</v>
      </c>
      <c r="AP9" s="509">
        <v>0.21521707371036924</v>
      </c>
      <c r="AQ9" s="141">
        <v>0.21964706993225061</v>
      </c>
      <c r="AR9" s="141">
        <v>0.19273450590189634</v>
      </c>
      <c r="AS9" s="141">
        <v>0.19040000000000001</v>
      </c>
      <c r="AT9" s="141">
        <v>0.19350000000000001</v>
      </c>
      <c r="AU9" s="509">
        <v>0.19969999999999999</v>
      </c>
      <c r="AV9" s="140">
        <v>0.2145969192163136</v>
      </c>
      <c r="AW9" s="141">
        <v>0.21298580449377358</v>
      </c>
      <c r="AX9" s="141">
        <v>0.21154341175910182</v>
      </c>
      <c r="AY9" s="141">
        <v>0.21409536596163978</v>
      </c>
      <c r="AZ9" s="509">
        <v>0.21340000000000001</v>
      </c>
      <c r="BA9" s="140">
        <v>0.20908218103661699</v>
      </c>
      <c r="BB9" s="140">
        <v>0.20999839993245734</v>
      </c>
      <c r="BC9" s="140">
        <v>0.22115899999999999</v>
      </c>
      <c r="BD9" s="140">
        <v>0.23910000000000001</v>
      </c>
      <c r="BE9" s="509">
        <v>0.2198</v>
      </c>
      <c r="BF9" s="140">
        <v>0.2049</v>
      </c>
      <c r="BG9" s="140">
        <v>0.19850000000000001</v>
      </c>
      <c r="BH9" s="140">
        <v>0.20371600000000001</v>
      </c>
      <c r="BI9" s="140">
        <v>0.1893</v>
      </c>
      <c r="BJ9" s="509">
        <f>AVERAGE(BF9:BI9)</f>
        <v>0.199104</v>
      </c>
    </row>
    <row r="10" spans="1:64" ht="20.25" customHeight="1">
      <c r="A10"/>
      <c r="B10" s="357" t="s">
        <v>652</v>
      </c>
      <c r="C10" s="345" t="s">
        <v>653</v>
      </c>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55"/>
      <c r="AH10" s="355"/>
      <c r="AI10" s="355"/>
      <c r="AJ10" s="355"/>
      <c r="AK10" s="510"/>
      <c r="AL10" s="355"/>
      <c r="AM10" s="355"/>
      <c r="AN10" s="355"/>
      <c r="AO10" s="355"/>
      <c r="AP10" s="510"/>
      <c r="AQ10" s="355"/>
      <c r="AR10" s="355"/>
      <c r="AS10" s="355"/>
      <c r="AT10" s="355"/>
      <c r="AU10" s="510"/>
      <c r="AV10" s="355"/>
      <c r="AW10" s="355"/>
      <c r="AX10" s="355"/>
      <c r="AY10" s="355"/>
      <c r="AZ10" s="510"/>
      <c r="BA10" s="355"/>
      <c r="BB10" s="355"/>
      <c r="BC10" s="355"/>
      <c r="BD10" s="355"/>
      <c r="BE10" s="510"/>
      <c r="BF10" s="355"/>
      <c r="BG10" s="355"/>
      <c r="BH10" s="355"/>
      <c r="BI10" s="355"/>
      <c r="BJ10" s="510"/>
    </row>
    <row r="11" spans="1:64" ht="31.5" thickBot="1">
      <c r="A11"/>
      <c r="B11" s="643" t="s">
        <v>654</v>
      </c>
      <c r="C11" s="643" t="s">
        <v>655</v>
      </c>
      <c r="D11" s="143"/>
      <c r="E11" s="143"/>
      <c r="F11" s="144"/>
      <c r="G11" s="644"/>
      <c r="H11" s="143"/>
      <c r="I11" s="143"/>
      <c r="J11" s="143"/>
      <c r="K11" s="144"/>
      <c r="L11" s="644"/>
      <c r="M11" s="143"/>
      <c r="N11" s="143"/>
      <c r="O11" s="143"/>
      <c r="P11" s="144"/>
      <c r="Q11" s="644"/>
      <c r="R11" s="143"/>
      <c r="S11" s="143"/>
      <c r="T11" s="143"/>
      <c r="U11" s="144"/>
      <c r="V11" s="644"/>
      <c r="W11" s="143"/>
      <c r="X11" s="143"/>
      <c r="Y11" s="143"/>
      <c r="Z11" s="144"/>
      <c r="AA11" s="644"/>
      <c r="AB11" s="143"/>
      <c r="AC11" s="143"/>
      <c r="AD11" s="143"/>
      <c r="AE11" s="144"/>
      <c r="AF11" s="644"/>
      <c r="AG11" s="142">
        <v>996.4</v>
      </c>
      <c r="AH11" s="143">
        <v>1201.9000000000001</v>
      </c>
      <c r="AI11" s="143">
        <v>871.7</v>
      </c>
      <c r="AJ11" s="143">
        <v>1328.2</v>
      </c>
      <c r="AK11" s="511">
        <v>4398.2</v>
      </c>
      <c r="AL11" s="142">
        <v>965.6</v>
      </c>
      <c r="AM11" s="143">
        <v>1203.5999999999999</v>
      </c>
      <c r="AN11" s="143">
        <v>888.2</v>
      </c>
      <c r="AO11" s="143">
        <v>1324.059</v>
      </c>
      <c r="AP11" s="511">
        <v>4381.5060000000003</v>
      </c>
      <c r="AQ11" s="142">
        <v>933.12800000000004</v>
      </c>
      <c r="AR11" s="143">
        <v>778.1</v>
      </c>
      <c r="AS11" s="143">
        <v>894.93439594398706</v>
      </c>
      <c r="AT11" s="143">
        <v>1387.066</v>
      </c>
      <c r="AU11" s="511">
        <f>SUM(AQ11:AT11)</f>
        <v>3993.2283959439874</v>
      </c>
      <c r="AV11" s="143">
        <v>955.63900000000001</v>
      </c>
      <c r="AW11" s="143">
        <v>1193.1590000000001</v>
      </c>
      <c r="AX11" s="143">
        <v>947.99099999999999</v>
      </c>
      <c r="AY11" s="143">
        <v>1450.482</v>
      </c>
      <c r="AZ11" s="511">
        <f>SUM(AV11:AY11)</f>
        <v>4547.2710000000006</v>
      </c>
      <c r="BA11" s="143">
        <v>970.04899999999998</v>
      </c>
      <c r="BB11" s="143">
        <v>1153.1379999999999</v>
      </c>
      <c r="BC11" s="143">
        <v>937.74599999999998</v>
      </c>
      <c r="BD11" s="143">
        <v>1448.0350000000001</v>
      </c>
      <c r="BE11" s="511">
        <f>BA11+BB11+BC11+BD11</f>
        <v>4508.9679999999998</v>
      </c>
      <c r="BF11" s="143">
        <v>1008.907</v>
      </c>
      <c r="BG11" s="143">
        <v>1202</v>
      </c>
      <c r="BH11" s="143">
        <v>991.98599999999999</v>
      </c>
      <c r="BI11" s="143">
        <v>1453.9059999999999</v>
      </c>
      <c r="BJ11" s="511">
        <f>BF11+BG11+BH11+BI11</f>
        <v>4656.799</v>
      </c>
      <c r="BL11" s="768"/>
    </row>
    <row r="12" spans="1:64" s="147" customFormat="1" ht="31.5" thickBot="1">
      <c r="B12" s="373" t="s">
        <v>656</v>
      </c>
      <c r="C12" s="373" t="s">
        <v>657</v>
      </c>
      <c r="D12" s="374"/>
      <c r="E12" s="374"/>
      <c r="F12" s="375"/>
      <c r="G12" s="376"/>
      <c r="H12" s="374"/>
      <c r="I12" s="374"/>
      <c r="J12" s="374"/>
      <c r="K12" s="375"/>
      <c r="L12" s="376"/>
      <c r="M12" s="374"/>
      <c r="N12" s="374"/>
      <c r="O12" s="374"/>
      <c r="P12" s="375"/>
      <c r="Q12" s="376"/>
      <c r="R12" s="374"/>
      <c r="S12" s="374"/>
      <c r="T12" s="374"/>
      <c r="U12" s="375"/>
      <c r="V12" s="376"/>
      <c r="W12" s="374"/>
      <c r="X12" s="374"/>
      <c r="Y12" s="374"/>
      <c r="Z12" s="375"/>
      <c r="AA12" s="376"/>
      <c r="AB12" s="374"/>
      <c r="AC12" s="374"/>
      <c r="AD12" s="374"/>
      <c r="AE12" s="375"/>
      <c r="AF12" s="376"/>
      <c r="AG12" s="377">
        <v>269.10000000000002</v>
      </c>
      <c r="AH12" s="374">
        <v>321.39999999999998</v>
      </c>
      <c r="AI12" s="374">
        <v>240.8</v>
      </c>
      <c r="AJ12" s="374">
        <v>369.9</v>
      </c>
      <c r="AK12" s="512">
        <v>1201.3</v>
      </c>
      <c r="AL12" s="377">
        <v>270.60000000000002</v>
      </c>
      <c r="AM12" s="374">
        <v>324.89999999999998</v>
      </c>
      <c r="AN12" s="374">
        <v>249.9</v>
      </c>
      <c r="AO12" s="374">
        <v>379</v>
      </c>
      <c r="AP12" s="512">
        <v>1224.4000000000001</v>
      </c>
      <c r="AQ12" s="377">
        <v>262.54000000000002</v>
      </c>
      <c r="AR12" s="374">
        <v>212.9</v>
      </c>
      <c r="AS12" s="374">
        <v>252</v>
      </c>
      <c r="AT12" s="375">
        <v>396.08300000000003</v>
      </c>
      <c r="AU12" s="512">
        <v>1123.538</v>
      </c>
      <c r="AV12" s="375">
        <v>271.495</v>
      </c>
      <c r="AW12" s="375">
        <v>330.48700000000002</v>
      </c>
      <c r="AX12" s="375">
        <v>267.33800000000002</v>
      </c>
      <c r="AY12" s="375">
        <v>402.26600000000002</v>
      </c>
      <c r="AZ12" s="512">
        <f>SUM(AV12:AY12)</f>
        <v>1271.586</v>
      </c>
      <c r="BA12" s="375">
        <v>273.03399999999999</v>
      </c>
      <c r="BB12" s="375">
        <v>330.09300000000002</v>
      </c>
      <c r="BC12" s="375">
        <v>275.01</v>
      </c>
      <c r="BD12" s="375">
        <v>410.49900000000002</v>
      </c>
      <c r="BE12" s="512">
        <f>BA12+BB12+BC12+BD12</f>
        <v>1288.636</v>
      </c>
      <c r="BF12" s="375">
        <v>284.25200000000001</v>
      </c>
      <c r="BG12" s="375">
        <v>345</v>
      </c>
      <c r="BH12" s="375">
        <v>288.06400000000002</v>
      </c>
      <c r="BI12" s="375">
        <v>415.15899999999999</v>
      </c>
      <c r="BJ12" s="512">
        <f>BF12+BG12+BH12+BI12</f>
        <v>1332.4749999999999</v>
      </c>
      <c r="BL12" s="768"/>
    </row>
    <row r="13" spans="1:64" ht="31.5" thickBot="1">
      <c r="A13"/>
      <c r="B13" s="365" t="s">
        <v>658</v>
      </c>
      <c r="C13" s="365" t="s">
        <v>659</v>
      </c>
      <c r="D13" s="366"/>
      <c r="E13" s="366"/>
      <c r="F13" s="367"/>
      <c r="G13" s="368"/>
      <c r="H13" s="366"/>
      <c r="I13" s="366"/>
      <c r="J13" s="366"/>
      <c r="K13" s="367"/>
      <c r="L13" s="368"/>
      <c r="M13" s="366"/>
      <c r="N13" s="366"/>
      <c r="O13" s="366"/>
      <c r="P13" s="367"/>
      <c r="Q13" s="368"/>
      <c r="R13" s="366"/>
      <c r="S13" s="366"/>
      <c r="T13" s="366"/>
      <c r="U13" s="367"/>
      <c r="V13" s="368"/>
      <c r="W13" s="366"/>
      <c r="X13" s="366"/>
      <c r="Y13" s="366"/>
      <c r="Z13" s="367"/>
      <c r="AA13" s="368"/>
      <c r="AB13" s="366"/>
      <c r="AC13" s="366"/>
      <c r="AD13" s="366"/>
      <c r="AE13" s="367"/>
      <c r="AF13" s="368"/>
      <c r="AG13" s="370">
        <f>AG12/AG11</f>
        <v>0.27007226013649138</v>
      </c>
      <c r="AH13" s="371">
        <f t="shared" ref="AH13:AT13" si="0">AH12/AH11</f>
        <v>0.26740993427073795</v>
      </c>
      <c r="AI13" s="371">
        <f t="shared" si="0"/>
        <v>0.27624182631639327</v>
      </c>
      <c r="AJ13" s="371">
        <f t="shared" si="0"/>
        <v>0.27849721427495855</v>
      </c>
      <c r="AK13" s="505">
        <f t="shared" si="0"/>
        <v>0.27313446409894959</v>
      </c>
      <c r="AL13" s="370">
        <f t="shared" si="0"/>
        <v>0.28024026512013256</v>
      </c>
      <c r="AM13" s="371">
        <f t="shared" si="0"/>
        <v>0.26994017946161514</v>
      </c>
      <c r="AN13" s="371">
        <f t="shared" si="0"/>
        <v>0.28135555055167755</v>
      </c>
      <c r="AO13" s="371">
        <f t="shared" si="0"/>
        <v>0.28624102098169341</v>
      </c>
      <c r="AP13" s="505">
        <f t="shared" si="0"/>
        <v>0.27944729506247395</v>
      </c>
      <c r="AQ13" s="370">
        <f t="shared" si="0"/>
        <v>0.28135475518899872</v>
      </c>
      <c r="AR13" s="371">
        <f t="shared" si="0"/>
        <v>0.27361521655314225</v>
      </c>
      <c r="AS13" s="371">
        <f t="shared" si="0"/>
        <v>0.28158488615714394</v>
      </c>
      <c r="AT13" s="372">
        <f t="shared" si="0"/>
        <v>0.28555454462873431</v>
      </c>
      <c r="AU13" s="505">
        <f>AU12/AU11</f>
        <v>0.28136081601072532</v>
      </c>
      <c r="AV13" s="371">
        <f t="shared" ref="AV13:BJ13" si="1">AV12/AV11</f>
        <v>0.28409786540733478</v>
      </c>
      <c r="AW13" s="371">
        <f>ROUNDUP(AW12/AW11,3)</f>
        <v>0.27700000000000002</v>
      </c>
      <c r="AX13" s="371">
        <f t="shared" si="1"/>
        <v>0.28200478696527714</v>
      </c>
      <c r="AY13" s="372">
        <f t="shared" si="1"/>
        <v>0.27733263839192768</v>
      </c>
      <c r="AZ13" s="505">
        <f t="shared" si="1"/>
        <v>0.27963717139356764</v>
      </c>
      <c r="BA13" s="371">
        <f t="shared" si="1"/>
        <v>0.28146413222424849</v>
      </c>
      <c r="BB13" s="371">
        <f t="shared" si="1"/>
        <v>0.28625628502399542</v>
      </c>
      <c r="BC13" s="371">
        <f t="shared" si="1"/>
        <v>0.29326704672693887</v>
      </c>
      <c r="BD13" s="371">
        <f t="shared" si="1"/>
        <v>0.28348693229100125</v>
      </c>
      <c r="BE13" s="505">
        <f t="shared" si="1"/>
        <v>0.28579399986870613</v>
      </c>
      <c r="BF13" s="371">
        <f t="shared" si="1"/>
        <v>0.28174251937988337</v>
      </c>
      <c r="BG13" s="371">
        <f t="shared" si="1"/>
        <v>0.28702163061564062</v>
      </c>
      <c r="BH13" s="371">
        <f t="shared" si="1"/>
        <v>0.29039119503702676</v>
      </c>
      <c r="BI13" s="371">
        <f t="shared" si="1"/>
        <v>0.2855473462520961</v>
      </c>
      <c r="BJ13" s="505">
        <f t="shared" si="1"/>
        <v>0.28613539042591274</v>
      </c>
      <c r="BL13" s="768"/>
    </row>
    <row r="14" spans="1:64" ht="14.5">
      <c r="A14"/>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7"/>
      <c r="AH14" s="147"/>
      <c r="AI14" s="147"/>
      <c r="AJ14" s="147"/>
      <c r="AK14" s="147"/>
      <c r="AL14" s="147"/>
      <c r="AM14" s="147"/>
      <c r="AN14" s="147"/>
      <c r="AO14" s="147"/>
      <c r="AP14" s="147"/>
      <c r="AQ14" s="147"/>
      <c r="AR14" s="147"/>
      <c r="AS14" s="147"/>
      <c r="AT14" s="147"/>
      <c r="AU14" s="147"/>
      <c r="AV14" s="191"/>
      <c r="AW14" s="147"/>
      <c r="AX14" s="147"/>
      <c r="AY14" s="147"/>
      <c r="AZ14" s="147"/>
      <c r="BA14" s="191"/>
      <c r="BB14" s="147"/>
      <c r="BC14" s="147"/>
      <c r="BD14" s="147"/>
      <c r="BE14" s="147"/>
      <c r="BF14" s="191"/>
      <c r="BG14" s="147"/>
      <c r="BH14" s="147"/>
      <c r="BI14" s="147"/>
      <c r="BJ14" s="147"/>
    </row>
    <row r="15" spans="1:64" s="135" customFormat="1" hidden="1">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P15"/>
      <c r="AU15"/>
      <c r="AV15" s="192"/>
      <c r="AZ15"/>
      <c r="BA15" s="192"/>
      <c r="BE15"/>
      <c r="BF15" s="192"/>
      <c r="BJ15"/>
    </row>
    <row r="16" spans="1:64" s="135" customFormat="1" hidden="1">
      <c r="B16" s="149"/>
      <c r="C16" s="149"/>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149"/>
      <c r="AH16" s="149"/>
      <c r="AI16" s="149"/>
      <c r="AK16"/>
      <c r="AP16"/>
      <c r="AU16"/>
      <c r="AZ16"/>
      <c r="BE16"/>
      <c r="BJ16"/>
    </row>
    <row r="17" spans="2:62" s="150" customFormat="1" ht="27.75" customHeight="1">
      <c r="B17" s="378" t="s">
        <v>660</v>
      </c>
      <c r="C17" s="378" t="s">
        <v>661</v>
      </c>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2"/>
      <c r="AH17" s="2"/>
      <c r="AI17" s="2"/>
      <c r="AJ17" s="135"/>
      <c r="AK17"/>
      <c r="AL17" s="135"/>
      <c r="AM17" s="135"/>
      <c r="AN17" s="135"/>
      <c r="AO17" s="135"/>
      <c r="AP17"/>
      <c r="AU17" s="356"/>
      <c r="AZ17" s="356"/>
      <c r="BE17" s="356"/>
      <c r="BJ17" s="356"/>
    </row>
    <row r="18" spans="2:62" s="150" customFormat="1" ht="27.75" customHeight="1" thickBot="1">
      <c r="B18" s="151" t="s">
        <v>662</v>
      </c>
      <c r="C18" s="151" t="s">
        <v>663</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2"/>
      <c r="AH18" s="2"/>
      <c r="AI18" s="2"/>
      <c r="AJ18" s="135"/>
      <c r="AK18"/>
      <c r="AL18" s="135"/>
      <c r="AM18" s="135"/>
      <c r="AN18" s="135"/>
      <c r="AO18" s="135"/>
      <c r="AP18"/>
      <c r="AU18" s="356"/>
      <c r="AZ18" s="356"/>
      <c r="BE18" s="356"/>
      <c r="BJ18" s="356"/>
    </row>
    <row r="19" spans="2:62" s="379" customFormat="1" ht="20.25" customHeight="1" thickBot="1">
      <c r="B19" s="1072" t="s">
        <v>664</v>
      </c>
      <c r="C19" s="1078" t="s">
        <v>665</v>
      </c>
      <c r="D19" s="1074"/>
      <c r="E19" s="1075"/>
      <c r="F19" s="1075"/>
      <c r="G19" s="1076"/>
      <c r="H19" s="1074"/>
      <c r="I19" s="1075"/>
      <c r="J19" s="1075"/>
      <c r="K19" s="1075"/>
      <c r="L19" s="1076"/>
      <c r="M19" s="1074"/>
      <c r="N19" s="1075"/>
      <c r="O19" s="1075"/>
      <c r="P19" s="1075"/>
      <c r="Q19" s="1076"/>
      <c r="R19" s="1074"/>
      <c r="S19" s="1075"/>
      <c r="T19" s="1075"/>
      <c r="U19" s="1075"/>
      <c r="V19" s="1076"/>
      <c r="W19" s="1074"/>
      <c r="X19" s="1075"/>
      <c r="Y19" s="1075"/>
      <c r="Z19" s="1075"/>
      <c r="AA19" s="1076"/>
      <c r="AB19" s="1074"/>
      <c r="AC19" s="1075"/>
      <c r="AD19" s="1075"/>
      <c r="AE19" s="1075"/>
      <c r="AF19" s="1076"/>
      <c r="AG19" s="1070">
        <v>2018</v>
      </c>
      <c r="AH19" s="1071"/>
      <c r="AI19" s="1071"/>
      <c r="AJ19" s="1071"/>
      <c r="AK19" s="1068">
        <v>2018</v>
      </c>
      <c r="AL19" s="1070">
        <v>2019</v>
      </c>
      <c r="AM19" s="1071"/>
      <c r="AN19" s="1071"/>
      <c r="AO19" s="1071"/>
      <c r="AP19" s="1068">
        <v>2019</v>
      </c>
      <c r="AQ19" s="1070">
        <v>2020</v>
      </c>
      <c r="AR19" s="1071"/>
      <c r="AS19" s="1071"/>
      <c r="AT19" s="1071"/>
      <c r="AU19" s="1068">
        <v>2020</v>
      </c>
      <c r="AV19" s="1070">
        <f>AV2</f>
        <v>2021</v>
      </c>
      <c r="AW19" s="1071"/>
      <c r="AX19" s="1071"/>
      <c r="AY19" s="1071"/>
      <c r="AZ19" s="1068" t="s">
        <v>637</v>
      </c>
      <c r="BA19" s="1070">
        <f>BA2</f>
        <v>2022</v>
      </c>
      <c r="BB19" s="1071"/>
      <c r="BC19" s="1071"/>
      <c r="BD19" s="1071"/>
      <c r="BE19" s="1068" t="s">
        <v>638</v>
      </c>
      <c r="BF19" s="1070">
        <f>BF2</f>
        <v>2023</v>
      </c>
      <c r="BG19" s="1071"/>
      <c r="BH19" s="1071"/>
      <c r="BI19" s="1071"/>
      <c r="BJ19" s="1068" t="s">
        <v>639</v>
      </c>
    </row>
    <row r="20" spans="2:62" s="380" customFormat="1" ht="20.25" customHeight="1" thickBot="1">
      <c r="B20" s="1073"/>
      <c r="C20" s="1079"/>
      <c r="D20" s="360"/>
      <c r="E20" s="361"/>
      <c r="F20" s="361"/>
      <c r="G20" s="1077"/>
      <c r="H20" s="360"/>
      <c r="I20" s="361"/>
      <c r="J20" s="361"/>
      <c r="K20" s="361"/>
      <c r="L20" s="1077"/>
      <c r="M20" s="360"/>
      <c r="N20" s="361"/>
      <c r="O20" s="361"/>
      <c r="P20" s="361"/>
      <c r="Q20" s="1077"/>
      <c r="R20" s="360"/>
      <c r="S20" s="361"/>
      <c r="T20" s="361"/>
      <c r="U20" s="361"/>
      <c r="V20" s="1077"/>
      <c r="W20" s="360"/>
      <c r="X20" s="361"/>
      <c r="Y20" s="361"/>
      <c r="Z20" s="361"/>
      <c r="AA20" s="1077"/>
      <c r="AB20" s="360"/>
      <c r="AC20" s="361"/>
      <c r="AD20" s="361"/>
      <c r="AE20" s="361"/>
      <c r="AF20" s="1077"/>
      <c r="AG20" s="358" t="s">
        <v>581</v>
      </c>
      <c r="AH20" s="359" t="s">
        <v>582</v>
      </c>
      <c r="AI20" s="359" t="s">
        <v>583</v>
      </c>
      <c r="AJ20" s="359" t="s">
        <v>584</v>
      </c>
      <c r="AK20" s="1069"/>
      <c r="AL20" s="358" t="s">
        <v>581</v>
      </c>
      <c r="AM20" s="359" t="s">
        <v>582</v>
      </c>
      <c r="AN20" s="359" t="s">
        <v>583</v>
      </c>
      <c r="AO20" s="359" t="s">
        <v>584</v>
      </c>
      <c r="AP20" s="1069"/>
      <c r="AQ20" s="358" t="s">
        <v>581</v>
      </c>
      <c r="AR20" s="359" t="s">
        <v>582</v>
      </c>
      <c r="AS20" s="359" t="s">
        <v>583</v>
      </c>
      <c r="AT20" s="359" t="s">
        <v>584</v>
      </c>
      <c r="AU20" s="1069"/>
      <c r="AV20" s="358" t="s">
        <v>581</v>
      </c>
      <c r="AW20" s="359" t="s">
        <v>582</v>
      </c>
      <c r="AX20" s="359" t="s">
        <v>583</v>
      </c>
      <c r="AY20" s="359" t="s">
        <v>584</v>
      </c>
      <c r="AZ20" s="1069"/>
      <c r="BA20" s="358" t="s">
        <v>581</v>
      </c>
      <c r="BB20" s="359" t="s">
        <v>582</v>
      </c>
      <c r="BC20" s="359" t="s">
        <v>583</v>
      </c>
      <c r="BD20" s="359" t="s">
        <v>584</v>
      </c>
      <c r="BE20" s="1069"/>
      <c r="BF20" s="358" t="s">
        <v>581</v>
      </c>
      <c r="BG20" s="359" t="s">
        <v>582</v>
      </c>
      <c r="BH20" s="359" t="s">
        <v>583</v>
      </c>
      <c r="BI20" s="359" t="s">
        <v>584</v>
      </c>
      <c r="BJ20" s="1069"/>
    </row>
    <row r="21" spans="2:62" s="157" customFormat="1" ht="23.15" customHeight="1">
      <c r="B21" s="152" t="s">
        <v>666</v>
      </c>
      <c r="C21" s="152" t="s">
        <v>667</v>
      </c>
      <c r="D21" s="154"/>
      <c r="E21" s="154"/>
      <c r="F21" s="154"/>
      <c r="G21" s="349"/>
      <c r="H21" s="154"/>
      <c r="I21" s="154"/>
      <c r="J21" s="154"/>
      <c r="K21" s="154"/>
      <c r="L21" s="349"/>
      <c r="M21" s="154"/>
      <c r="N21" s="154"/>
      <c r="O21" s="154"/>
      <c r="P21" s="154"/>
      <c r="Q21" s="349"/>
      <c r="R21" s="154"/>
      <c r="S21" s="154"/>
      <c r="T21" s="154"/>
      <c r="U21" s="154"/>
      <c r="V21" s="349"/>
      <c r="W21" s="154"/>
      <c r="X21" s="154"/>
      <c r="Y21" s="154"/>
      <c r="Z21" s="154"/>
      <c r="AA21" s="349"/>
      <c r="AB21" s="154"/>
      <c r="AC21" s="154"/>
      <c r="AD21" s="154"/>
      <c r="AE21" s="154"/>
      <c r="AF21" s="349"/>
      <c r="AG21" s="155">
        <v>8.9575186666666706</v>
      </c>
      <c r="AH21" s="155">
        <v>9.2269073333333296</v>
      </c>
      <c r="AI21" s="155">
        <v>8.9584399999999995</v>
      </c>
      <c r="AJ21" s="155">
        <v>8.6488606666666694</v>
      </c>
      <c r="AK21" s="513">
        <v>8.9479316666666708</v>
      </c>
      <c r="AL21" s="155">
        <v>9.0586716666666707</v>
      </c>
      <c r="AM21" s="155">
        <v>9.5436246666666662</v>
      </c>
      <c r="AN21" s="155">
        <v>9.9339253333333346</v>
      </c>
      <c r="AO21" s="155">
        <v>9.897098333333334</v>
      </c>
      <c r="AP21" s="513">
        <v>9.6083300000000005</v>
      </c>
      <c r="AQ21" s="155">
        <v>9.8268776666666646</v>
      </c>
      <c r="AR21" s="155">
        <v>10.836056000000001</v>
      </c>
      <c r="AS21" s="156">
        <v>18.484831</v>
      </c>
      <c r="AT21" s="163">
        <v>19.728791999999999</v>
      </c>
      <c r="AU21" s="513">
        <f>AVERAGE(AQ21:AT21)</f>
        <v>14.719139166666666</v>
      </c>
      <c r="AV21" s="156">
        <v>20.181743999999998</v>
      </c>
      <c r="AW21" s="156">
        <v>20.329488000000001</v>
      </c>
      <c r="AX21" s="156">
        <v>19.864871999999998</v>
      </c>
      <c r="AY21" s="156">
        <v>20.539062000000001</v>
      </c>
      <c r="AZ21" s="516">
        <f>AVERAGE(AV21:AY21)</f>
        <v>20.2287915</v>
      </c>
      <c r="BA21" s="156">
        <v>21.168755999999998</v>
      </c>
      <c r="BB21" s="156">
        <v>20.781953999999999</v>
      </c>
      <c r="BC21" s="156">
        <v>20.450285999999998</v>
      </c>
      <c r="BD21" s="156">
        <v>21.187601999999998</v>
      </c>
      <c r="BE21" s="797">
        <f>AVERAGE(BA21:BD21)</f>
        <v>20.897149499999998</v>
      </c>
      <c r="BF21" s="156">
        <v>21.172428</v>
      </c>
      <c r="BG21" s="156">
        <v>21</v>
      </c>
      <c r="BH21" s="156">
        <v>20.53782</v>
      </c>
      <c r="BI21" s="156">
        <v>20.8</v>
      </c>
      <c r="BJ21" s="797">
        <f>AVERAGE(BF21:BI21)</f>
        <v>20.877561999999998</v>
      </c>
    </row>
    <row r="22" spans="2:62" s="159" customFormat="1" ht="23.15" customHeight="1">
      <c r="B22" s="851" t="s">
        <v>668</v>
      </c>
      <c r="C22" s="851" t="s">
        <v>669</v>
      </c>
      <c r="D22" s="145"/>
      <c r="E22" s="145"/>
      <c r="F22" s="145"/>
      <c r="G22" s="349"/>
      <c r="H22" s="145"/>
      <c r="I22" s="145"/>
      <c r="J22" s="145"/>
      <c r="K22" s="145"/>
      <c r="L22" s="349"/>
      <c r="M22" s="145"/>
      <c r="N22" s="145"/>
      <c r="O22" s="145"/>
      <c r="P22" s="145"/>
      <c r="Q22" s="349"/>
      <c r="R22" s="145"/>
      <c r="S22" s="145"/>
      <c r="T22" s="145"/>
      <c r="U22" s="145"/>
      <c r="V22" s="349"/>
      <c r="W22" s="145"/>
      <c r="X22" s="145"/>
      <c r="Y22" s="145"/>
      <c r="Z22" s="145"/>
      <c r="AA22" s="349"/>
      <c r="AB22" s="145"/>
      <c r="AC22" s="145"/>
      <c r="AD22" s="145"/>
      <c r="AE22" s="145"/>
      <c r="AF22" s="349"/>
      <c r="AG22" s="158">
        <v>21.2333173333333</v>
      </c>
      <c r="AH22" s="158">
        <v>20.898015999999998</v>
      </c>
      <c r="AI22" s="158">
        <v>20.942602666666701</v>
      </c>
      <c r="AJ22" s="158">
        <v>21.839365666666701</v>
      </c>
      <c r="AK22" s="514">
        <v>21.228325416666699</v>
      </c>
      <c r="AL22" s="158">
        <v>22.457554666666667</v>
      </c>
      <c r="AM22" s="158">
        <v>21.564558000000002</v>
      </c>
      <c r="AN22" s="158">
        <v>20.811750666666669</v>
      </c>
      <c r="AO22" s="158">
        <v>21.400824666666669</v>
      </c>
      <c r="AP22" s="514">
        <v>21.558671999999998</v>
      </c>
      <c r="AQ22" s="158">
        <v>21.740159999999999</v>
      </c>
      <c r="AR22" s="158">
        <v>21.146581999999999</v>
      </c>
      <c r="AS22" s="158">
        <v>20.966215666666667</v>
      </c>
      <c r="AT22" s="164">
        <v>21.769559999999998</v>
      </c>
      <c r="AU22" s="514">
        <f>AVERAGE(AQ22:AT22)</f>
        <v>21.405629416666667</v>
      </c>
      <c r="AV22" s="158">
        <v>21.706271999999998</v>
      </c>
      <c r="AW22" s="158">
        <v>21.781169999999999</v>
      </c>
      <c r="AX22" s="158">
        <v>21.017016000000002</v>
      </c>
      <c r="AY22" s="158">
        <v>21.063780000000001</v>
      </c>
      <c r="AZ22" s="514">
        <f>AVERAGE(AV22:AY22)</f>
        <v>21.392059500000002</v>
      </c>
      <c r="BA22" s="158">
        <v>22.066668</v>
      </c>
      <c r="BB22" s="158">
        <v>21.783384000000002</v>
      </c>
      <c r="BC22" s="158">
        <v>22.015961999999998</v>
      </c>
      <c r="BD22" s="158">
        <v>22.645872000000001</v>
      </c>
      <c r="BE22" s="514">
        <f>AVERAGE(BA22:BD22)</f>
        <v>22.127971500000001</v>
      </c>
      <c r="BF22" s="158">
        <v>23.164596</v>
      </c>
      <c r="BG22" s="158">
        <v>22.8</v>
      </c>
      <c r="BH22" s="158">
        <v>21.37077</v>
      </c>
      <c r="BI22" s="158">
        <v>21.1</v>
      </c>
      <c r="BJ22" s="514">
        <f>AVERAGE(BF22:BI22)</f>
        <v>22.108841499999997</v>
      </c>
    </row>
    <row r="23" spans="2:62" s="159" customFormat="1" ht="23.15" customHeight="1">
      <c r="B23" s="851" t="s">
        <v>670</v>
      </c>
      <c r="C23" s="851" t="s">
        <v>671</v>
      </c>
      <c r="D23" s="139"/>
      <c r="E23" s="139"/>
      <c r="F23" s="139"/>
      <c r="G23" s="349"/>
      <c r="H23" s="139"/>
      <c r="I23" s="139"/>
      <c r="J23" s="139"/>
      <c r="K23" s="139"/>
      <c r="L23" s="349"/>
      <c r="M23" s="139"/>
      <c r="N23" s="139"/>
      <c r="O23" s="139"/>
      <c r="P23" s="139"/>
      <c r="Q23" s="349"/>
      <c r="R23" s="139"/>
      <c r="S23" s="139"/>
      <c r="T23" s="139"/>
      <c r="U23" s="139"/>
      <c r="V23" s="349"/>
      <c r="W23" s="139"/>
      <c r="X23" s="139"/>
      <c r="Y23" s="139"/>
      <c r="Z23" s="139"/>
      <c r="AA23" s="349"/>
      <c r="AB23" s="139"/>
      <c r="AC23" s="139"/>
      <c r="AD23" s="139"/>
      <c r="AE23" s="139"/>
      <c r="AF23" s="349"/>
      <c r="AG23" s="158">
        <v>21.468349</v>
      </c>
      <c r="AH23" s="158">
        <v>20.808209333333298</v>
      </c>
      <c r="AI23" s="158">
        <v>20.612301333333299</v>
      </c>
      <c r="AJ23" s="158">
        <v>21.082352</v>
      </c>
      <c r="AK23" s="514">
        <v>20.992802916666701</v>
      </c>
      <c r="AL23" s="158">
        <v>21.450856666666667</v>
      </c>
      <c r="AM23" s="158">
        <v>20.752137333333334</v>
      </c>
      <c r="AN23" s="158">
        <v>20.033246999999999</v>
      </c>
      <c r="AO23" s="158">
        <v>20.897084333333332</v>
      </c>
      <c r="AP23" s="514">
        <v>20.783331333333333</v>
      </c>
      <c r="AQ23" s="158">
        <v>21.910613000000001</v>
      </c>
      <c r="AR23" s="158">
        <v>21.920766666666665</v>
      </c>
      <c r="AS23" s="158">
        <v>20.933972666666669</v>
      </c>
      <c r="AT23" s="164">
        <v>21.592872</v>
      </c>
      <c r="AU23" s="514">
        <f t="shared" ref="AU23:AU25" si="2">AVERAGE(AQ23:AT23)</f>
        <v>21.589556083333335</v>
      </c>
      <c r="AV23" s="158">
        <v>21.562200000000001</v>
      </c>
      <c r="AW23" s="158">
        <v>21.70017</v>
      </c>
      <c r="AX23" s="158">
        <v>22.279806000000001</v>
      </c>
      <c r="AY23" s="158">
        <v>23.346792000000001</v>
      </c>
      <c r="AZ23" s="514">
        <f t="shared" ref="AZ23:AZ25" si="3">AVERAGE(AV23:AY23)</f>
        <v>22.222242000000001</v>
      </c>
      <c r="BA23" s="158">
        <v>22.519566000000001</v>
      </c>
      <c r="BB23" s="158">
        <v>21.660533999999998</v>
      </c>
      <c r="BC23" s="158">
        <v>21.742937999999999</v>
      </c>
      <c r="BD23" s="158">
        <v>22.101606</v>
      </c>
      <c r="BE23" s="514">
        <f>AVERAGE(BA23:BD23)</f>
        <v>22.006160999999999</v>
      </c>
      <c r="BF23" s="158">
        <v>22.138757999999999</v>
      </c>
      <c r="BG23" s="158">
        <v>21.5</v>
      </c>
      <c r="BH23" s="158">
        <v>20.962152</v>
      </c>
      <c r="BI23" s="158">
        <v>21.2</v>
      </c>
      <c r="BJ23" s="514">
        <f>AVERAGE(BF23:BI23)</f>
        <v>21.4502275</v>
      </c>
    </row>
    <row r="24" spans="2:62" s="159" customFormat="1" ht="23.15" customHeight="1">
      <c r="B24" s="851" t="s">
        <v>672</v>
      </c>
      <c r="C24" s="851" t="s">
        <v>673</v>
      </c>
      <c r="D24" s="353"/>
      <c r="E24" s="353"/>
      <c r="F24" s="852"/>
      <c r="G24" s="349"/>
      <c r="H24" s="353"/>
      <c r="I24" s="353"/>
      <c r="J24" s="852"/>
      <c r="K24" s="852"/>
      <c r="L24" s="349"/>
      <c r="M24" s="353"/>
      <c r="N24" s="353"/>
      <c r="O24" s="852"/>
      <c r="P24" s="852"/>
      <c r="Q24" s="349"/>
      <c r="R24" s="353"/>
      <c r="S24" s="353"/>
      <c r="T24" s="852"/>
      <c r="U24" s="852"/>
      <c r="V24" s="349"/>
      <c r="W24" s="353"/>
      <c r="X24" s="353"/>
      <c r="Y24" s="852"/>
      <c r="Z24" s="852"/>
      <c r="AA24" s="349"/>
      <c r="AB24" s="353"/>
      <c r="AC24" s="353"/>
      <c r="AD24" s="852"/>
      <c r="AE24" s="852"/>
      <c r="AF24" s="349"/>
      <c r="AG24" s="853">
        <v>15.9318236666667</v>
      </c>
      <c r="AH24" s="853">
        <v>15.865494</v>
      </c>
      <c r="AI24" s="853">
        <v>16.060423333333301</v>
      </c>
      <c r="AJ24" s="853">
        <v>17.065826666666698</v>
      </c>
      <c r="AK24" s="514">
        <v>16.2308919166667</v>
      </c>
      <c r="AL24" s="853">
        <v>17.787435666666667</v>
      </c>
      <c r="AM24" s="853">
        <v>16.994359333333335</v>
      </c>
      <c r="AN24" s="853">
        <v>16.433279333333335</v>
      </c>
      <c r="AO24" s="853">
        <v>17.680521000000002</v>
      </c>
      <c r="AP24" s="514">
        <v>17.223898833333333</v>
      </c>
      <c r="AQ24" s="853">
        <v>18.596202000000002</v>
      </c>
      <c r="AR24" s="853">
        <v>17.204713999999999</v>
      </c>
      <c r="AS24" s="853">
        <v>15.98324</v>
      </c>
      <c r="AT24" s="853">
        <v>17.756712</v>
      </c>
      <c r="AU24" s="514">
        <f t="shared" si="2"/>
        <v>17.385217000000001</v>
      </c>
      <c r="AV24" s="158">
        <v>17.12556</v>
      </c>
      <c r="AW24" s="158">
        <v>16.734383999999999</v>
      </c>
      <c r="AX24" s="158">
        <v>16.549271999999998</v>
      </c>
      <c r="AY24" s="158">
        <v>17.245547999999999</v>
      </c>
      <c r="AZ24" s="514">
        <f t="shared" si="3"/>
        <v>16.913691</v>
      </c>
      <c r="BA24" s="158">
        <v>17.649467999999999</v>
      </c>
      <c r="BB24" s="158">
        <v>17.706437999999999</v>
      </c>
      <c r="BC24" s="158">
        <v>17.554212</v>
      </c>
      <c r="BD24" s="158">
        <v>18.561095999999999</v>
      </c>
      <c r="BE24" s="514">
        <f>AVERAGE(BA24:BD24)</f>
        <v>17.867803500000001</v>
      </c>
      <c r="BF24" s="158">
        <v>18.665154000000001</v>
      </c>
      <c r="BG24" s="158">
        <v>17.399999999999999</v>
      </c>
      <c r="BH24" s="158">
        <v>17.206398</v>
      </c>
      <c r="BI24" s="158">
        <v>18.899999999999999</v>
      </c>
      <c r="BJ24" s="514">
        <f>AVERAGE(BF24:BI24)</f>
        <v>18.042887999999998</v>
      </c>
    </row>
    <row r="25" spans="2:62" s="159" customFormat="1" ht="23.15" customHeight="1" thickBot="1">
      <c r="B25" s="854" t="s">
        <v>674</v>
      </c>
      <c r="C25" s="854" t="s">
        <v>675</v>
      </c>
      <c r="D25" s="711"/>
      <c r="E25" s="711"/>
      <c r="F25" s="855"/>
      <c r="G25" s="350"/>
      <c r="H25" s="711"/>
      <c r="I25" s="711"/>
      <c r="J25" s="855"/>
      <c r="K25" s="855"/>
      <c r="L25" s="350"/>
      <c r="M25" s="711"/>
      <c r="N25" s="711"/>
      <c r="O25" s="855"/>
      <c r="P25" s="855"/>
      <c r="Q25" s="350"/>
      <c r="R25" s="711"/>
      <c r="S25" s="711"/>
      <c r="T25" s="855"/>
      <c r="U25" s="855"/>
      <c r="V25" s="350"/>
      <c r="W25" s="711"/>
      <c r="X25" s="711"/>
      <c r="Y25" s="855"/>
      <c r="Z25" s="855"/>
      <c r="AA25" s="350"/>
      <c r="AB25" s="711"/>
      <c r="AC25" s="711"/>
      <c r="AD25" s="855"/>
      <c r="AE25" s="855"/>
      <c r="AF25" s="350"/>
      <c r="AG25" s="856">
        <v>16.4260943333333</v>
      </c>
      <c r="AH25" s="856">
        <v>15.977968000000001</v>
      </c>
      <c r="AI25" s="856">
        <v>16.207808</v>
      </c>
      <c r="AJ25" s="856">
        <v>17.236224666666701</v>
      </c>
      <c r="AK25" s="515">
        <v>16.46202375</v>
      </c>
      <c r="AL25" s="856">
        <v>17.738139</v>
      </c>
      <c r="AM25" s="856">
        <v>16.633941666666665</v>
      </c>
      <c r="AN25" s="856">
        <v>15.505186333333333</v>
      </c>
      <c r="AO25" s="856">
        <v>16.117697666666668</v>
      </c>
      <c r="AP25" s="515">
        <v>16.498741166666665</v>
      </c>
      <c r="AQ25" s="856">
        <v>16.987466000000001</v>
      </c>
      <c r="AR25" s="712">
        <v>16.000780333333335</v>
      </c>
      <c r="AS25" s="712">
        <v>14.976542333333335</v>
      </c>
      <c r="AT25" s="856">
        <v>17.669664000000001</v>
      </c>
      <c r="AU25" s="515">
        <f t="shared" si="2"/>
        <v>16.408613166666669</v>
      </c>
      <c r="AV25" s="717">
        <v>17.595576000000001</v>
      </c>
      <c r="AW25" s="717">
        <v>17.638991999999998</v>
      </c>
      <c r="AX25" s="717">
        <v>17.396370000000001</v>
      </c>
      <c r="AY25" s="717">
        <v>17.984159999999999</v>
      </c>
      <c r="AZ25" s="719">
        <f t="shared" si="3"/>
        <v>17.653774500000001</v>
      </c>
      <c r="BA25" s="717">
        <v>18.547865999999999</v>
      </c>
      <c r="BB25" s="717">
        <v>17.891604000000001</v>
      </c>
      <c r="BC25" s="717">
        <v>17.8767</v>
      </c>
      <c r="BD25" s="717">
        <v>18.523350000000001</v>
      </c>
      <c r="BE25" s="515">
        <f>AVERAGE(BA25:BD25)</f>
        <v>18.209879999999998</v>
      </c>
      <c r="BF25" s="717">
        <v>18.543654</v>
      </c>
      <c r="BG25" s="717">
        <v>19.399999999999999</v>
      </c>
      <c r="BH25" s="717">
        <v>18.916632</v>
      </c>
      <c r="BI25" s="717">
        <v>18.600000000000001</v>
      </c>
      <c r="BJ25" s="515">
        <f>AVERAGE(BF25:BI25)</f>
        <v>18.865071499999999</v>
      </c>
    </row>
    <row r="26" spans="2:62" s="135" customFormat="1" ht="20.149999999999999" customHeight="1">
      <c r="D26"/>
      <c r="E26"/>
      <c r="F26"/>
      <c r="G26"/>
      <c r="H26"/>
      <c r="I26"/>
      <c r="J26"/>
      <c r="K26"/>
      <c r="L26"/>
      <c r="M26"/>
      <c r="N26"/>
      <c r="O26"/>
      <c r="P26"/>
      <c r="Q26"/>
      <c r="R26"/>
      <c r="S26"/>
      <c r="T26"/>
      <c r="U26"/>
      <c r="V26"/>
      <c r="W26"/>
      <c r="X26"/>
      <c r="Y26"/>
      <c r="Z26"/>
      <c r="AA26"/>
      <c r="AB26"/>
      <c r="AC26"/>
      <c r="AD26"/>
      <c r="AE26"/>
      <c r="AF26"/>
      <c r="AK26"/>
      <c r="AP26"/>
      <c r="AU26"/>
      <c r="AZ26"/>
      <c r="BE26"/>
      <c r="BJ26"/>
    </row>
    <row r="27" spans="2:62" s="135" customFormat="1" ht="27.75" customHeight="1" thickBot="1">
      <c r="B27" s="160" t="s">
        <v>676</v>
      </c>
      <c r="C27" s="160" t="s">
        <v>677</v>
      </c>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K27"/>
      <c r="AP27"/>
      <c r="AU27"/>
      <c r="AZ27"/>
      <c r="BE27"/>
      <c r="BJ27"/>
    </row>
    <row r="28" spans="2:62" s="381" customFormat="1" ht="20.25" customHeight="1">
      <c r="B28" s="1072" t="s">
        <v>678</v>
      </c>
      <c r="C28" s="1072" t="s">
        <v>679</v>
      </c>
      <c r="D28" s="1070"/>
      <c r="E28" s="1071"/>
      <c r="F28" s="1071"/>
      <c r="G28" s="1068"/>
      <c r="H28" s="1070"/>
      <c r="I28" s="1071"/>
      <c r="J28" s="1071"/>
      <c r="K28" s="1071"/>
      <c r="L28" s="1068"/>
      <c r="M28" s="1070"/>
      <c r="N28" s="1071"/>
      <c r="O28" s="1071"/>
      <c r="P28" s="1071"/>
      <c r="Q28" s="1068"/>
      <c r="R28" s="1070"/>
      <c r="S28" s="1071"/>
      <c r="T28" s="1071"/>
      <c r="U28" s="1071"/>
      <c r="V28" s="1068"/>
      <c r="W28" s="1070"/>
      <c r="X28" s="1071"/>
      <c r="Y28" s="1071"/>
      <c r="Z28" s="1071"/>
      <c r="AA28" s="1068"/>
      <c r="AB28" s="1070"/>
      <c r="AC28" s="1071"/>
      <c r="AD28" s="1071"/>
      <c r="AE28" s="1071"/>
      <c r="AF28" s="1068"/>
      <c r="AG28" s="1070">
        <v>2018</v>
      </c>
      <c r="AH28" s="1071"/>
      <c r="AI28" s="1071"/>
      <c r="AJ28" s="1071"/>
      <c r="AK28" s="1068">
        <v>2018</v>
      </c>
      <c r="AL28" s="1070">
        <v>2019</v>
      </c>
      <c r="AM28" s="1071"/>
      <c r="AN28" s="1071"/>
      <c r="AO28" s="1071"/>
      <c r="AP28" s="1068">
        <v>2019</v>
      </c>
      <c r="AQ28" s="1070">
        <v>2020</v>
      </c>
      <c r="AR28" s="1071"/>
      <c r="AS28" s="1071"/>
      <c r="AT28" s="1071"/>
      <c r="AU28" s="1068">
        <v>2020</v>
      </c>
      <c r="AV28" s="1070">
        <f>AV2</f>
        <v>2021</v>
      </c>
      <c r="AW28" s="1071"/>
      <c r="AX28" s="1071"/>
      <c r="AY28" s="1071"/>
      <c r="AZ28" s="1068" t="s">
        <v>637</v>
      </c>
      <c r="BA28" s="1070">
        <f>BA2</f>
        <v>2022</v>
      </c>
      <c r="BB28" s="1071"/>
      <c r="BC28" s="1071"/>
      <c r="BD28" s="1071"/>
      <c r="BE28" s="1068" t="s">
        <v>638</v>
      </c>
      <c r="BF28" s="1070">
        <f>BF2</f>
        <v>2023</v>
      </c>
      <c r="BG28" s="1071"/>
      <c r="BH28" s="1071"/>
      <c r="BI28" s="1071"/>
      <c r="BJ28" s="1068" t="s">
        <v>680</v>
      </c>
    </row>
    <row r="29" spans="2:62" s="382" customFormat="1" ht="20.25" customHeight="1" thickBot="1">
      <c r="B29" s="1073"/>
      <c r="C29" s="1073"/>
      <c r="D29" s="358"/>
      <c r="E29" s="359"/>
      <c r="F29" s="359"/>
      <c r="G29" s="1069"/>
      <c r="H29" s="358"/>
      <c r="I29" s="359"/>
      <c r="J29" s="359"/>
      <c r="K29" s="359"/>
      <c r="L29" s="1069"/>
      <c r="M29" s="358"/>
      <c r="N29" s="359"/>
      <c r="O29" s="359"/>
      <c r="P29" s="359"/>
      <c r="Q29" s="1069"/>
      <c r="R29" s="358"/>
      <c r="S29" s="359"/>
      <c r="T29" s="359"/>
      <c r="U29" s="359"/>
      <c r="V29" s="1069"/>
      <c r="W29" s="358"/>
      <c r="X29" s="359"/>
      <c r="Y29" s="359"/>
      <c r="Z29" s="359"/>
      <c r="AA29" s="1069"/>
      <c r="AB29" s="358"/>
      <c r="AC29" s="359"/>
      <c r="AD29" s="359"/>
      <c r="AE29" s="359"/>
      <c r="AF29" s="1069"/>
      <c r="AG29" s="358" t="s">
        <v>581</v>
      </c>
      <c r="AH29" s="359" t="s">
        <v>582</v>
      </c>
      <c r="AI29" s="359" t="s">
        <v>583</v>
      </c>
      <c r="AJ29" s="359" t="s">
        <v>584</v>
      </c>
      <c r="AK29" s="1069"/>
      <c r="AL29" s="358" t="s">
        <v>581</v>
      </c>
      <c r="AM29" s="359" t="s">
        <v>582</v>
      </c>
      <c r="AN29" s="359" t="s">
        <v>583</v>
      </c>
      <c r="AO29" s="359" t="s">
        <v>584</v>
      </c>
      <c r="AP29" s="1069"/>
      <c r="AQ29" s="358" t="s">
        <v>581</v>
      </c>
      <c r="AR29" s="359" t="s">
        <v>582</v>
      </c>
      <c r="AS29" s="359" t="s">
        <v>583</v>
      </c>
      <c r="AT29" s="359" t="s">
        <v>584</v>
      </c>
      <c r="AU29" s="1069"/>
      <c r="AV29" s="358" t="s">
        <v>581</v>
      </c>
      <c r="AW29" s="359" t="s">
        <v>582</v>
      </c>
      <c r="AX29" s="359" t="s">
        <v>583</v>
      </c>
      <c r="AY29" s="359" t="s">
        <v>584</v>
      </c>
      <c r="AZ29" s="1069"/>
      <c r="BA29" s="358" t="s">
        <v>581</v>
      </c>
      <c r="BB29" s="359" t="s">
        <v>582</v>
      </c>
      <c r="BC29" s="359" t="s">
        <v>583</v>
      </c>
      <c r="BD29" s="359" t="s">
        <v>584</v>
      </c>
      <c r="BE29" s="1069"/>
      <c r="BF29" s="358" t="s">
        <v>581</v>
      </c>
      <c r="BG29" s="359" t="s">
        <v>582</v>
      </c>
      <c r="BH29" s="359" t="s">
        <v>583</v>
      </c>
      <c r="BI29" s="359" t="s">
        <v>584</v>
      </c>
      <c r="BJ29" s="1069"/>
    </row>
    <row r="30" spans="2:62" s="162" customFormat="1" ht="20.149999999999999" customHeight="1">
      <c r="B30" s="152" t="s">
        <v>681</v>
      </c>
      <c r="C30" s="152" t="s">
        <v>682</v>
      </c>
      <c r="D30" s="154"/>
      <c r="E30" s="154"/>
      <c r="F30" s="154"/>
      <c r="G30" s="349"/>
      <c r="H30" s="154"/>
      <c r="I30" s="154"/>
      <c r="J30" s="154"/>
      <c r="K30" s="154"/>
      <c r="L30" s="349"/>
      <c r="M30" s="154"/>
      <c r="N30" s="154"/>
      <c r="O30" s="154"/>
      <c r="P30" s="154"/>
      <c r="Q30" s="349"/>
      <c r="R30" s="154"/>
      <c r="S30" s="154"/>
      <c r="T30" s="154"/>
      <c r="U30" s="154"/>
      <c r="V30" s="349"/>
      <c r="W30" s="154"/>
      <c r="X30" s="154"/>
      <c r="Y30" s="154"/>
      <c r="Z30" s="154"/>
      <c r="AA30" s="349"/>
      <c r="AB30" s="154"/>
      <c r="AC30" s="154"/>
      <c r="AD30" s="154"/>
      <c r="AE30" s="154"/>
      <c r="AF30" s="349"/>
      <c r="AG30" s="161">
        <v>119.246591</v>
      </c>
      <c r="AH30" s="161">
        <v>122.659119</v>
      </c>
      <c r="AI30" s="161">
        <v>115.47829</v>
      </c>
      <c r="AJ30" s="161">
        <v>124.290809</v>
      </c>
      <c r="AK30" s="520">
        <v>120.418702</v>
      </c>
      <c r="AL30" s="161">
        <v>141.89801766666699</v>
      </c>
      <c r="AM30" s="161">
        <v>142.39620733333334</v>
      </c>
      <c r="AN30" s="161">
        <v>147.647065</v>
      </c>
      <c r="AO30" s="161">
        <v>147.21163000000001</v>
      </c>
      <c r="AP30" s="520">
        <v>144.52833590909091</v>
      </c>
      <c r="AQ30" s="161">
        <v>156.99415033333335</v>
      </c>
      <c r="AR30" s="161">
        <v>175.901262</v>
      </c>
      <c r="AS30" s="153">
        <v>1489.1514456666669</v>
      </c>
      <c r="AT30" s="154">
        <v>1713.2906539999999</v>
      </c>
      <c r="AU30" s="520">
        <f>AVERAGE(AQ30:AT30)</f>
        <v>883.83437800000002</v>
      </c>
      <c r="AV30" s="153">
        <v>1739.0040570000001</v>
      </c>
      <c r="AW30" s="153">
        <v>2028.1014210000001</v>
      </c>
      <c r="AX30" s="153">
        <v>1995.4577059999999</v>
      </c>
      <c r="AY30" s="153">
        <v>1963.315611</v>
      </c>
      <c r="AZ30" s="517">
        <f>AVERAGE(AV30:AY30)</f>
        <v>1931.4696987500001</v>
      </c>
      <c r="BA30" s="153">
        <v>2170.3631930000001</v>
      </c>
      <c r="BB30" s="153">
        <v>2022.7836483333333</v>
      </c>
      <c r="BC30" s="153">
        <v>1970.2891830000001</v>
      </c>
      <c r="BD30" s="153">
        <v>2016.2877403333332</v>
      </c>
      <c r="BE30" s="517">
        <f>AVERAGE(BA30:BD30)</f>
        <v>2044.9309411666666</v>
      </c>
      <c r="BF30" s="153">
        <v>1937.6943776666667</v>
      </c>
      <c r="BG30" s="153">
        <v>1901</v>
      </c>
      <c r="BH30" s="153">
        <v>1943.9644653333332</v>
      </c>
      <c r="BI30" s="153">
        <v>1981.9090626666668</v>
      </c>
      <c r="BJ30" s="517">
        <f>AVERAGE(BF30:BI30)</f>
        <v>1941.1419764166667</v>
      </c>
    </row>
    <row r="31" spans="2:62" s="135" customFormat="1" ht="20.149999999999999" customHeight="1">
      <c r="B31" s="851" t="s">
        <v>668</v>
      </c>
      <c r="C31" s="851" t="s">
        <v>669</v>
      </c>
      <c r="D31" s="145"/>
      <c r="E31" s="145"/>
      <c r="F31" s="145"/>
      <c r="G31" s="349"/>
      <c r="H31" s="145"/>
      <c r="I31" s="145"/>
      <c r="J31" s="145"/>
      <c r="K31" s="145"/>
      <c r="L31" s="349"/>
      <c r="M31" s="145"/>
      <c r="N31" s="145"/>
      <c r="O31" s="145"/>
      <c r="P31" s="145"/>
      <c r="Q31" s="349"/>
      <c r="R31" s="145"/>
      <c r="S31" s="145"/>
      <c r="T31" s="145"/>
      <c r="U31" s="145"/>
      <c r="V31" s="349"/>
      <c r="W31" s="145"/>
      <c r="X31" s="145"/>
      <c r="Y31" s="145"/>
      <c r="Z31" s="145"/>
      <c r="AA31" s="349"/>
      <c r="AB31" s="145"/>
      <c r="AC31" s="145"/>
      <c r="AD31" s="145"/>
      <c r="AE31" s="145"/>
      <c r="AF31" s="349"/>
      <c r="AG31" s="94">
        <v>3986.0391209999998</v>
      </c>
      <c r="AH31" s="94">
        <v>2843.8153569999999</v>
      </c>
      <c r="AI31" s="94">
        <v>2795.8327979999999</v>
      </c>
      <c r="AJ31" s="94">
        <v>2824.1565719999999</v>
      </c>
      <c r="AK31" s="518">
        <v>3112.4609620000001</v>
      </c>
      <c r="AL31" s="94">
        <v>3067.8559336666667</v>
      </c>
      <c r="AM31" s="94">
        <v>2816.4148613333336</v>
      </c>
      <c r="AN31" s="94">
        <v>2891.7096685000001</v>
      </c>
      <c r="AO31" s="94">
        <v>2865.860862</v>
      </c>
      <c r="AP31" s="518">
        <v>2912.164937090909</v>
      </c>
      <c r="AQ31" s="94">
        <v>3348.4315183333333</v>
      </c>
      <c r="AR31" s="94">
        <v>3454.8804993333333</v>
      </c>
      <c r="AS31" s="94">
        <v>2850.2637966666666</v>
      </c>
      <c r="AT31" s="145">
        <v>3489.1977529999999</v>
      </c>
      <c r="AU31" s="518">
        <f>AVERAGE(AQ31:AT31)</f>
        <v>3285.6933918333334</v>
      </c>
      <c r="AV31" s="94">
        <v>3448.092208</v>
      </c>
      <c r="AW31" s="94">
        <v>3363.2307430000001</v>
      </c>
      <c r="AX31" s="94">
        <v>3250.0863800000002</v>
      </c>
      <c r="AY31" s="94">
        <v>3592.842443</v>
      </c>
      <c r="AZ31" s="518">
        <f>AVERAGE(AV31:AY31)</f>
        <v>3413.5629435000001</v>
      </c>
      <c r="BA31" s="94">
        <v>4208.8861299999999</v>
      </c>
      <c r="BB31" s="94">
        <v>3907.9663673333334</v>
      </c>
      <c r="BC31" s="94">
        <v>3675.5723446666666</v>
      </c>
      <c r="BD31" s="94">
        <v>3774.7006889999998</v>
      </c>
      <c r="BE31" s="518">
        <f>AVERAGE(BA31:BD31)</f>
        <v>3891.7813827499999</v>
      </c>
      <c r="BF31" s="94">
        <v>3714.641404</v>
      </c>
      <c r="BG31" s="94">
        <v>3368</v>
      </c>
      <c r="BH31" s="94">
        <v>3294.5533236666665</v>
      </c>
      <c r="BI31" s="94">
        <v>3598.3460009999999</v>
      </c>
      <c r="BJ31" s="518">
        <f>AVERAGE(BF31:BI31)</f>
        <v>3493.8851821666667</v>
      </c>
    </row>
    <row r="32" spans="2:62" s="135" customFormat="1" ht="20.149999999999999" customHeight="1">
      <c r="B32" s="851" t="s">
        <v>670</v>
      </c>
      <c r="C32" s="851" t="s">
        <v>671</v>
      </c>
      <c r="D32" s="139"/>
      <c r="E32" s="139"/>
      <c r="F32" s="139"/>
      <c r="G32" s="349"/>
      <c r="H32" s="139"/>
      <c r="I32" s="139"/>
      <c r="J32" s="139"/>
      <c r="K32" s="139"/>
      <c r="L32" s="349"/>
      <c r="M32" s="139"/>
      <c r="N32" s="139"/>
      <c r="O32" s="139"/>
      <c r="P32" s="139"/>
      <c r="Q32" s="349"/>
      <c r="R32" s="139"/>
      <c r="S32" s="139"/>
      <c r="T32" s="139"/>
      <c r="U32" s="139"/>
      <c r="V32" s="349"/>
      <c r="W32" s="139"/>
      <c r="X32" s="139"/>
      <c r="Y32" s="139"/>
      <c r="Z32" s="139"/>
      <c r="AA32" s="349"/>
      <c r="AB32" s="139"/>
      <c r="AC32" s="139"/>
      <c r="AD32" s="139"/>
      <c r="AE32" s="139"/>
      <c r="AF32" s="349"/>
      <c r="AG32" s="94">
        <v>3147.101705</v>
      </c>
      <c r="AH32" s="94">
        <v>2634.622558</v>
      </c>
      <c r="AI32" s="94">
        <v>2262.472448</v>
      </c>
      <c r="AJ32" s="94">
        <v>1989.323279</v>
      </c>
      <c r="AK32" s="518">
        <v>2508.379997</v>
      </c>
      <c r="AL32" s="94">
        <v>2306.4432736666663</v>
      </c>
      <c r="AM32" s="94">
        <v>2056.0130949999998</v>
      </c>
      <c r="AN32" s="94">
        <v>2009.5032535</v>
      </c>
      <c r="AO32" s="94">
        <v>2040.8401793333333</v>
      </c>
      <c r="AP32" s="518">
        <v>2111.7178319090908</v>
      </c>
      <c r="AQ32" s="94">
        <v>2424.047912</v>
      </c>
      <c r="AR32" s="94">
        <v>2514.4230903333337</v>
      </c>
      <c r="AS32" s="94">
        <v>2247.1015526666665</v>
      </c>
      <c r="AT32" s="145">
        <v>2523.0223740000001</v>
      </c>
      <c r="AU32" s="518">
        <f t="shared" ref="AU32:AU34" si="4">AVERAGE(AQ32:AT32)</f>
        <v>2427.1487322500002</v>
      </c>
      <c r="AV32" s="94">
        <v>2360.7921510000001</v>
      </c>
      <c r="AW32" s="94">
        <v>2293.3762510000001</v>
      </c>
      <c r="AX32" s="94">
        <v>2353.431529</v>
      </c>
      <c r="AY32" s="94">
        <v>2488.5984250000001</v>
      </c>
      <c r="AZ32" s="518">
        <f t="shared" ref="AZ32:AZ34" si="5">AVERAGE(AV32:AY32)</f>
        <v>2374.0495890000002</v>
      </c>
      <c r="BA32" s="94">
        <v>3253.3832609999999</v>
      </c>
      <c r="BB32" s="94">
        <v>2762.1132349999998</v>
      </c>
      <c r="BC32" s="94">
        <v>2627.8295539999999</v>
      </c>
      <c r="BD32" s="94">
        <v>2698.7417666666665</v>
      </c>
      <c r="BE32" s="518">
        <f>AVERAGE(BA32:BD32)</f>
        <v>2835.5169541666664</v>
      </c>
      <c r="BF32" s="94">
        <v>2675.1429913333336</v>
      </c>
      <c r="BG32" s="94">
        <v>2433</v>
      </c>
      <c r="BH32" s="94">
        <v>2428.8323660000001</v>
      </c>
      <c r="BI32" s="94">
        <v>2752.8977966666666</v>
      </c>
      <c r="BJ32" s="518">
        <f>AVERAGE(BF32:BI32)</f>
        <v>2572.4682885000002</v>
      </c>
    </row>
    <row r="33" spans="2:62" s="135" customFormat="1" ht="20.149999999999999" customHeight="1">
      <c r="B33" s="851" t="s">
        <v>672</v>
      </c>
      <c r="C33" s="851" t="s">
        <v>673</v>
      </c>
      <c r="D33" s="353"/>
      <c r="E33" s="353"/>
      <c r="F33" s="852"/>
      <c r="G33" s="349"/>
      <c r="H33" s="353"/>
      <c r="I33" s="353"/>
      <c r="J33" s="852"/>
      <c r="K33" s="852"/>
      <c r="L33" s="349"/>
      <c r="M33" s="353"/>
      <c r="N33" s="353"/>
      <c r="O33" s="852"/>
      <c r="P33" s="852"/>
      <c r="Q33" s="349"/>
      <c r="R33" s="353"/>
      <c r="S33" s="353"/>
      <c r="T33" s="852"/>
      <c r="U33" s="852"/>
      <c r="V33" s="349"/>
      <c r="W33" s="353"/>
      <c r="X33" s="353"/>
      <c r="Y33" s="852"/>
      <c r="Z33" s="852"/>
      <c r="AA33" s="349"/>
      <c r="AB33" s="353"/>
      <c r="AC33" s="353"/>
      <c r="AD33" s="852"/>
      <c r="AE33" s="852"/>
      <c r="AF33" s="349"/>
      <c r="AG33" s="857">
        <v>496.51288099999999</v>
      </c>
      <c r="AH33" s="857">
        <v>494.34597000000002</v>
      </c>
      <c r="AI33" s="857">
        <v>475.84753799999999</v>
      </c>
      <c r="AJ33" s="857">
        <v>550.75379799999996</v>
      </c>
      <c r="AK33" s="518">
        <v>504.365047</v>
      </c>
      <c r="AL33" s="857">
        <v>653.34457066666664</v>
      </c>
      <c r="AM33" s="857">
        <v>688.13588766666658</v>
      </c>
      <c r="AN33" s="857">
        <v>704.99070133333339</v>
      </c>
      <c r="AO33" s="857">
        <v>733.35113000000001</v>
      </c>
      <c r="AP33" s="518">
        <v>694.95557241666666</v>
      </c>
      <c r="AQ33" s="857">
        <v>908.30737366666665</v>
      </c>
      <c r="AR33" s="857">
        <v>796.95762233333335</v>
      </c>
      <c r="AS33" s="857">
        <v>826.83673199999998</v>
      </c>
      <c r="AT33" s="145">
        <v>914.32968500000004</v>
      </c>
      <c r="AU33" s="518">
        <f t="shared" si="4"/>
        <v>861.60785324999995</v>
      </c>
      <c r="AV33" s="857">
        <v>918.73843299999999</v>
      </c>
      <c r="AW33" s="857">
        <v>816.42182000000003</v>
      </c>
      <c r="AX33" s="857">
        <v>824.29132700000002</v>
      </c>
      <c r="AY33" s="857">
        <v>859.91131800000005</v>
      </c>
      <c r="AZ33" s="518">
        <f t="shared" si="5"/>
        <v>854.84072449999996</v>
      </c>
      <c r="BA33" s="857">
        <v>830.924621</v>
      </c>
      <c r="BB33" s="857">
        <v>832.0364933333334</v>
      </c>
      <c r="BC33" s="857">
        <v>777.37135566666666</v>
      </c>
      <c r="BD33" s="857">
        <v>861.91970433333336</v>
      </c>
      <c r="BE33" s="518">
        <f>AVERAGE(BA33:BD33)</f>
        <v>825.56304358333341</v>
      </c>
      <c r="BF33" s="857">
        <v>1022.4914056666667</v>
      </c>
      <c r="BG33" s="897">
        <v>675</v>
      </c>
      <c r="BH33" s="857">
        <v>690.1505566666666</v>
      </c>
      <c r="BI33" s="857">
        <v>935.58436700000004</v>
      </c>
      <c r="BJ33" s="518">
        <f>AVERAGE(BF33:BI33)</f>
        <v>830.80658233333327</v>
      </c>
    </row>
    <row r="34" spans="2:62" s="135" customFormat="1" ht="20.149999999999999" customHeight="1" thickBot="1">
      <c r="B34" s="854" t="s">
        <v>674</v>
      </c>
      <c r="C34" s="854" t="s">
        <v>675</v>
      </c>
      <c r="D34" s="711"/>
      <c r="E34" s="711"/>
      <c r="F34" s="855"/>
      <c r="G34" s="350"/>
      <c r="H34" s="711"/>
      <c r="I34" s="711"/>
      <c r="J34" s="855"/>
      <c r="K34" s="855"/>
      <c r="L34" s="350"/>
      <c r="M34" s="711"/>
      <c r="N34" s="711"/>
      <c r="O34" s="855"/>
      <c r="P34" s="855"/>
      <c r="Q34" s="350"/>
      <c r="R34" s="711"/>
      <c r="S34" s="711"/>
      <c r="T34" s="855"/>
      <c r="U34" s="855"/>
      <c r="V34" s="350"/>
      <c r="W34" s="711"/>
      <c r="X34" s="711"/>
      <c r="Y34" s="855"/>
      <c r="Z34" s="855"/>
      <c r="AA34" s="350"/>
      <c r="AB34" s="711"/>
      <c r="AC34" s="711"/>
      <c r="AD34" s="855"/>
      <c r="AE34" s="855"/>
      <c r="AF34" s="350"/>
      <c r="AG34" s="858">
        <v>701.28572999999994</v>
      </c>
      <c r="AH34" s="858">
        <v>632.023324</v>
      </c>
      <c r="AI34" s="858">
        <v>599.56303200000002</v>
      </c>
      <c r="AJ34" s="858">
        <v>627.25341200000003</v>
      </c>
      <c r="AK34" s="519">
        <v>640.03137500000003</v>
      </c>
      <c r="AL34" s="858">
        <v>652.00119633333338</v>
      </c>
      <c r="AM34" s="858">
        <v>532.50463433333334</v>
      </c>
      <c r="AN34" s="858">
        <v>542.2565065</v>
      </c>
      <c r="AO34" s="858">
        <v>522.11580900000001</v>
      </c>
      <c r="AP34" s="519">
        <v>564.03435745454544</v>
      </c>
      <c r="AQ34" s="858">
        <v>645.25113733333342</v>
      </c>
      <c r="AR34" s="713">
        <v>585.152736</v>
      </c>
      <c r="AS34" s="713">
        <v>505.00412899999998</v>
      </c>
      <c r="AT34" s="714">
        <v>608.30699400000003</v>
      </c>
      <c r="AU34" s="519">
        <f t="shared" si="4"/>
        <v>585.92874908333329</v>
      </c>
      <c r="AV34" s="718">
        <v>589.85531400000002</v>
      </c>
      <c r="AW34" s="718">
        <v>572.48614299999997</v>
      </c>
      <c r="AX34" s="718">
        <v>605.14870599999995</v>
      </c>
      <c r="AY34" s="718">
        <v>608.22494300000005</v>
      </c>
      <c r="AZ34" s="720">
        <f t="shared" si="5"/>
        <v>593.92877650000003</v>
      </c>
      <c r="BA34" s="718">
        <v>708.24070340000003</v>
      </c>
      <c r="BB34" s="718">
        <v>574.09954033333338</v>
      </c>
      <c r="BC34" s="718">
        <v>594.76668800000004</v>
      </c>
      <c r="BD34" s="718">
        <v>671.62155900000005</v>
      </c>
      <c r="BE34" s="720">
        <f>AVERAGE(BA34:BD34)</f>
        <v>637.18212268333343</v>
      </c>
      <c r="BF34" s="718">
        <v>663.36616300000003</v>
      </c>
      <c r="BG34" s="718">
        <v>670</v>
      </c>
      <c r="BH34" s="718">
        <v>833.66920233333337</v>
      </c>
      <c r="BI34" s="718">
        <v>761.94536466666659</v>
      </c>
      <c r="BJ34" s="720">
        <f>AVERAGE(BF34:BI34)</f>
        <v>732.24518250000006</v>
      </c>
    </row>
    <row r="35" spans="2:62" s="135" customFormat="1" ht="20.149999999999999" customHeight="1">
      <c r="D35"/>
      <c r="E35"/>
      <c r="F35"/>
      <c r="G35"/>
      <c r="H35"/>
      <c r="I35"/>
      <c r="J35"/>
      <c r="K35"/>
      <c r="L35"/>
      <c r="M35"/>
      <c r="N35"/>
      <c r="O35"/>
      <c r="P35"/>
      <c r="Q35"/>
      <c r="R35"/>
      <c r="S35"/>
      <c r="T35"/>
      <c r="U35"/>
      <c r="V35"/>
      <c r="W35"/>
      <c r="X35"/>
      <c r="Y35"/>
      <c r="Z35"/>
      <c r="AA35"/>
      <c r="AB35"/>
      <c r="AC35"/>
      <c r="AD35"/>
      <c r="AE35"/>
      <c r="AF35"/>
      <c r="AK35"/>
      <c r="AP35"/>
      <c r="AU35"/>
      <c r="AZ35"/>
      <c r="BE35"/>
      <c r="BJ35"/>
    </row>
    <row r="36" spans="2:62" s="135" customFormat="1" ht="252">
      <c r="B36" s="148" t="s">
        <v>683</v>
      </c>
      <c r="C36" s="148" t="s">
        <v>684</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K36"/>
      <c r="AP36"/>
      <c r="AR36"/>
      <c r="AS36" s="186"/>
      <c r="AT36" s="186"/>
      <c r="AU36"/>
      <c r="AW36"/>
      <c r="AX36" s="186"/>
      <c r="AY36" s="186"/>
      <c r="AZ36"/>
      <c r="BB36"/>
      <c r="BC36" s="186"/>
      <c r="BD36" s="186"/>
      <c r="BE36"/>
      <c r="BG36"/>
      <c r="BH36" s="186"/>
      <c r="BI36" s="186"/>
      <c r="BJ36"/>
    </row>
    <row r="66" spans="1:40">
      <c r="A66"/>
      <c r="AM66"/>
      <c r="AN66"/>
    </row>
    <row r="67" spans="1:40">
      <c r="A67"/>
      <c r="AM67"/>
      <c r="AN67"/>
    </row>
  </sheetData>
  <mergeCells count="78">
    <mergeCell ref="L2:L3"/>
    <mergeCell ref="B2:B3"/>
    <mergeCell ref="C2:C3"/>
    <mergeCell ref="D2:F2"/>
    <mergeCell ref="G2:G3"/>
    <mergeCell ref="H2:K2"/>
    <mergeCell ref="AP2:AP3"/>
    <mergeCell ref="M2:P2"/>
    <mergeCell ref="Q2:Q3"/>
    <mergeCell ref="R2:U2"/>
    <mergeCell ref="V2:V3"/>
    <mergeCell ref="W2:Z2"/>
    <mergeCell ref="AA2:AA3"/>
    <mergeCell ref="AB2:AE2"/>
    <mergeCell ref="AF2:AF3"/>
    <mergeCell ref="AG2:AJ2"/>
    <mergeCell ref="AK2:AK3"/>
    <mergeCell ref="AL2:AO2"/>
    <mergeCell ref="BF2:BI2"/>
    <mergeCell ref="BJ2:BJ3"/>
    <mergeCell ref="B19:B20"/>
    <mergeCell ref="C19:C20"/>
    <mergeCell ref="D19:F19"/>
    <mergeCell ref="G19:G20"/>
    <mergeCell ref="H19:K19"/>
    <mergeCell ref="L19:L20"/>
    <mergeCell ref="M19:P19"/>
    <mergeCell ref="Q19:Q20"/>
    <mergeCell ref="AQ2:AT2"/>
    <mergeCell ref="AU2:AU3"/>
    <mergeCell ref="AV2:AY2"/>
    <mergeCell ref="AZ2:AZ3"/>
    <mergeCell ref="BA2:BD2"/>
    <mergeCell ref="BE2:BE3"/>
    <mergeCell ref="BF19:BI19"/>
    <mergeCell ref="BJ19:BJ20"/>
    <mergeCell ref="AG19:AJ19"/>
    <mergeCell ref="AK19:AK20"/>
    <mergeCell ref="AL19:AO19"/>
    <mergeCell ref="AP19:AP20"/>
    <mergeCell ref="AQ19:AT19"/>
    <mergeCell ref="AU19:AU20"/>
    <mergeCell ref="L28:L29"/>
    <mergeCell ref="AV19:AY19"/>
    <mergeCell ref="AZ19:AZ20"/>
    <mergeCell ref="BA19:BD19"/>
    <mergeCell ref="BE19:BE20"/>
    <mergeCell ref="R19:U19"/>
    <mergeCell ref="V19:V20"/>
    <mergeCell ref="W19:Z19"/>
    <mergeCell ref="AA19:AA20"/>
    <mergeCell ref="AB19:AE19"/>
    <mergeCell ref="AF19:AF20"/>
    <mergeCell ref="AP28:AP29"/>
    <mergeCell ref="M28:P28"/>
    <mergeCell ref="Q28:Q29"/>
    <mergeCell ref="R28:U28"/>
    <mergeCell ref="V28:V29"/>
    <mergeCell ref="B28:B29"/>
    <mergeCell ref="C28:C29"/>
    <mergeCell ref="D28:F28"/>
    <mergeCell ref="G28:G29"/>
    <mergeCell ref="H28:K28"/>
    <mergeCell ref="W28:Z28"/>
    <mergeCell ref="AA28:AA29"/>
    <mergeCell ref="AB28:AE28"/>
    <mergeCell ref="AF28:AF29"/>
    <mergeCell ref="AG28:AJ28"/>
    <mergeCell ref="AK28:AK29"/>
    <mergeCell ref="AL28:AO28"/>
    <mergeCell ref="BF28:BI28"/>
    <mergeCell ref="BJ28:BJ29"/>
    <mergeCell ref="AQ28:AT28"/>
    <mergeCell ref="AU28:AU29"/>
    <mergeCell ref="AV28:AY28"/>
    <mergeCell ref="AZ28:AZ29"/>
    <mergeCell ref="BA28:BD28"/>
    <mergeCell ref="BE28:BE29"/>
  </mergeCells>
  <pageMargins left="0.7" right="0.7" top="0.75" bottom="0.75" header="0.3" footer="0.3"/>
  <pageSetup paperSize="9" orientation="portrait"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O718"/>
  <sheetViews>
    <sheetView showGridLines="0" zoomScale="85" zoomScaleNormal="85" zoomScaleSheetLayoutView="100" workbookViewId="0">
      <pane xSplit="2" topLeftCell="C1" activePane="topRight" state="frozen"/>
      <selection pane="topRight" activeCell="O2" sqref="O2"/>
    </sheetView>
  </sheetViews>
  <sheetFormatPr defaultColWidth="9" defaultRowHeight="14.5"/>
  <cols>
    <col min="1" max="1" width="43.1640625" style="166" customWidth="1"/>
    <col min="2" max="2" width="42.4140625" style="166" customWidth="1"/>
    <col min="3" max="3" width="9.1640625" style="165" bestFit="1" customWidth="1"/>
    <col min="4" max="7" width="9" style="165"/>
    <col min="8" max="8" width="9.1640625" style="165" bestFit="1" customWidth="1"/>
    <col min="9" max="431" width="9" style="165"/>
    <col min="432" max="16384" width="9" style="166"/>
  </cols>
  <sheetData>
    <row r="1" spans="1:431" ht="89.25" customHeight="1">
      <c r="A1" s="2"/>
      <c r="B1" s="3"/>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c r="AQ1" s="865"/>
      <c r="AR1" s="865"/>
      <c r="AS1" s="865"/>
      <c r="AT1" s="865"/>
      <c r="AU1" s="865"/>
      <c r="AV1" s="865"/>
      <c r="AW1" s="865"/>
      <c r="AX1" s="865"/>
      <c r="AY1" s="865"/>
      <c r="AZ1" s="865"/>
      <c r="BA1" s="865"/>
      <c r="BB1" s="865"/>
      <c r="BC1" s="865"/>
      <c r="BD1" s="865"/>
      <c r="BE1" s="865"/>
      <c r="BF1" s="865"/>
      <c r="BG1" s="865"/>
      <c r="BH1" s="865"/>
      <c r="BI1" s="865"/>
      <c r="BJ1" s="865"/>
      <c r="BK1" s="865"/>
      <c r="BL1" s="865"/>
      <c r="BM1" s="865"/>
      <c r="BN1" s="865"/>
      <c r="BO1" s="865"/>
      <c r="BP1" s="865"/>
      <c r="BQ1" s="865"/>
      <c r="BR1" s="865"/>
      <c r="BS1" s="865"/>
      <c r="BT1" s="865"/>
      <c r="BU1" s="865"/>
      <c r="BV1" s="865"/>
      <c r="BW1" s="865"/>
      <c r="BX1" s="865"/>
      <c r="BY1" s="865"/>
      <c r="BZ1" s="865"/>
      <c r="CA1" s="865"/>
      <c r="CB1" s="865"/>
      <c r="CC1" s="865"/>
      <c r="CD1" s="865"/>
      <c r="CE1" s="865"/>
      <c r="CF1" s="865"/>
      <c r="CG1" s="865"/>
      <c r="CH1" s="865"/>
      <c r="CI1" s="865"/>
      <c r="CJ1" s="865"/>
      <c r="CK1" s="865"/>
      <c r="CL1" s="865"/>
      <c r="CM1" s="865"/>
      <c r="CN1" s="865"/>
      <c r="CO1" s="865"/>
      <c r="CP1" s="865"/>
      <c r="CQ1" s="865"/>
      <c r="CR1" s="865"/>
      <c r="CS1" s="865"/>
      <c r="CT1" s="865"/>
      <c r="CU1" s="865"/>
      <c r="CV1" s="865"/>
      <c r="CW1" s="865"/>
      <c r="CX1" s="865"/>
      <c r="CY1" s="865"/>
      <c r="CZ1" s="865"/>
      <c r="DA1" s="865"/>
      <c r="DB1" s="865"/>
      <c r="DC1" s="865"/>
      <c r="DD1" s="865"/>
      <c r="DE1" s="865"/>
      <c r="DF1" s="865"/>
      <c r="DG1" s="865"/>
      <c r="DH1" s="865"/>
      <c r="DI1" s="865"/>
      <c r="DJ1" s="865"/>
      <c r="DK1" s="865"/>
      <c r="DL1" s="865"/>
      <c r="DM1" s="865"/>
      <c r="DN1" s="865"/>
      <c r="DO1" s="865"/>
      <c r="DP1" s="865"/>
      <c r="DQ1" s="865"/>
      <c r="DR1" s="865"/>
      <c r="DS1" s="865"/>
      <c r="DT1" s="865"/>
      <c r="DU1" s="865"/>
      <c r="DV1" s="865"/>
      <c r="DW1" s="865"/>
      <c r="DX1" s="865"/>
      <c r="DY1" s="865"/>
      <c r="DZ1" s="865"/>
      <c r="EA1" s="865"/>
      <c r="EB1" s="865"/>
      <c r="EC1" s="865"/>
      <c r="ED1" s="865"/>
      <c r="EE1" s="865"/>
      <c r="EF1" s="865"/>
      <c r="EG1" s="865"/>
      <c r="EH1" s="865"/>
      <c r="EI1" s="865"/>
      <c r="EJ1" s="865"/>
      <c r="EK1" s="865"/>
      <c r="EL1" s="865"/>
      <c r="EM1" s="865"/>
      <c r="EN1" s="865"/>
      <c r="EO1" s="865"/>
      <c r="EP1" s="865"/>
      <c r="EQ1" s="865"/>
      <c r="ER1" s="865"/>
      <c r="ES1" s="865"/>
      <c r="ET1" s="865"/>
      <c r="EU1" s="865"/>
      <c r="EV1" s="865"/>
      <c r="EW1" s="865"/>
      <c r="EX1" s="865"/>
      <c r="EY1" s="865"/>
      <c r="EZ1" s="865"/>
      <c r="FA1" s="865"/>
      <c r="FB1" s="865"/>
      <c r="FC1" s="865"/>
      <c r="FD1" s="865"/>
      <c r="FE1" s="865"/>
      <c r="FF1" s="865"/>
      <c r="FG1" s="865"/>
      <c r="FH1" s="865"/>
      <c r="FI1" s="865"/>
      <c r="FJ1" s="865"/>
      <c r="FK1" s="865"/>
      <c r="FL1" s="865"/>
      <c r="FM1" s="865"/>
      <c r="FN1" s="865"/>
      <c r="FO1" s="865"/>
      <c r="FP1" s="865"/>
      <c r="FQ1" s="865"/>
      <c r="FR1" s="865"/>
      <c r="FS1" s="865"/>
      <c r="FT1" s="865"/>
      <c r="FU1" s="865"/>
      <c r="FV1" s="865"/>
      <c r="FW1" s="865"/>
      <c r="FX1" s="865"/>
      <c r="FY1" s="865"/>
      <c r="FZ1" s="865"/>
      <c r="GA1" s="865"/>
      <c r="GB1" s="865"/>
      <c r="GC1" s="865"/>
      <c r="GD1" s="865"/>
      <c r="GE1" s="865"/>
      <c r="GF1" s="865"/>
      <c r="GG1" s="865"/>
      <c r="GH1" s="865"/>
      <c r="GI1" s="865"/>
      <c r="GJ1" s="865"/>
      <c r="GK1" s="865"/>
      <c r="GL1" s="865"/>
      <c r="GM1" s="865"/>
      <c r="GN1" s="865"/>
      <c r="GO1" s="865"/>
      <c r="GP1" s="865"/>
      <c r="GQ1" s="865"/>
      <c r="GR1" s="865"/>
      <c r="GS1" s="865"/>
      <c r="GT1" s="865"/>
      <c r="GU1" s="865"/>
      <c r="GV1" s="865"/>
      <c r="GW1" s="865"/>
      <c r="GX1" s="865"/>
      <c r="GY1" s="865"/>
      <c r="GZ1" s="865"/>
      <c r="HA1" s="865"/>
      <c r="HB1" s="865"/>
      <c r="HC1" s="865"/>
      <c r="HD1" s="865"/>
      <c r="HE1" s="865"/>
      <c r="HF1" s="865"/>
      <c r="HG1" s="865"/>
      <c r="HH1" s="865"/>
      <c r="HI1" s="865"/>
      <c r="HJ1" s="865"/>
      <c r="HK1" s="865"/>
      <c r="HL1" s="865"/>
      <c r="HM1" s="865"/>
      <c r="HN1" s="865"/>
      <c r="HO1" s="865"/>
      <c r="HP1" s="865"/>
      <c r="HQ1" s="865"/>
      <c r="HR1" s="865"/>
      <c r="HS1" s="865"/>
      <c r="HT1" s="865"/>
      <c r="HU1" s="865"/>
      <c r="HV1" s="865"/>
      <c r="HW1" s="865"/>
      <c r="HX1" s="865"/>
      <c r="HY1" s="865"/>
      <c r="HZ1" s="865"/>
      <c r="IA1" s="865"/>
      <c r="IB1" s="865"/>
      <c r="IC1" s="865"/>
      <c r="ID1" s="865"/>
      <c r="IE1" s="865"/>
      <c r="IF1" s="865"/>
      <c r="IG1" s="865"/>
      <c r="IH1" s="865"/>
      <c r="II1" s="865"/>
      <c r="IJ1" s="865"/>
      <c r="IK1" s="865"/>
      <c r="IL1" s="865"/>
      <c r="IM1" s="865"/>
      <c r="IN1" s="865"/>
      <c r="IO1" s="865"/>
      <c r="IP1" s="865"/>
      <c r="IQ1" s="865"/>
      <c r="IR1" s="865"/>
      <c r="IS1" s="865"/>
      <c r="IT1" s="865"/>
      <c r="IU1" s="865"/>
      <c r="IV1" s="865"/>
      <c r="IW1" s="865"/>
      <c r="IX1" s="865"/>
      <c r="IY1" s="865"/>
      <c r="IZ1" s="865"/>
      <c r="JA1" s="865"/>
      <c r="JB1" s="865"/>
      <c r="JC1" s="865"/>
      <c r="JD1" s="865"/>
      <c r="JE1" s="865"/>
      <c r="JF1" s="865"/>
      <c r="JG1" s="865"/>
      <c r="JH1" s="865"/>
      <c r="JI1" s="865"/>
      <c r="JJ1" s="865"/>
      <c r="JK1" s="865"/>
      <c r="JL1" s="865"/>
      <c r="JM1" s="865"/>
      <c r="JN1" s="865"/>
      <c r="JO1" s="865"/>
      <c r="JP1" s="865"/>
      <c r="JQ1" s="865"/>
      <c r="JR1" s="865"/>
      <c r="JS1" s="865"/>
      <c r="JT1" s="865"/>
      <c r="JU1" s="865"/>
      <c r="JV1" s="865"/>
      <c r="JW1" s="865"/>
      <c r="JX1" s="865"/>
      <c r="JY1" s="865"/>
      <c r="JZ1" s="865"/>
      <c r="KA1" s="865"/>
      <c r="KB1" s="865"/>
      <c r="KC1" s="865"/>
      <c r="KD1" s="865"/>
      <c r="KE1" s="865"/>
      <c r="KF1" s="865"/>
      <c r="KG1" s="865"/>
      <c r="KH1" s="865"/>
      <c r="KI1" s="865"/>
      <c r="KJ1" s="865"/>
      <c r="KK1" s="865"/>
      <c r="KL1" s="865"/>
      <c r="KM1" s="865"/>
      <c r="KN1" s="865"/>
      <c r="KO1" s="865"/>
      <c r="KP1" s="865"/>
      <c r="KQ1" s="865"/>
      <c r="KR1" s="865"/>
      <c r="KS1" s="865"/>
      <c r="KT1" s="865"/>
      <c r="KU1" s="865"/>
      <c r="KV1" s="865"/>
      <c r="KW1" s="865"/>
      <c r="KX1" s="865"/>
      <c r="KY1" s="865"/>
      <c r="KZ1" s="865"/>
      <c r="LA1" s="865"/>
      <c r="LB1" s="865"/>
      <c r="LC1" s="865"/>
      <c r="LD1" s="865"/>
      <c r="LE1" s="865"/>
      <c r="LF1" s="865"/>
      <c r="LG1" s="865"/>
      <c r="LH1" s="865"/>
      <c r="LI1" s="865"/>
      <c r="LJ1" s="865"/>
      <c r="LK1" s="865"/>
      <c r="LL1" s="865"/>
      <c r="LM1" s="865"/>
      <c r="LN1" s="865"/>
      <c r="LO1" s="865"/>
      <c r="LP1" s="865"/>
      <c r="LQ1" s="865"/>
      <c r="LR1" s="865"/>
      <c r="LS1" s="865"/>
      <c r="LT1" s="865"/>
      <c r="LU1" s="865"/>
      <c r="LV1" s="865"/>
      <c r="LW1" s="865"/>
      <c r="LX1" s="865"/>
      <c r="LY1" s="865"/>
      <c r="LZ1" s="865"/>
      <c r="MA1" s="865"/>
      <c r="MB1" s="865"/>
      <c r="MC1" s="865"/>
      <c r="MD1" s="865"/>
      <c r="ME1" s="865"/>
      <c r="MF1" s="865"/>
      <c r="MG1" s="865"/>
      <c r="MH1" s="865"/>
      <c r="MI1" s="865"/>
      <c r="MJ1" s="865"/>
      <c r="MK1" s="865"/>
      <c r="ML1" s="865"/>
      <c r="MM1" s="865"/>
      <c r="MN1" s="865"/>
      <c r="MO1" s="865"/>
      <c r="MP1" s="865"/>
      <c r="MQ1" s="865"/>
      <c r="MR1" s="865"/>
      <c r="MS1" s="865"/>
      <c r="MT1" s="865"/>
      <c r="MU1" s="865"/>
      <c r="MV1" s="865"/>
      <c r="MW1" s="865"/>
      <c r="MX1" s="865"/>
      <c r="MY1" s="865"/>
      <c r="MZ1" s="865"/>
      <c r="NA1" s="865"/>
      <c r="NB1" s="865"/>
      <c r="NC1" s="865"/>
      <c r="ND1" s="865"/>
      <c r="NE1" s="865"/>
      <c r="NF1" s="865"/>
      <c r="NG1" s="865"/>
      <c r="NH1" s="865"/>
      <c r="NI1" s="865"/>
      <c r="NJ1" s="865"/>
      <c r="NK1" s="865"/>
      <c r="NL1" s="865"/>
      <c r="NM1" s="865"/>
      <c r="NN1" s="865"/>
      <c r="NO1" s="865"/>
      <c r="NP1" s="865"/>
      <c r="NQ1" s="865"/>
      <c r="NR1" s="865"/>
      <c r="NS1" s="865"/>
      <c r="NT1" s="865"/>
      <c r="NU1" s="865"/>
      <c r="NV1" s="865"/>
      <c r="NW1" s="865"/>
      <c r="NX1" s="865"/>
      <c r="NY1" s="865"/>
      <c r="NZ1" s="865"/>
      <c r="OA1" s="865"/>
      <c r="OB1" s="865"/>
      <c r="OC1" s="865"/>
      <c r="OD1" s="865"/>
      <c r="OE1" s="865"/>
      <c r="OF1" s="865"/>
      <c r="OG1" s="865"/>
      <c r="OH1" s="865"/>
      <c r="OI1" s="865"/>
      <c r="OJ1" s="865"/>
      <c r="OK1" s="865"/>
      <c r="OL1" s="865"/>
      <c r="OM1" s="865"/>
      <c r="ON1" s="865"/>
      <c r="OO1" s="865"/>
      <c r="OP1" s="865"/>
      <c r="OQ1" s="865"/>
      <c r="OR1" s="865"/>
      <c r="OS1" s="865"/>
      <c r="OT1" s="865"/>
      <c r="OU1" s="865"/>
      <c r="OV1" s="865"/>
      <c r="OW1" s="865"/>
      <c r="OX1" s="865"/>
      <c r="OY1" s="865"/>
      <c r="OZ1" s="865"/>
      <c r="PA1" s="865"/>
      <c r="PB1" s="865"/>
      <c r="PC1" s="865"/>
      <c r="PD1" s="865"/>
      <c r="PE1" s="865"/>
      <c r="PF1" s="865"/>
      <c r="PG1" s="865"/>
      <c r="PH1" s="865"/>
      <c r="PI1" s="865"/>
      <c r="PJ1" s="865"/>
      <c r="PK1" s="865"/>
      <c r="PL1" s="865"/>
      <c r="PM1" s="865"/>
      <c r="PN1" s="865"/>
      <c r="PO1" s="865"/>
    </row>
    <row r="2" spans="1:431" s="951" customFormat="1" ht="32.15" customHeight="1">
      <c r="A2" s="415"/>
      <c r="B2" s="415"/>
      <c r="C2" s="1088">
        <v>2022</v>
      </c>
      <c r="D2" s="1088"/>
      <c r="E2" s="1088"/>
      <c r="F2" s="1088"/>
      <c r="G2" s="1088"/>
      <c r="H2" s="1088">
        <v>2023</v>
      </c>
      <c r="I2" s="1088"/>
      <c r="J2" s="1088"/>
      <c r="K2" s="1088"/>
      <c r="L2" s="1088"/>
    </row>
    <row r="3" spans="1:431" s="951" customFormat="1" ht="16.5" customHeight="1" thickBot="1">
      <c r="A3" s="545"/>
      <c r="B3" s="419"/>
      <c r="C3" s="424" t="s">
        <v>20</v>
      </c>
      <c r="D3" s="424" t="s">
        <v>21</v>
      </c>
      <c r="E3" s="425" t="s">
        <v>22</v>
      </c>
      <c r="F3" s="424" t="s">
        <v>23</v>
      </c>
      <c r="G3" s="424">
        <v>2022</v>
      </c>
      <c r="H3" s="424" t="s">
        <v>20</v>
      </c>
      <c r="I3" s="424" t="s">
        <v>21</v>
      </c>
      <c r="J3" s="425" t="s">
        <v>22</v>
      </c>
      <c r="K3" s="424" t="s">
        <v>23</v>
      </c>
      <c r="L3" s="424" t="s">
        <v>742</v>
      </c>
    </row>
    <row r="4" spans="1:431" s="65" customFormat="1" ht="26.75" customHeight="1" thickBot="1">
      <c r="A4" s="548" t="s">
        <v>748</v>
      </c>
      <c r="B4" s="573" t="s">
        <v>749</v>
      </c>
      <c r="C4" s="950">
        <f t="shared" ref="C4:L4" si="0">SUM(C5:C7)</f>
        <v>82.8</v>
      </c>
      <c r="D4" s="950">
        <f t="shared" si="0"/>
        <v>109.6</v>
      </c>
      <c r="E4" s="950">
        <f t="shared" si="0"/>
        <v>135.9</v>
      </c>
      <c r="F4" s="950">
        <f t="shared" si="0"/>
        <v>176.6</v>
      </c>
      <c r="G4" s="562">
        <f t="shared" si="0"/>
        <v>504.9</v>
      </c>
      <c r="H4" s="950">
        <f t="shared" si="0"/>
        <v>149.30000000000001</v>
      </c>
      <c r="I4" s="950">
        <f t="shared" si="0"/>
        <v>145.1</v>
      </c>
      <c r="J4" s="427">
        <f t="shared" si="0"/>
        <v>191.3</v>
      </c>
      <c r="K4" s="427">
        <f t="shared" si="0"/>
        <v>179.3</v>
      </c>
      <c r="L4" s="864">
        <f t="shared" si="0"/>
        <v>665</v>
      </c>
      <c r="M4" s="11"/>
      <c r="N4" s="11"/>
      <c r="O4" s="11"/>
      <c r="P4" s="11"/>
      <c r="Q4" s="11"/>
      <c r="R4" s="96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row>
    <row r="5" spans="1:431" s="958" customFormat="1" ht="26.75" customHeight="1">
      <c r="A5" s="952" t="s">
        <v>739</v>
      </c>
      <c r="B5" s="953" t="s">
        <v>743</v>
      </c>
      <c r="C5" s="954">
        <v>69</v>
      </c>
      <c r="D5" s="955">
        <v>80.5</v>
      </c>
      <c r="E5" s="954">
        <v>108.9</v>
      </c>
      <c r="F5" s="955">
        <v>168.5</v>
      </c>
      <c r="G5" s="956">
        <f>SUM(C5:F5)</f>
        <v>426.9</v>
      </c>
      <c r="H5" s="954">
        <v>140</v>
      </c>
      <c r="I5" s="955">
        <v>117.8</v>
      </c>
      <c r="J5" s="954">
        <v>157.1</v>
      </c>
      <c r="K5" s="955">
        <v>150.1</v>
      </c>
      <c r="L5" s="956">
        <f>SUM(H5:K5)</f>
        <v>565</v>
      </c>
      <c r="M5" s="954"/>
      <c r="N5" s="11"/>
      <c r="O5" s="11"/>
      <c r="P5" s="11"/>
      <c r="Q5" s="11"/>
      <c r="R5" s="961"/>
      <c r="S5" s="957"/>
      <c r="T5" s="957"/>
      <c r="U5" s="957"/>
      <c r="V5" s="957"/>
      <c r="W5" s="957"/>
      <c r="X5" s="957"/>
      <c r="Y5" s="957"/>
      <c r="Z5" s="957"/>
      <c r="AA5" s="957"/>
      <c r="AB5" s="957"/>
      <c r="AC5" s="957"/>
      <c r="AD5" s="957"/>
      <c r="AE5" s="957"/>
      <c r="AF5" s="957"/>
      <c r="AG5" s="957"/>
      <c r="AH5" s="957"/>
      <c r="AI5" s="957"/>
      <c r="AJ5" s="957"/>
      <c r="AK5" s="957"/>
      <c r="AL5" s="957"/>
      <c r="AM5" s="957"/>
      <c r="AN5" s="957"/>
      <c r="AO5" s="957"/>
      <c r="AP5" s="957"/>
      <c r="AQ5" s="957"/>
      <c r="AR5" s="957"/>
      <c r="AS5" s="957"/>
      <c r="AT5" s="957"/>
      <c r="AU5" s="957"/>
      <c r="AV5" s="957"/>
      <c r="AW5" s="957"/>
      <c r="AX5" s="957"/>
      <c r="AY5" s="957"/>
      <c r="AZ5" s="957"/>
      <c r="BA5" s="957"/>
      <c r="BB5" s="957"/>
      <c r="BC5" s="957"/>
      <c r="BD5" s="957"/>
      <c r="BE5" s="957"/>
      <c r="BF5" s="957"/>
      <c r="BG5" s="957"/>
      <c r="BH5" s="957"/>
      <c r="BI5" s="957"/>
      <c r="BJ5" s="957"/>
      <c r="BK5" s="957"/>
      <c r="BL5" s="957"/>
      <c r="BM5" s="957"/>
      <c r="BN5" s="957"/>
      <c r="BO5" s="957"/>
      <c r="BP5" s="957"/>
      <c r="BQ5" s="957"/>
      <c r="BR5" s="957"/>
      <c r="BS5" s="957"/>
      <c r="BT5" s="957"/>
      <c r="BU5" s="957"/>
      <c r="BV5" s="957"/>
      <c r="BW5" s="957"/>
      <c r="BX5" s="957"/>
      <c r="BY5" s="957"/>
      <c r="BZ5" s="957"/>
      <c r="CA5" s="957"/>
      <c r="CB5" s="957"/>
      <c r="CC5" s="957"/>
      <c r="CD5" s="957"/>
      <c r="CE5" s="957"/>
      <c r="CF5" s="957"/>
      <c r="CG5" s="957"/>
      <c r="CH5" s="957"/>
      <c r="CI5" s="957"/>
      <c r="CJ5" s="957"/>
      <c r="CK5" s="957"/>
      <c r="CL5" s="957"/>
      <c r="CM5" s="957"/>
      <c r="CN5" s="957"/>
      <c r="CO5" s="957"/>
      <c r="CP5" s="957"/>
      <c r="CQ5" s="957"/>
      <c r="CR5" s="957"/>
      <c r="CS5" s="957"/>
      <c r="CT5" s="957"/>
      <c r="CU5" s="957"/>
      <c r="CV5" s="957"/>
      <c r="CW5" s="957"/>
      <c r="CX5" s="957"/>
      <c r="CY5" s="957"/>
      <c r="CZ5" s="957"/>
      <c r="DA5" s="957"/>
      <c r="DB5" s="957"/>
      <c r="DC5" s="957"/>
      <c r="DD5" s="957"/>
      <c r="DE5" s="957"/>
      <c r="DF5" s="957"/>
      <c r="DG5" s="957"/>
      <c r="DH5" s="957"/>
      <c r="DI5" s="957"/>
      <c r="DJ5" s="957"/>
      <c r="DK5" s="957"/>
      <c r="DL5" s="957"/>
      <c r="DM5" s="957"/>
      <c r="DN5" s="957"/>
      <c r="DO5" s="957"/>
      <c r="DP5" s="957"/>
      <c r="DQ5" s="957"/>
      <c r="DR5" s="957"/>
      <c r="DS5" s="957"/>
      <c r="DT5" s="957"/>
      <c r="DU5" s="957"/>
      <c r="DV5" s="957"/>
      <c r="DW5" s="957"/>
      <c r="DX5" s="957"/>
      <c r="DY5" s="957"/>
      <c r="DZ5" s="957"/>
      <c r="EA5" s="957"/>
      <c r="EB5" s="957"/>
      <c r="EC5" s="957"/>
      <c r="ED5" s="957"/>
      <c r="EE5" s="957"/>
      <c r="EF5" s="957"/>
      <c r="EG5" s="957"/>
      <c r="EH5" s="957"/>
      <c r="EI5" s="957"/>
      <c r="EJ5" s="957"/>
      <c r="EK5" s="957"/>
      <c r="EL5" s="957"/>
      <c r="EM5" s="957"/>
      <c r="EN5" s="957"/>
      <c r="EO5" s="957"/>
      <c r="EP5" s="957"/>
      <c r="EQ5" s="957"/>
      <c r="ER5" s="957"/>
      <c r="ES5" s="957"/>
      <c r="ET5" s="957"/>
      <c r="EU5" s="957"/>
      <c r="EV5" s="957"/>
      <c r="EW5" s="957"/>
      <c r="EX5" s="957"/>
      <c r="EY5" s="957"/>
      <c r="EZ5" s="957"/>
      <c r="FA5" s="957"/>
      <c r="FB5" s="957"/>
      <c r="FC5" s="957"/>
      <c r="FD5" s="957"/>
      <c r="FE5" s="957"/>
      <c r="FF5" s="957"/>
      <c r="FG5" s="957"/>
      <c r="FH5" s="957"/>
      <c r="FI5" s="957"/>
      <c r="FJ5" s="957"/>
      <c r="FK5" s="957"/>
      <c r="FL5" s="957"/>
      <c r="FM5" s="957"/>
      <c r="FN5" s="957"/>
      <c r="FO5" s="957"/>
      <c r="FP5" s="957"/>
      <c r="FQ5" s="957"/>
      <c r="FR5" s="957"/>
      <c r="FS5" s="957"/>
      <c r="FT5" s="957"/>
      <c r="FU5" s="957"/>
      <c r="FV5" s="957"/>
      <c r="FW5" s="957"/>
      <c r="FX5" s="957"/>
      <c r="FY5" s="957"/>
      <c r="FZ5" s="957"/>
      <c r="GA5" s="957"/>
      <c r="GB5" s="957"/>
      <c r="GC5" s="957"/>
      <c r="GD5" s="957"/>
      <c r="GE5" s="957"/>
      <c r="GF5" s="957"/>
      <c r="GG5" s="957"/>
      <c r="GH5" s="957"/>
      <c r="GI5" s="957"/>
      <c r="GJ5" s="957"/>
      <c r="GK5" s="957"/>
      <c r="GL5" s="957"/>
      <c r="GM5" s="957"/>
      <c r="GN5" s="957"/>
      <c r="GO5" s="957"/>
      <c r="GP5" s="957"/>
      <c r="GQ5" s="957"/>
      <c r="GR5" s="957"/>
      <c r="GS5" s="957"/>
      <c r="GT5" s="957"/>
      <c r="GU5" s="957"/>
      <c r="GV5" s="957"/>
      <c r="GW5" s="957"/>
      <c r="GX5" s="957"/>
      <c r="GY5" s="957"/>
      <c r="GZ5" s="957"/>
      <c r="HA5" s="957"/>
      <c r="HB5" s="957"/>
      <c r="HC5" s="957"/>
      <c r="HD5" s="957"/>
      <c r="HE5" s="957"/>
      <c r="HF5" s="957"/>
      <c r="HG5" s="957"/>
      <c r="HH5" s="957"/>
      <c r="HI5" s="957"/>
      <c r="HJ5" s="957"/>
      <c r="HK5" s="957"/>
      <c r="HL5" s="957"/>
      <c r="HM5" s="957"/>
      <c r="HN5" s="957"/>
      <c r="HO5" s="957"/>
      <c r="HP5" s="957"/>
      <c r="HQ5" s="957"/>
      <c r="HR5" s="957"/>
      <c r="HS5" s="957"/>
      <c r="HT5" s="957"/>
      <c r="HU5" s="957"/>
      <c r="HV5" s="957"/>
      <c r="HW5" s="957"/>
      <c r="HX5" s="957"/>
      <c r="HY5" s="957"/>
      <c r="HZ5" s="957"/>
      <c r="IA5" s="957"/>
      <c r="IB5" s="957"/>
      <c r="IC5" s="957"/>
      <c r="ID5" s="957"/>
      <c r="IE5" s="957"/>
      <c r="IF5" s="957"/>
      <c r="IG5" s="957"/>
      <c r="IH5" s="957"/>
      <c r="II5" s="957"/>
      <c r="IJ5" s="957"/>
      <c r="IK5" s="957"/>
      <c r="IL5" s="957"/>
      <c r="IM5" s="957"/>
      <c r="IN5" s="957"/>
      <c r="IO5" s="957"/>
      <c r="IP5" s="957"/>
      <c r="IQ5" s="957"/>
      <c r="IR5" s="957"/>
      <c r="IS5" s="957"/>
      <c r="IT5" s="957"/>
      <c r="IU5" s="957"/>
      <c r="IV5" s="957"/>
      <c r="IW5" s="957"/>
      <c r="IX5" s="957"/>
      <c r="IY5" s="957"/>
      <c r="IZ5" s="957"/>
      <c r="JA5" s="957"/>
      <c r="JB5" s="957"/>
      <c r="JC5" s="957"/>
      <c r="JD5" s="957"/>
      <c r="JE5" s="957"/>
      <c r="JF5" s="957"/>
      <c r="JG5" s="957"/>
      <c r="JH5" s="957"/>
      <c r="JI5" s="957"/>
      <c r="JJ5" s="957"/>
      <c r="JK5" s="957"/>
      <c r="JL5" s="957"/>
      <c r="JM5" s="957"/>
      <c r="JN5" s="957"/>
      <c r="JO5" s="957"/>
      <c r="JP5" s="957"/>
      <c r="JQ5" s="957"/>
      <c r="JR5" s="957"/>
      <c r="JS5" s="957"/>
      <c r="JT5" s="957"/>
      <c r="JU5" s="957"/>
      <c r="JV5" s="957"/>
      <c r="JW5" s="957"/>
      <c r="JX5" s="957"/>
      <c r="JY5" s="957"/>
      <c r="JZ5" s="957"/>
      <c r="KA5" s="957"/>
      <c r="KB5" s="957"/>
      <c r="KC5" s="957"/>
      <c r="KD5" s="957"/>
      <c r="KE5" s="957"/>
      <c r="KF5" s="957"/>
      <c r="KG5" s="957"/>
      <c r="KH5" s="957"/>
      <c r="KI5" s="957"/>
      <c r="KJ5" s="957"/>
      <c r="KK5" s="957"/>
      <c r="KL5" s="957"/>
      <c r="KM5" s="957"/>
      <c r="KN5" s="957"/>
      <c r="KO5" s="957"/>
      <c r="KP5" s="957"/>
      <c r="KQ5" s="957"/>
      <c r="KR5" s="957"/>
      <c r="KS5" s="957"/>
      <c r="KT5" s="957"/>
      <c r="KU5" s="957"/>
      <c r="KV5" s="957"/>
      <c r="KW5" s="957"/>
      <c r="KX5" s="957"/>
      <c r="KY5" s="957"/>
      <c r="KZ5" s="957"/>
      <c r="LA5" s="957"/>
      <c r="LB5" s="957"/>
      <c r="LC5" s="957"/>
      <c r="LD5" s="957"/>
      <c r="LE5" s="957"/>
      <c r="LF5" s="957"/>
      <c r="LG5" s="957"/>
      <c r="LH5" s="957"/>
      <c r="LI5" s="957"/>
      <c r="LJ5" s="957"/>
      <c r="LK5" s="957"/>
      <c r="LL5" s="957"/>
      <c r="LM5" s="957"/>
      <c r="LN5" s="957"/>
      <c r="LO5" s="957"/>
      <c r="LP5" s="957"/>
      <c r="LQ5" s="957"/>
      <c r="LR5" s="957"/>
      <c r="LS5" s="957"/>
      <c r="LT5" s="957"/>
      <c r="LU5" s="957"/>
      <c r="LV5" s="957"/>
      <c r="LW5" s="957"/>
      <c r="LX5" s="957"/>
      <c r="LY5" s="957"/>
      <c r="LZ5" s="957"/>
      <c r="MA5" s="957"/>
      <c r="MB5" s="957"/>
      <c r="MC5" s="957"/>
      <c r="MD5" s="957"/>
      <c r="ME5" s="957"/>
      <c r="MF5" s="957"/>
      <c r="MG5" s="957"/>
      <c r="MH5" s="957"/>
      <c r="MI5" s="957"/>
      <c r="MJ5" s="957"/>
      <c r="MK5" s="957"/>
      <c r="ML5" s="957"/>
      <c r="MM5" s="957"/>
      <c r="MN5" s="957"/>
      <c r="MO5" s="957"/>
      <c r="MP5" s="957"/>
      <c r="MQ5" s="957"/>
      <c r="MR5" s="957"/>
      <c r="MS5" s="957"/>
      <c r="MT5" s="957"/>
      <c r="MU5" s="957"/>
      <c r="MV5" s="957"/>
      <c r="MW5" s="957"/>
      <c r="MX5" s="957"/>
      <c r="MY5" s="957"/>
      <c r="MZ5" s="957"/>
      <c r="NA5" s="957"/>
      <c r="NB5" s="957"/>
      <c r="NC5" s="957"/>
      <c r="ND5" s="957"/>
      <c r="NE5" s="957"/>
      <c r="NF5" s="957"/>
      <c r="NG5" s="957"/>
      <c r="NH5" s="957"/>
      <c r="NI5" s="957"/>
      <c r="NJ5" s="957"/>
      <c r="NK5" s="957"/>
      <c r="NL5" s="957"/>
      <c r="NM5" s="957"/>
      <c r="NN5" s="957"/>
      <c r="NO5" s="957"/>
      <c r="NP5" s="957"/>
      <c r="NQ5" s="957"/>
      <c r="NR5" s="957"/>
      <c r="NS5" s="957"/>
      <c r="NT5" s="957"/>
      <c r="NU5" s="957"/>
      <c r="NV5" s="957"/>
      <c r="NW5" s="957"/>
      <c r="NX5" s="957"/>
      <c r="NY5" s="957"/>
      <c r="NZ5" s="957"/>
      <c r="OA5" s="957"/>
      <c r="OB5" s="957"/>
      <c r="OC5" s="957"/>
      <c r="OD5" s="957"/>
      <c r="OE5" s="957"/>
      <c r="OF5" s="957"/>
      <c r="OG5" s="957"/>
      <c r="OH5" s="957"/>
      <c r="OI5" s="957"/>
      <c r="OJ5" s="957"/>
      <c r="OK5" s="957"/>
      <c r="OL5" s="957"/>
      <c r="OM5" s="957"/>
      <c r="ON5" s="957"/>
      <c r="OO5" s="957"/>
      <c r="OP5" s="957"/>
      <c r="OQ5" s="957"/>
      <c r="OR5" s="957"/>
      <c r="OS5" s="957"/>
      <c r="OT5" s="957"/>
      <c r="OU5" s="957"/>
      <c r="OV5" s="957"/>
      <c r="OW5" s="957"/>
      <c r="OX5" s="957"/>
      <c r="OY5" s="957"/>
      <c r="OZ5" s="957"/>
      <c r="PA5" s="957"/>
      <c r="PB5" s="957"/>
      <c r="PC5" s="957"/>
      <c r="PD5" s="957"/>
      <c r="PE5" s="957"/>
      <c r="PF5" s="957"/>
      <c r="PG5" s="957"/>
      <c r="PH5" s="957"/>
      <c r="PI5" s="957"/>
      <c r="PJ5" s="957"/>
      <c r="PK5" s="957"/>
      <c r="PL5" s="957"/>
      <c r="PM5" s="957"/>
      <c r="PN5" s="957"/>
      <c r="PO5" s="957"/>
    </row>
    <row r="6" spans="1:431" s="958" customFormat="1" ht="26.75" customHeight="1">
      <c r="A6" s="952" t="s">
        <v>740</v>
      </c>
      <c r="B6" s="953" t="s">
        <v>744</v>
      </c>
      <c r="C6" s="954">
        <v>13.8</v>
      </c>
      <c r="D6" s="955">
        <v>29.1</v>
      </c>
      <c r="E6" s="954">
        <v>27</v>
      </c>
      <c r="F6" s="955">
        <v>8.1</v>
      </c>
      <c r="G6" s="956">
        <f t="shared" ref="G6:G7" si="1">SUM(C6:F6)</f>
        <v>78</v>
      </c>
      <c r="H6" s="954">
        <v>9.3000000000000007</v>
      </c>
      <c r="I6" s="955">
        <v>27.3</v>
      </c>
      <c r="J6" s="954">
        <v>27.9</v>
      </c>
      <c r="K6" s="955">
        <v>7.8</v>
      </c>
      <c r="L6" s="956">
        <f t="shared" ref="L6:L7" si="2">SUM(H6:K6)</f>
        <v>72.3</v>
      </c>
      <c r="M6" s="954"/>
      <c r="N6" s="11"/>
      <c r="O6" s="11"/>
      <c r="P6" s="11"/>
      <c r="Q6" s="11"/>
      <c r="R6" s="957"/>
      <c r="S6" s="957"/>
      <c r="T6" s="957"/>
      <c r="U6" s="957"/>
      <c r="V6" s="957"/>
      <c r="W6" s="957"/>
      <c r="X6" s="957"/>
      <c r="Y6" s="957"/>
      <c r="Z6" s="957"/>
      <c r="AA6" s="957"/>
      <c r="AB6" s="957"/>
      <c r="AC6" s="957"/>
      <c r="AD6" s="957"/>
      <c r="AE6" s="957"/>
      <c r="AF6" s="957"/>
      <c r="AG6" s="957"/>
      <c r="AH6" s="957"/>
      <c r="AI6" s="957"/>
      <c r="AJ6" s="957"/>
      <c r="AK6" s="957"/>
      <c r="AL6" s="957"/>
      <c r="AM6" s="957"/>
      <c r="AN6" s="957"/>
      <c r="AO6" s="957"/>
      <c r="AP6" s="957"/>
      <c r="AQ6" s="957"/>
      <c r="AR6" s="957"/>
      <c r="AS6" s="957"/>
      <c r="AT6" s="957"/>
      <c r="AU6" s="957"/>
      <c r="AV6" s="957"/>
      <c r="AW6" s="957"/>
      <c r="AX6" s="957"/>
      <c r="AY6" s="957"/>
      <c r="AZ6" s="957"/>
      <c r="BA6" s="957"/>
      <c r="BB6" s="957"/>
      <c r="BC6" s="957"/>
      <c r="BD6" s="957"/>
      <c r="BE6" s="957"/>
      <c r="BF6" s="957"/>
      <c r="BG6" s="957"/>
      <c r="BH6" s="957"/>
      <c r="BI6" s="957"/>
      <c r="BJ6" s="957"/>
      <c r="BK6" s="957"/>
      <c r="BL6" s="957"/>
      <c r="BM6" s="957"/>
      <c r="BN6" s="957"/>
      <c r="BO6" s="957"/>
      <c r="BP6" s="957"/>
      <c r="BQ6" s="957"/>
      <c r="BR6" s="957"/>
      <c r="BS6" s="957"/>
      <c r="BT6" s="957"/>
      <c r="BU6" s="957"/>
      <c r="BV6" s="957"/>
      <c r="BW6" s="957"/>
      <c r="BX6" s="957"/>
      <c r="BY6" s="957"/>
      <c r="BZ6" s="957"/>
      <c r="CA6" s="957"/>
      <c r="CB6" s="957"/>
      <c r="CC6" s="957"/>
      <c r="CD6" s="957"/>
      <c r="CE6" s="957"/>
      <c r="CF6" s="957"/>
      <c r="CG6" s="957"/>
      <c r="CH6" s="957"/>
      <c r="CI6" s="957"/>
      <c r="CJ6" s="957"/>
      <c r="CK6" s="957"/>
      <c r="CL6" s="957"/>
      <c r="CM6" s="957"/>
      <c r="CN6" s="957"/>
      <c r="CO6" s="957"/>
      <c r="CP6" s="957"/>
      <c r="CQ6" s="957"/>
      <c r="CR6" s="957"/>
      <c r="CS6" s="957"/>
      <c r="CT6" s="957"/>
      <c r="CU6" s="957"/>
      <c r="CV6" s="957"/>
      <c r="CW6" s="957"/>
      <c r="CX6" s="957"/>
      <c r="CY6" s="957"/>
      <c r="CZ6" s="957"/>
      <c r="DA6" s="957"/>
      <c r="DB6" s="957"/>
      <c r="DC6" s="957"/>
      <c r="DD6" s="957"/>
      <c r="DE6" s="957"/>
      <c r="DF6" s="957"/>
      <c r="DG6" s="957"/>
      <c r="DH6" s="957"/>
      <c r="DI6" s="957"/>
      <c r="DJ6" s="957"/>
      <c r="DK6" s="957"/>
      <c r="DL6" s="957"/>
      <c r="DM6" s="957"/>
      <c r="DN6" s="957"/>
      <c r="DO6" s="957"/>
      <c r="DP6" s="957"/>
      <c r="DQ6" s="957"/>
      <c r="DR6" s="957"/>
      <c r="DS6" s="957"/>
      <c r="DT6" s="957"/>
      <c r="DU6" s="957"/>
      <c r="DV6" s="957"/>
      <c r="DW6" s="957"/>
      <c r="DX6" s="957"/>
      <c r="DY6" s="957"/>
      <c r="DZ6" s="957"/>
      <c r="EA6" s="957"/>
      <c r="EB6" s="957"/>
      <c r="EC6" s="957"/>
      <c r="ED6" s="957"/>
      <c r="EE6" s="957"/>
      <c r="EF6" s="957"/>
      <c r="EG6" s="957"/>
      <c r="EH6" s="957"/>
      <c r="EI6" s="957"/>
      <c r="EJ6" s="957"/>
      <c r="EK6" s="957"/>
      <c r="EL6" s="957"/>
      <c r="EM6" s="957"/>
      <c r="EN6" s="957"/>
      <c r="EO6" s="957"/>
      <c r="EP6" s="957"/>
      <c r="EQ6" s="957"/>
      <c r="ER6" s="957"/>
      <c r="ES6" s="957"/>
      <c r="ET6" s="957"/>
      <c r="EU6" s="957"/>
      <c r="EV6" s="957"/>
      <c r="EW6" s="957"/>
      <c r="EX6" s="957"/>
      <c r="EY6" s="957"/>
      <c r="EZ6" s="957"/>
      <c r="FA6" s="957"/>
      <c r="FB6" s="957"/>
      <c r="FC6" s="957"/>
      <c r="FD6" s="957"/>
      <c r="FE6" s="957"/>
      <c r="FF6" s="957"/>
      <c r="FG6" s="957"/>
      <c r="FH6" s="957"/>
      <c r="FI6" s="957"/>
      <c r="FJ6" s="957"/>
      <c r="FK6" s="957"/>
      <c r="FL6" s="957"/>
      <c r="FM6" s="957"/>
      <c r="FN6" s="957"/>
      <c r="FO6" s="957"/>
      <c r="FP6" s="957"/>
      <c r="FQ6" s="957"/>
      <c r="FR6" s="957"/>
      <c r="FS6" s="957"/>
      <c r="FT6" s="957"/>
      <c r="FU6" s="957"/>
      <c r="FV6" s="957"/>
      <c r="FW6" s="957"/>
      <c r="FX6" s="957"/>
      <c r="FY6" s="957"/>
      <c r="FZ6" s="957"/>
      <c r="GA6" s="957"/>
      <c r="GB6" s="957"/>
      <c r="GC6" s="957"/>
      <c r="GD6" s="957"/>
      <c r="GE6" s="957"/>
      <c r="GF6" s="957"/>
      <c r="GG6" s="957"/>
      <c r="GH6" s="957"/>
      <c r="GI6" s="957"/>
      <c r="GJ6" s="957"/>
      <c r="GK6" s="957"/>
      <c r="GL6" s="957"/>
      <c r="GM6" s="957"/>
      <c r="GN6" s="957"/>
      <c r="GO6" s="957"/>
      <c r="GP6" s="957"/>
      <c r="GQ6" s="957"/>
      <c r="GR6" s="957"/>
      <c r="GS6" s="957"/>
      <c r="GT6" s="957"/>
      <c r="GU6" s="957"/>
      <c r="GV6" s="957"/>
      <c r="GW6" s="957"/>
      <c r="GX6" s="957"/>
      <c r="GY6" s="957"/>
      <c r="GZ6" s="957"/>
      <c r="HA6" s="957"/>
      <c r="HB6" s="957"/>
      <c r="HC6" s="957"/>
      <c r="HD6" s="957"/>
      <c r="HE6" s="957"/>
      <c r="HF6" s="957"/>
      <c r="HG6" s="957"/>
      <c r="HH6" s="957"/>
      <c r="HI6" s="957"/>
      <c r="HJ6" s="957"/>
      <c r="HK6" s="957"/>
      <c r="HL6" s="957"/>
      <c r="HM6" s="957"/>
      <c r="HN6" s="957"/>
      <c r="HO6" s="957"/>
      <c r="HP6" s="957"/>
      <c r="HQ6" s="957"/>
      <c r="HR6" s="957"/>
      <c r="HS6" s="957"/>
      <c r="HT6" s="957"/>
      <c r="HU6" s="957"/>
      <c r="HV6" s="957"/>
      <c r="HW6" s="957"/>
      <c r="HX6" s="957"/>
      <c r="HY6" s="957"/>
      <c r="HZ6" s="957"/>
      <c r="IA6" s="957"/>
      <c r="IB6" s="957"/>
      <c r="IC6" s="957"/>
      <c r="ID6" s="957"/>
      <c r="IE6" s="957"/>
      <c r="IF6" s="957"/>
      <c r="IG6" s="957"/>
      <c r="IH6" s="957"/>
      <c r="II6" s="957"/>
      <c r="IJ6" s="957"/>
      <c r="IK6" s="957"/>
      <c r="IL6" s="957"/>
      <c r="IM6" s="957"/>
      <c r="IN6" s="957"/>
      <c r="IO6" s="957"/>
      <c r="IP6" s="957"/>
      <c r="IQ6" s="957"/>
      <c r="IR6" s="957"/>
      <c r="IS6" s="957"/>
      <c r="IT6" s="957"/>
      <c r="IU6" s="957"/>
      <c r="IV6" s="957"/>
      <c r="IW6" s="957"/>
      <c r="IX6" s="957"/>
      <c r="IY6" s="957"/>
      <c r="IZ6" s="957"/>
      <c r="JA6" s="957"/>
      <c r="JB6" s="957"/>
      <c r="JC6" s="957"/>
      <c r="JD6" s="957"/>
      <c r="JE6" s="957"/>
      <c r="JF6" s="957"/>
      <c r="JG6" s="957"/>
      <c r="JH6" s="957"/>
      <c r="JI6" s="957"/>
      <c r="JJ6" s="957"/>
      <c r="JK6" s="957"/>
      <c r="JL6" s="957"/>
      <c r="JM6" s="957"/>
      <c r="JN6" s="957"/>
      <c r="JO6" s="957"/>
      <c r="JP6" s="957"/>
      <c r="JQ6" s="957"/>
      <c r="JR6" s="957"/>
      <c r="JS6" s="957"/>
      <c r="JT6" s="957"/>
      <c r="JU6" s="957"/>
      <c r="JV6" s="957"/>
      <c r="JW6" s="957"/>
      <c r="JX6" s="957"/>
      <c r="JY6" s="957"/>
      <c r="JZ6" s="957"/>
      <c r="KA6" s="957"/>
      <c r="KB6" s="957"/>
      <c r="KC6" s="957"/>
      <c r="KD6" s="957"/>
      <c r="KE6" s="957"/>
      <c r="KF6" s="957"/>
      <c r="KG6" s="957"/>
      <c r="KH6" s="957"/>
      <c r="KI6" s="957"/>
      <c r="KJ6" s="957"/>
      <c r="KK6" s="957"/>
      <c r="KL6" s="957"/>
      <c r="KM6" s="957"/>
      <c r="KN6" s="957"/>
      <c r="KO6" s="957"/>
      <c r="KP6" s="957"/>
      <c r="KQ6" s="957"/>
      <c r="KR6" s="957"/>
      <c r="KS6" s="957"/>
      <c r="KT6" s="957"/>
      <c r="KU6" s="957"/>
      <c r="KV6" s="957"/>
      <c r="KW6" s="957"/>
      <c r="KX6" s="957"/>
      <c r="KY6" s="957"/>
      <c r="KZ6" s="957"/>
      <c r="LA6" s="957"/>
      <c r="LB6" s="957"/>
      <c r="LC6" s="957"/>
      <c r="LD6" s="957"/>
      <c r="LE6" s="957"/>
      <c r="LF6" s="957"/>
      <c r="LG6" s="957"/>
      <c r="LH6" s="957"/>
      <c r="LI6" s="957"/>
      <c r="LJ6" s="957"/>
      <c r="LK6" s="957"/>
      <c r="LL6" s="957"/>
      <c r="LM6" s="957"/>
      <c r="LN6" s="957"/>
      <c r="LO6" s="957"/>
      <c r="LP6" s="957"/>
      <c r="LQ6" s="957"/>
      <c r="LR6" s="957"/>
      <c r="LS6" s="957"/>
      <c r="LT6" s="957"/>
      <c r="LU6" s="957"/>
      <c r="LV6" s="957"/>
      <c r="LW6" s="957"/>
      <c r="LX6" s="957"/>
      <c r="LY6" s="957"/>
      <c r="LZ6" s="957"/>
      <c r="MA6" s="957"/>
      <c r="MB6" s="957"/>
      <c r="MC6" s="957"/>
      <c r="MD6" s="957"/>
      <c r="ME6" s="957"/>
      <c r="MF6" s="957"/>
      <c r="MG6" s="957"/>
      <c r="MH6" s="957"/>
      <c r="MI6" s="957"/>
      <c r="MJ6" s="957"/>
      <c r="MK6" s="957"/>
      <c r="ML6" s="957"/>
      <c r="MM6" s="957"/>
      <c r="MN6" s="957"/>
      <c r="MO6" s="957"/>
      <c r="MP6" s="957"/>
      <c r="MQ6" s="957"/>
      <c r="MR6" s="957"/>
      <c r="MS6" s="957"/>
      <c r="MT6" s="957"/>
      <c r="MU6" s="957"/>
      <c r="MV6" s="957"/>
      <c r="MW6" s="957"/>
      <c r="MX6" s="957"/>
      <c r="MY6" s="957"/>
      <c r="MZ6" s="957"/>
      <c r="NA6" s="957"/>
      <c r="NB6" s="957"/>
      <c r="NC6" s="957"/>
      <c r="ND6" s="957"/>
      <c r="NE6" s="957"/>
      <c r="NF6" s="957"/>
      <c r="NG6" s="957"/>
      <c r="NH6" s="957"/>
      <c r="NI6" s="957"/>
      <c r="NJ6" s="957"/>
      <c r="NK6" s="957"/>
      <c r="NL6" s="957"/>
      <c r="NM6" s="957"/>
      <c r="NN6" s="957"/>
      <c r="NO6" s="957"/>
      <c r="NP6" s="957"/>
      <c r="NQ6" s="957"/>
      <c r="NR6" s="957"/>
      <c r="NS6" s="957"/>
      <c r="NT6" s="957"/>
      <c r="NU6" s="957"/>
      <c r="NV6" s="957"/>
      <c r="NW6" s="957"/>
      <c r="NX6" s="957"/>
      <c r="NY6" s="957"/>
      <c r="NZ6" s="957"/>
      <c r="OA6" s="957"/>
      <c r="OB6" s="957"/>
      <c r="OC6" s="957"/>
      <c r="OD6" s="957"/>
      <c r="OE6" s="957"/>
      <c r="OF6" s="957"/>
      <c r="OG6" s="957"/>
      <c r="OH6" s="957"/>
      <c r="OI6" s="957"/>
      <c r="OJ6" s="957"/>
      <c r="OK6" s="957"/>
      <c r="OL6" s="957"/>
      <c r="OM6" s="957"/>
      <c r="ON6" s="957"/>
      <c r="OO6" s="957"/>
      <c r="OP6" s="957"/>
      <c r="OQ6" s="957"/>
      <c r="OR6" s="957"/>
      <c r="OS6" s="957"/>
      <c r="OT6" s="957"/>
      <c r="OU6" s="957"/>
      <c r="OV6" s="957"/>
      <c r="OW6" s="957"/>
      <c r="OX6" s="957"/>
      <c r="OY6" s="957"/>
      <c r="OZ6" s="957"/>
      <c r="PA6" s="957"/>
      <c r="PB6" s="957"/>
      <c r="PC6" s="957"/>
      <c r="PD6" s="957"/>
      <c r="PE6" s="957"/>
      <c r="PF6" s="957"/>
      <c r="PG6" s="957"/>
      <c r="PH6" s="957"/>
      <c r="PI6" s="957"/>
      <c r="PJ6" s="957"/>
      <c r="PK6" s="957"/>
      <c r="PL6" s="957"/>
      <c r="PM6" s="957"/>
      <c r="PN6" s="957"/>
      <c r="PO6" s="957"/>
    </row>
    <row r="7" spans="1:431" s="958" customFormat="1" ht="26.75" customHeight="1" thickBot="1">
      <c r="A7" s="952" t="s">
        <v>746</v>
      </c>
      <c r="B7" s="953" t="s">
        <v>745</v>
      </c>
      <c r="C7" s="959" t="s">
        <v>264</v>
      </c>
      <c r="D7" s="960" t="s">
        <v>264</v>
      </c>
      <c r="E7" s="959" t="s">
        <v>264</v>
      </c>
      <c r="F7" s="960" t="s">
        <v>264</v>
      </c>
      <c r="G7" s="956">
        <f t="shared" si="1"/>
        <v>0</v>
      </c>
      <c r="H7" s="218">
        <v>0</v>
      </c>
      <c r="I7" s="218">
        <v>0</v>
      </c>
      <c r="J7" s="954">
        <v>6.3</v>
      </c>
      <c r="K7" s="955">
        <v>21.4</v>
      </c>
      <c r="L7" s="956">
        <f t="shared" si="2"/>
        <v>27.7</v>
      </c>
      <c r="M7" s="954"/>
      <c r="N7" s="954"/>
      <c r="O7" s="957"/>
      <c r="P7" s="11"/>
      <c r="Q7" s="957"/>
      <c r="R7" s="957"/>
      <c r="S7" s="957"/>
      <c r="T7" s="957"/>
      <c r="U7" s="957"/>
      <c r="V7" s="957"/>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7"/>
      <c r="AY7" s="957"/>
      <c r="AZ7" s="957"/>
      <c r="BA7" s="957"/>
      <c r="BB7" s="957"/>
      <c r="BC7" s="957"/>
      <c r="BD7" s="957"/>
      <c r="BE7" s="957"/>
      <c r="BF7" s="957"/>
      <c r="BG7" s="957"/>
      <c r="BH7" s="957"/>
      <c r="BI7" s="957"/>
      <c r="BJ7" s="957"/>
      <c r="BK7" s="957"/>
      <c r="BL7" s="957"/>
      <c r="BM7" s="957"/>
      <c r="BN7" s="957"/>
      <c r="BO7" s="957"/>
      <c r="BP7" s="957"/>
      <c r="BQ7" s="957"/>
      <c r="BR7" s="957"/>
      <c r="BS7" s="957"/>
      <c r="BT7" s="957"/>
      <c r="BU7" s="957"/>
      <c r="BV7" s="957"/>
      <c r="BW7" s="957"/>
      <c r="BX7" s="957"/>
      <c r="BY7" s="957"/>
      <c r="BZ7" s="957"/>
      <c r="CA7" s="957"/>
      <c r="CB7" s="957"/>
      <c r="CC7" s="957"/>
      <c r="CD7" s="957"/>
      <c r="CE7" s="957"/>
      <c r="CF7" s="957"/>
      <c r="CG7" s="957"/>
      <c r="CH7" s="957"/>
      <c r="CI7" s="957"/>
      <c r="CJ7" s="957"/>
      <c r="CK7" s="957"/>
      <c r="CL7" s="957"/>
      <c r="CM7" s="957"/>
      <c r="CN7" s="957"/>
      <c r="CO7" s="957"/>
      <c r="CP7" s="957"/>
      <c r="CQ7" s="957"/>
      <c r="CR7" s="957"/>
      <c r="CS7" s="957"/>
      <c r="CT7" s="957"/>
      <c r="CU7" s="957"/>
      <c r="CV7" s="957"/>
      <c r="CW7" s="957"/>
      <c r="CX7" s="957"/>
      <c r="CY7" s="957"/>
      <c r="CZ7" s="957"/>
      <c r="DA7" s="957"/>
      <c r="DB7" s="957"/>
      <c r="DC7" s="957"/>
      <c r="DD7" s="957"/>
      <c r="DE7" s="957"/>
      <c r="DF7" s="957"/>
      <c r="DG7" s="957"/>
      <c r="DH7" s="957"/>
      <c r="DI7" s="957"/>
      <c r="DJ7" s="957"/>
      <c r="DK7" s="957"/>
      <c r="DL7" s="957"/>
      <c r="DM7" s="957"/>
      <c r="DN7" s="957"/>
      <c r="DO7" s="957"/>
      <c r="DP7" s="957"/>
      <c r="DQ7" s="957"/>
      <c r="DR7" s="957"/>
      <c r="DS7" s="957"/>
      <c r="DT7" s="957"/>
      <c r="DU7" s="957"/>
      <c r="DV7" s="957"/>
      <c r="DW7" s="957"/>
      <c r="DX7" s="957"/>
      <c r="DY7" s="957"/>
      <c r="DZ7" s="957"/>
      <c r="EA7" s="957"/>
      <c r="EB7" s="957"/>
      <c r="EC7" s="957"/>
      <c r="ED7" s="957"/>
      <c r="EE7" s="957"/>
      <c r="EF7" s="957"/>
      <c r="EG7" s="957"/>
      <c r="EH7" s="957"/>
      <c r="EI7" s="957"/>
      <c r="EJ7" s="957"/>
      <c r="EK7" s="957"/>
      <c r="EL7" s="957"/>
      <c r="EM7" s="957"/>
      <c r="EN7" s="957"/>
      <c r="EO7" s="957"/>
      <c r="EP7" s="957"/>
      <c r="EQ7" s="957"/>
      <c r="ER7" s="957"/>
      <c r="ES7" s="957"/>
      <c r="ET7" s="957"/>
      <c r="EU7" s="957"/>
      <c r="EV7" s="957"/>
      <c r="EW7" s="957"/>
      <c r="EX7" s="957"/>
      <c r="EY7" s="957"/>
      <c r="EZ7" s="957"/>
      <c r="FA7" s="957"/>
      <c r="FB7" s="957"/>
      <c r="FC7" s="957"/>
      <c r="FD7" s="957"/>
      <c r="FE7" s="957"/>
      <c r="FF7" s="957"/>
      <c r="FG7" s="957"/>
      <c r="FH7" s="957"/>
      <c r="FI7" s="957"/>
      <c r="FJ7" s="957"/>
      <c r="FK7" s="957"/>
      <c r="FL7" s="957"/>
      <c r="FM7" s="957"/>
      <c r="FN7" s="957"/>
      <c r="FO7" s="957"/>
      <c r="FP7" s="957"/>
      <c r="FQ7" s="957"/>
      <c r="FR7" s="957"/>
      <c r="FS7" s="957"/>
      <c r="FT7" s="957"/>
      <c r="FU7" s="957"/>
      <c r="FV7" s="957"/>
      <c r="FW7" s="957"/>
      <c r="FX7" s="957"/>
      <c r="FY7" s="957"/>
      <c r="FZ7" s="957"/>
      <c r="GA7" s="957"/>
      <c r="GB7" s="957"/>
      <c r="GC7" s="957"/>
      <c r="GD7" s="957"/>
      <c r="GE7" s="957"/>
      <c r="GF7" s="957"/>
      <c r="GG7" s="957"/>
      <c r="GH7" s="957"/>
      <c r="GI7" s="957"/>
      <c r="GJ7" s="957"/>
      <c r="GK7" s="957"/>
      <c r="GL7" s="957"/>
      <c r="GM7" s="957"/>
      <c r="GN7" s="957"/>
      <c r="GO7" s="957"/>
      <c r="GP7" s="957"/>
      <c r="GQ7" s="957"/>
      <c r="GR7" s="957"/>
      <c r="GS7" s="957"/>
      <c r="GT7" s="957"/>
      <c r="GU7" s="957"/>
      <c r="GV7" s="957"/>
      <c r="GW7" s="957"/>
      <c r="GX7" s="957"/>
      <c r="GY7" s="957"/>
      <c r="GZ7" s="957"/>
      <c r="HA7" s="957"/>
      <c r="HB7" s="957"/>
      <c r="HC7" s="957"/>
      <c r="HD7" s="957"/>
      <c r="HE7" s="957"/>
      <c r="HF7" s="957"/>
      <c r="HG7" s="957"/>
      <c r="HH7" s="957"/>
      <c r="HI7" s="957"/>
      <c r="HJ7" s="957"/>
      <c r="HK7" s="957"/>
      <c r="HL7" s="957"/>
      <c r="HM7" s="957"/>
      <c r="HN7" s="957"/>
      <c r="HO7" s="957"/>
      <c r="HP7" s="957"/>
      <c r="HQ7" s="957"/>
      <c r="HR7" s="957"/>
      <c r="HS7" s="957"/>
      <c r="HT7" s="957"/>
      <c r="HU7" s="957"/>
      <c r="HV7" s="957"/>
      <c r="HW7" s="957"/>
      <c r="HX7" s="957"/>
      <c r="HY7" s="957"/>
      <c r="HZ7" s="957"/>
      <c r="IA7" s="957"/>
      <c r="IB7" s="957"/>
      <c r="IC7" s="957"/>
      <c r="ID7" s="957"/>
      <c r="IE7" s="957"/>
      <c r="IF7" s="957"/>
      <c r="IG7" s="957"/>
      <c r="IH7" s="957"/>
      <c r="II7" s="957"/>
      <c r="IJ7" s="957"/>
      <c r="IK7" s="957"/>
      <c r="IL7" s="957"/>
      <c r="IM7" s="957"/>
      <c r="IN7" s="957"/>
      <c r="IO7" s="957"/>
      <c r="IP7" s="957"/>
      <c r="IQ7" s="957"/>
      <c r="IR7" s="957"/>
      <c r="IS7" s="957"/>
      <c r="IT7" s="957"/>
      <c r="IU7" s="957"/>
      <c r="IV7" s="957"/>
      <c r="IW7" s="957"/>
      <c r="IX7" s="957"/>
      <c r="IY7" s="957"/>
      <c r="IZ7" s="957"/>
      <c r="JA7" s="957"/>
      <c r="JB7" s="957"/>
      <c r="JC7" s="957"/>
      <c r="JD7" s="957"/>
      <c r="JE7" s="957"/>
      <c r="JF7" s="957"/>
      <c r="JG7" s="957"/>
      <c r="JH7" s="957"/>
      <c r="JI7" s="957"/>
      <c r="JJ7" s="957"/>
      <c r="JK7" s="957"/>
      <c r="JL7" s="957"/>
      <c r="JM7" s="957"/>
      <c r="JN7" s="957"/>
      <c r="JO7" s="957"/>
      <c r="JP7" s="957"/>
      <c r="JQ7" s="957"/>
      <c r="JR7" s="957"/>
      <c r="JS7" s="957"/>
      <c r="JT7" s="957"/>
      <c r="JU7" s="957"/>
      <c r="JV7" s="957"/>
      <c r="JW7" s="957"/>
      <c r="JX7" s="957"/>
      <c r="JY7" s="957"/>
      <c r="JZ7" s="957"/>
      <c r="KA7" s="957"/>
      <c r="KB7" s="957"/>
      <c r="KC7" s="957"/>
      <c r="KD7" s="957"/>
      <c r="KE7" s="957"/>
      <c r="KF7" s="957"/>
      <c r="KG7" s="957"/>
      <c r="KH7" s="957"/>
      <c r="KI7" s="957"/>
      <c r="KJ7" s="957"/>
      <c r="KK7" s="957"/>
      <c r="KL7" s="957"/>
      <c r="KM7" s="957"/>
      <c r="KN7" s="957"/>
      <c r="KO7" s="957"/>
      <c r="KP7" s="957"/>
      <c r="KQ7" s="957"/>
      <c r="KR7" s="957"/>
      <c r="KS7" s="957"/>
      <c r="KT7" s="957"/>
      <c r="KU7" s="957"/>
      <c r="KV7" s="957"/>
      <c r="KW7" s="957"/>
      <c r="KX7" s="957"/>
      <c r="KY7" s="957"/>
      <c r="KZ7" s="957"/>
      <c r="LA7" s="957"/>
      <c r="LB7" s="957"/>
      <c r="LC7" s="957"/>
      <c r="LD7" s="957"/>
      <c r="LE7" s="957"/>
      <c r="LF7" s="957"/>
      <c r="LG7" s="957"/>
      <c r="LH7" s="957"/>
      <c r="LI7" s="957"/>
      <c r="LJ7" s="957"/>
      <c r="LK7" s="957"/>
      <c r="LL7" s="957"/>
      <c r="LM7" s="957"/>
      <c r="LN7" s="957"/>
      <c r="LO7" s="957"/>
      <c r="LP7" s="957"/>
      <c r="LQ7" s="957"/>
      <c r="LR7" s="957"/>
      <c r="LS7" s="957"/>
      <c r="LT7" s="957"/>
      <c r="LU7" s="957"/>
      <c r="LV7" s="957"/>
      <c r="LW7" s="957"/>
      <c r="LX7" s="957"/>
      <c r="LY7" s="957"/>
      <c r="LZ7" s="957"/>
      <c r="MA7" s="957"/>
      <c r="MB7" s="957"/>
      <c r="MC7" s="957"/>
      <c r="MD7" s="957"/>
      <c r="ME7" s="957"/>
      <c r="MF7" s="957"/>
      <c r="MG7" s="957"/>
      <c r="MH7" s="957"/>
      <c r="MI7" s="957"/>
      <c r="MJ7" s="957"/>
      <c r="MK7" s="957"/>
      <c r="ML7" s="957"/>
      <c r="MM7" s="957"/>
      <c r="MN7" s="957"/>
      <c r="MO7" s="957"/>
      <c r="MP7" s="957"/>
      <c r="MQ7" s="957"/>
      <c r="MR7" s="957"/>
      <c r="MS7" s="957"/>
      <c r="MT7" s="957"/>
      <c r="MU7" s="957"/>
      <c r="MV7" s="957"/>
      <c r="MW7" s="957"/>
      <c r="MX7" s="957"/>
      <c r="MY7" s="957"/>
      <c r="MZ7" s="957"/>
      <c r="NA7" s="957"/>
      <c r="NB7" s="957"/>
      <c r="NC7" s="957"/>
      <c r="ND7" s="957"/>
      <c r="NE7" s="957"/>
      <c r="NF7" s="957"/>
      <c r="NG7" s="957"/>
      <c r="NH7" s="957"/>
      <c r="NI7" s="957"/>
      <c r="NJ7" s="957"/>
      <c r="NK7" s="957"/>
      <c r="NL7" s="957"/>
      <c r="NM7" s="957"/>
      <c r="NN7" s="957"/>
      <c r="NO7" s="957"/>
      <c r="NP7" s="957"/>
      <c r="NQ7" s="957"/>
      <c r="NR7" s="957"/>
      <c r="NS7" s="957"/>
      <c r="NT7" s="957"/>
      <c r="NU7" s="957"/>
      <c r="NV7" s="957"/>
      <c r="NW7" s="957"/>
      <c r="NX7" s="957"/>
      <c r="NY7" s="957"/>
      <c r="NZ7" s="957"/>
      <c r="OA7" s="957"/>
      <c r="OB7" s="957"/>
      <c r="OC7" s="957"/>
      <c r="OD7" s="957"/>
      <c r="OE7" s="957"/>
      <c r="OF7" s="957"/>
      <c r="OG7" s="957"/>
      <c r="OH7" s="957"/>
      <c r="OI7" s="957"/>
      <c r="OJ7" s="957"/>
      <c r="OK7" s="957"/>
      <c r="OL7" s="957"/>
      <c r="OM7" s="957"/>
      <c r="ON7" s="957"/>
      <c r="OO7" s="957"/>
      <c r="OP7" s="957"/>
      <c r="OQ7" s="957"/>
      <c r="OR7" s="957"/>
      <c r="OS7" s="957"/>
      <c r="OT7" s="957"/>
      <c r="OU7" s="957"/>
      <c r="OV7" s="957"/>
      <c r="OW7" s="957"/>
      <c r="OX7" s="957"/>
      <c r="OY7" s="957"/>
      <c r="OZ7" s="957"/>
      <c r="PA7" s="957"/>
      <c r="PB7" s="957"/>
      <c r="PC7" s="957"/>
      <c r="PD7" s="957"/>
      <c r="PE7" s="957"/>
      <c r="PF7" s="957"/>
      <c r="PG7" s="957"/>
      <c r="PH7" s="957"/>
      <c r="PI7" s="957"/>
      <c r="PJ7" s="957"/>
      <c r="PK7" s="957"/>
      <c r="PL7" s="957"/>
      <c r="PM7" s="957"/>
      <c r="PN7" s="957"/>
      <c r="PO7" s="957"/>
    </row>
    <row r="8" spans="1:431" s="65" customFormat="1" ht="29.5" thickBot="1">
      <c r="A8" s="548" t="s">
        <v>741</v>
      </c>
      <c r="B8" s="573" t="s">
        <v>747</v>
      </c>
      <c r="C8" s="950" t="s">
        <v>264</v>
      </c>
      <c r="D8" s="950" t="s">
        <v>264</v>
      </c>
      <c r="E8" s="950" t="s">
        <v>264</v>
      </c>
      <c r="F8" s="950" t="s">
        <v>264</v>
      </c>
      <c r="G8" s="562"/>
      <c r="H8" s="950" t="s">
        <v>264</v>
      </c>
      <c r="I8" s="950" t="s">
        <v>264</v>
      </c>
      <c r="J8" s="427">
        <v>748.2</v>
      </c>
      <c r="K8" s="427">
        <v>692.1</v>
      </c>
      <c r="L8" s="864">
        <v>721.1</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row>
    <row r="9" spans="1:431" s="165" customFormat="1">
      <c r="A9" s="865"/>
      <c r="B9" s="865"/>
      <c r="C9" s="850"/>
      <c r="D9" s="850"/>
      <c r="E9" s="850"/>
      <c r="F9" s="850"/>
      <c r="G9" s="850"/>
      <c r="H9" s="850"/>
      <c r="I9" s="850"/>
      <c r="J9" s="850"/>
      <c r="K9" s="850"/>
      <c r="L9" s="850"/>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5"/>
      <c r="AY9" s="865"/>
      <c r="AZ9" s="865"/>
      <c r="BA9" s="865"/>
      <c r="BB9" s="865"/>
      <c r="BC9" s="865"/>
      <c r="BD9" s="865"/>
      <c r="BE9" s="865"/>
      <c r="BF9" s="865"/>
      <c r="BG9" s="865"/>
      <c r="BH9" s="865"/>
      <c r="BI9" s="865"/>
      <c r="BJ9" s="865"/>
      <c r="BK9" s="865"/>
      <c r="BL9" s="865"/>
      <c r="BM9" s="865"/>
      <c r="BN9" s="865"/>
      <c r="BO9" s="865"/>
      <c r="BP9" s="865"/>
      <c r="BQ9" s="865"/>
      <c r="BR9" s="865"/>
      <c r="BS9" s="865"/>
      <c r="BT9" s="865"/>
      <c r="BU9" s="865"/>
      <c r="BV9" s="865"/>
      <c r="BW9" s="865"/>
      <c r="BX9" s="865"/>
      <c r="BY9" s="865"/>
      <c r="BZ9" s="865"/>
      <c r="CA9" s="865"/>
      <c r="CB9" s="865"/>
      <c r="CC9" s="865"/>
      <c r="CD9" s="865"/>
      <c r="CE9" s="865"/>
      <c r="CF9" s="865"/>
      <c r="CG9" s="865"/>
      <c r="CH9" s="865"/>
      <c r="CI9" s="865"/>
      <c r="CJ9" s="865"/>
      <c r="CK9" s="865"/>
      <c r="CL9" s="865"/>
      <c r="CM9" s="865"/>
      <c r="CN9" s="865"/>
      <c r="CO9" s="865"/>
      <c r="CP9" s="865"/>
      <c r="CQ9" s="865"/>
      <c r="CR9" s="865"/>
      <c r="CS9" s="865"/>
      <c r="CT9" s="865"/>
      <c r="CU9" s="865"/>
      <c r="CV9" s="865"/>
      <c r="CW9" s="865"/>
      <c r="CX9" s="865"/>
      <c r="CY9" s="865"/>
      <c r="CZ9" s="865"/>
      <c r="DA9" s="865"/>
      <c r="DB9" s="865"/>
      <c r="DC9" s="865"/>
      <c r="DD9" s="865"/>
      <c r="DE9" s="865"/>
      <c r="DF9" s="865"/>
      <c r="DG9" s="865"/>
      <c r="DH9" s="865"/>
      <c r="DI9" s="865"/>
      <c r="DJ9" s="865"/>
      <c r="DK9" s="865"/>
      <c r="DL9" s="865"/>
      <c r="DM9" s="865"/>
      <c r="DN9" s="865"/>
      <c r="DO9" s="865"/>
      <c r="DP9" s="865"/>
      <c r="DQ9" s="865"/>
      <c r="DR9" s="865"/>
      <c r="DS9" s="865"/>
      <c r="DT9" s="865"/>
      <c r="DU9" s="865"/>
      <c r="DV9" s="865"/>
      <c r="DW9" s="865"/>
      <c r="DX9" s="865"/>
      <c r="DY9" s="865"/>
      <c r="DZ9" s="865"/>
      <c r="EA9" s="865"/>
      <c r="EB9" s="865"/>
      <c r="EC9" s="865"/>
      <c r="ED9" s="865"/>
      <c r="EE9" s="865"/>
      <c r="EF9" s="865"/>
      <c r="EG9" s="865"/>
      <c r="EH9" s="865"/>
      <c r="EI9" s="865"/>
      <c r="EJ9" s="865"/>
      <c r="EK9" s="865"/>
      <c r="EL9" s="865"/>
      <c r="EM9" s="865"/>
      <c r="EN9" s="865"/>
      <c r="EO9" s="865"/>
      <c r="EP9" s="865"/>
      <c r="EQ9" s="865"/>
      <c r="ER9" s="865"/>
      <c r="ES9" s="865"/>
      <c r="ET9" s="865"/>
      <c r="EU9" s="865"/>
      <c r="EV9" s="865"/>
      <c r="EW9" s="865"/>
      <c r="EX9" s="865"/>
      <c r="EY9" s="865"/>
      <c r="EZ9" s="865"/>
      <c r="FA9" s="865"/>
      <c r="FB9" s="865"/>
      <c r="FC9" s="865"/>
      <c r="FD9" s="865"/>
      <c r="FE9" s="865"/>
      <c r="FF9" s="865"/>
      <c r="FG9" s="865"/>
      <c r="FH9" s="865"/>
      <c r="FI9" s="865"/>
      <c r="FJ9" s="865"/>
      <c r="FK9" s="865"/>
      <c r="FL9" s="865"/>
      <c r="FM9" s="865"/>
      <c r="FN9" s="865"/>
      <c r="FO9" s="865"/>
      <c r="FP9" s="865"/>
      <c r="FQ9" s="865"/>
      <c r="FR9" s="865"/>
      <c r="FS9" s="865"/>
      <c r="FT9" s="865"/>
      <c r="FU9" s="865"/>
      <c r="FV9" s="865"/>
      <c r="FW9" s="865"/>
      <c r="FX9" s="865"/>
      <c r="FY9" s="865"/>
      <c r="FZ9" s="865"/>
      <c r="GA9" s="865"/>
      <c r="GB9" s="865"/>
      <c r="GC9" s="865"/>
      <c r="GD9" s="865"/>
      <c r="GE9" s="865"/>
      <c r="GF9" s="865"/>
      <c r="GG9" s="865"/>
      <c r="GH9" s="865"/>
      <c r="GI9" s="865"/>
      <c r="GJ9" s="865"/>
      <c r="GK9" s="865"/>
      <c r="GL9" s="865"/>
      <c r="GM9" s="865"/>
      <c r="GN9" s="865"/>
      <c r="GO9" s="865"/>
      <c r="GP9" s="865"/>
      <c r="GQ9" s="865"/>
      <c r="GR9" s="865"/>
      <c r="GS9" s="865"/>
      <c r="GT9" s="865"/>
      <c r="GU9" s="865"/>
      <c r="GV9" s="865"/>
      <c r="GW9" s="865"/>
      <c r="GX9" s="865"/>
      <c r="GY9" s="865"/>
      <c r="GZ9" s="865"/>
      <c r="HA9" s="865"/>
      <c r="HB9" s="865"/>
      <c r="HC9" s="865"/>
      <c r="HD9" s="865"/>
      <c r="HE9" s="865"/>
      <c r="HF9" s="865"/>
      <c r="HG9" s="865"/>
      <c r="HH9" s="865"/>
      <c r="HI9" s="865"/>
      <c r="HJ9" s="865"/>
      <c r="HK9" s="865"/>
      <c r="HL9" s="865"/>
      <c r="HM9" s="865"/>
      <c r="HN9" s="865"/>
      <c r="HO9" s="865"/>
      <c r="HP9" s="865"/>
      <c r="HQ9" s="865"/>
      <c r="HR9" s="865"/>
      <c r="HS9" s="865"/>
      <c r="HT9" s="865"/>
      <c r="HU9" s="865"/>
      <c r="HV9" s="865"/>
      <c r="HW9" s="865"/>
      <c r="HX9" s="865"/>
      <c r="HY9" s="865"/>
      <c r="HZ9" s="865"/>
      <c r="IA9" s="865"/>
      <c r="IB9" s="865"/>
      <c r="IC9" s="865"/>
      <c r="ID9" s="865"/>
      <c r="IE9" s="865"/>
      <c r="IF9" s="865"/>
      <c r="IG9" s="865"/>
      <c r="IH9" s="865"/>
      <c r="II9" s="865"/>
      <c r="IJ9" s="865"/>
      <c r="IK9" s="865"/>
      <c r="IL9" s="865"/>
      <c r="IM9" s="865"/>
      <c r="IN9" s="865"/>
      <c r="IO9" s="865"/>
      <c r="IP9" s="865"/>
      <c r="IQ9" s="865"/>
      <c r="IR9" s="865"/>
      <c r="IS9" s="865"/>
      <c r="IT9" s="865"/>
      <c r="IU9" s="865"/>
      <c r="IV9" s="865"/>
      <c r="IW9" s="865"/>
      <c r="IX9" s="865"/>
      <c r="IY9" s="865"/>
      <c r="IZ9" s="865"/>
      <c r="JA9" s="865"/>
      <c r="JB9" s="865"/>
      <c r="JC9" s="865"/>
      <c r="JD9" s="865"/>
      <c r="JE9" s="865"/>
      <c r="JF9" s="865"/>
      <c r="JG9" s="865"/>
      <c r="JH9" s="865"/>
      <c r="JI9" s="865"/>
      <c r="JJ9" s="865"/>
      <c r="JK9" s="865"/>
      <c r="JL9" s="865"/>
      <c r="JM9" s="865"/>
      <c r="JN9" s="865"/>
      <c r="JO9" s="865"/>
      <c r="JP9" s="865"/>
      <c r="JQ9" s="865"/>
      <c r="JR9" s="865"/>
      <c r="JS9" s="865"/>
      <c r="JT9" s="865"/>
      <c r="JU9" s="865"/>
      <c r="JV9" s="865"/>
      <c r="JW9" s="865"/>
      <c r="JX9" s="865"/>
      <c r="JY9" s="865"/>
      <c r="JZ9" s="865"/>
      <c r="KA9" s="865"/>
      <c r="KB9" s="865"/>
      <c r="KC9" s="865"/>
      <c r="KD9" s="865"/>
      <c r="KE9" s="865"/>
      <c r="KF9" s="865"/>
      <c r="KG9" s="865"/>
      <c r="KH9" s="865"/>
      <c r="KI9" s="865"/>
      <c r="KJ9" s="865"/>
      <c r="KK9" s="865"/>
      <c r="KL9" s="865"/>
      <c r="KM9" s="865"/>
      <c r="KN9" s="865"/>
      <c r="KO9" s="865"/>
      <c r="KP9" s="865"/>
      <c r="KQ9" s="865"/>
      <c r="KR9" s="865"/>
      <c r="KS9" s="865"/>
      <c r="KT9" s="865"/>
      <c r="KU9" s="865"/>
      <c r="KV9" s="865"/>
      <c r="KW9" s="865"/>
      <c r="KX9" s="865"/>
      <c r="KY9" s="865"/>
      <c r="KZ9" s="865"/>
      <c r="LA9" s="865"/>
      <c r="LB9" s="865"/>
      <c r="LC9" s="865"/>
      <c r="LD9" s="865"/>
      <c r="LE9" s="865"/>
      <c r="LF9" s="865"/>
      <c r="LG9" s="865"/>
      <c r="LH9" s="865"/>
      <c r="LI9" s="865"/>
      <c r="LJ9" s="865"/>
      <c r="LK9" s="865"/>
      <c r="LL9" s="865"/>
      <c r="LM9" s="865"/>
      <c r="LN9" s="865"/>
      <c r="LO9" s="865"/>
      <c r="LP9" s="865"/>
      <c r="LQ9" s="865"/>
      <c r="LR9" s="865"/>
      <c r="LS9" s="865"/>
      <c r="LT9" s="865"/>
      <c r="LU9" s="865"/>
      <c r="LV9" s="865"/>
      <c r="LW9" s="865"/>
      <c r="LX9" s="865"/>
      <c r="LY9" s="865"/>
      <c r="LZ9" s="865"/>
      <c r="MA9" s="865"/>
      <c r="MB9" s="865"/>
      <c r="MC9" s="865"/>
      <c r="MD9" s="865"/>
      <c r="ME9" s="865"/>
      <c r="MF9" s="865"/>
      <c r="MG9" s="865"/>
      <c r="MH9" s="865"/>
      <c r="MI9" s="865"/>
      <c r="MJ9" s="865"/>
      <c r="MK9" s="865"/>
      <c r="ML9" s="865"/>
      <c r="MM9" s="865"/>
      <c r="MN9" s="865"/>
      <c r="MO9" s="865"/>
      <c r="MP9" s="865"/>
      <c r="MQ9" s="865"/>
      <c r="MR9" s="865"/>
      <c r="MS9" s="865"/>
      <c r="MT9" s="865"/>
      <c r="MU9" s="865"/>
      <c r="MV9" s="865"/>
      <c r="MW9" s="865"/>
      <c r="MX9" s="865"/>
      <c r="MY9" s="865"/>
      <c r="MZ9" s="865"/>
      <c r="NA9" s="865"/>
      <c r="NB9" s="865"/>
      <c r="NC9" s="865"/>
      <c r="ND9" s="865"/>
      <c r="NE9" s="865"/>
      <c r="NF9" s="865"/>
      <c r="NG9" s="865"/>
      <c r="NH9" s="865"/>
      <c r="NI9" s="865"/>
      <c r="NJ9" s="865"/>
      <c r="NK9" s="865"/>
      <c r="NL9" s="865"/>
      <c r="NM9" s="865"/>
      <c r="NN9" s="865"/>
      <c r="NO9" s="865"/>
      <c r="NP9" s="865"/>
      <c r="NQ9" s="865"/>
      <c r="NR9" s="865"/>
      <c r="NS9" s="865"/>
      <c r="NT9" s="865"/>
      <c r="NU9" s="865"/>
      <c r="NV9" s="865"/>
      <c r="NW9" s="865"/>
      <c r="NX9" s="865"/>
      <c r="NY9" s="865"/>
      <c r="NZ9" s="865"/>
      <c r="OA9" s="865"/>
      <c r="OB9" s="865"/>
      <c r="OC9" s="865"/>
      <c r="OD9" s="865"/>
      <c r="OE9" s="865"/>
      <c r="OF9" s="865"/>
      <c r="OG9" s="865"/>
      <c r="OH9" s="865"/>
      <c r="OI9" s="865"/>
      <c r="OJ9" s="865"/>
      <c r="OK9" s="865"/>
      <c r="OL9" s="865"/>
      <c r="OM9" s="865"/>
      <c r="ON9" s="865"/>
      <c r="OO9" s="865"/>
      <c r="OP9" s="865"/>
      <c r="OQ9" s="865"/>
      <c r="OR9" s="865"/>
      <c r="OS9" s="865"/>
      <c r="OT9" s="865"/>
      <c r="OU9" s="865"/>
      <c r="OV9" s="865"/>
      <c r="OW9" s="865"/>
      <c r="OX9" s="865"/>
      <c r="OY9" s="865"/>
      <c r="OZ9" s="865"/>
      <c r="PA9" s="865"/>
      <c r="PB9" s="865"/>
      <c r="PC9" s="865"/>
      <c r="PD9" s="865"/>
      <c r="PE9" s="865"/>
      <c r="PF9" s="865"/>
      <c r="PG9" s="865"/>
      <c r="PH9" s="865"/>
      <c r="PI9" s="865"/>
      <c r="PJ9" s="865"/>
      <c r="PK9" s="865"/>
      <c r="PL9" s="865"/>
      <c r="PM9" s="865"/>
      <c r="PN9" s="865"/>
      <c r="PO9" s="865"/>
    </row>
    <row r="10" spans="1:431" s="165" customFormat="1">
      <c r="A10" s="865"/>
      <c r="B10" s="865"/>
      <c r="C10" s="850"/>
      <c r="D10" s="850"/>
      <c r="E10" s="850"/>
      <c r="F10" s="850"/>
      <c r="G10" s="850"/>
      <c r="H10" s="850"/>
      <c r="I10" s="850"/>
      <c r="J10" s="850"/>
      <c r="K10" s="850"/>
      <c r="L10" s="850"/>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5"/>
      <c r="AY10" s="865"/>
      <c r="AZ10" s="865"/>
      <c r="BA10" s="865"/>
      <c r="BB10" s="865"/>
      <c r="BC10" s="865"/>
      <c r="BD10" s="865"/>
      <c r="BE10" s="865"/>
      <c r="BF10" s="865"/>
      <c r="BG10" s="865"/>
      <c r="BH10" s="865"/>
      <c r="BI10" s="865"/>
      <c r="BJ10" s="865"/>
      <c r="BK10" s="865"/>
      <c r="BL10" s="865"/>
      <c r="BM10" s="865"/>
      <c r="BN10" s="865"/>
      <c r="BO10" s="865"/>
      <c r="BP10" s="865"/>
      <c r="BQ10" s="865"/>
      <c r="BR10" s="865"/>
      <c r="BS10" s="865"/>
      <c r="BT10" s="865"/>
      <c r="BU10" s="865"/>
      <c r="BV10" s="865"/>
      <c r="BW10" s="865"/>
      <c r="BX10" s="865"/>
      <c r="BY10" s="865"/>
      <c r="BZ10" s="865"/>
      <c r="CA10" s="865"/>
      <c r="CB10" s="865"/>
      <c r="CC10" s="865"/>
      <c r="CD10" s="865"/>
      <c r="CE10" s="865"/>
      <c r="CF10" s="865"/>
      <c r="CG10" s="865"/>
      <c r="CH10" s="865"/>
      <c r="CI10" s="865"/>
      <c r="CJ10" s="865"/>
      <c r="CK10" s="865"/>
      <c r="CL10" s="865"/>
      <c r="CM10" s="865"/>
      <c r="CN10" s="865"/>
      <c r="CO10" s="865"/>
      <c r="CP10" s="865"/>
      <c r="CQ10" s="865"/>
      <c r="CR10" s="865"/>
      <c r="CS10" s="865"/>
      <c r="CT10" s="865"/>
      <c r="CU10" s="865"/>
      <c r="CV10" s="865"/>
      <c r="CW10" s="865"/>
      <c r="CX10" s="865"/>
      <c r="CY10" s="865"/>
      <c r="CZ10" s="865"/>
      <c r="DA10" s="865"/>
      <c r="DB10" s="865"/>
      <c r="DC10" s="865"/>
      <c r="DD10" s="865"/>
      <c r="DE10" s="865"/>
      <c r="DF10" s="865"/>
      <c r="DG10" s="865"/>
      <c r="DH10" s="865"/>
      <c r="DI10" s="865"/>
      <c r="DJ10" s="865"/>
      <c r="DK10" s="865"/>
      <c r="DL10" s="865"/>
      <c r="DM10" s="865"/>
      <c r="DN10" s="865"/>
      <c r="DO10" s="865"/>
      <c r="DP10" s="865"/>
      <c r="DQ10" s="865"/>
      <c r="DR10" s="865"/>
      <c r="DS10" s="865"/>
      <c r="DT10" s="865"/>
      <c r="DU10" s="865"/>
      <c r="DV10" s="865"/>
      <c r="DW10" s="865"/>
      <c r="DX10" s="865"/>
      <c r="DY10" s="865"/>
      <c r="DZ10" s="865"/>
      <c r="EA10" s="865"/>
      <c r="EB10" s="865"/>
      <c r="EC10" s="865"/>
      <c r="ED10" s="865"/>
      <c r="EE10" s="865"/>
      <c r="EF10" s="865"/>
      <c r="EG10" s="865"/>
      <c r="EH10" s="865"/>
      <c r="EI10" s="865"/>
      <c r="EJ10" s="865"/>
      <c r="EK10" s="865"/>
      <c r="EL10" s="865"/>
      <c r="EM10" s="865"/>
      <c r="EN10" s="865"/>
      <c r="EO10" s="865"/>
      <c r="EP10" s="865"/>
      <c r="EQ10" s="865"/>
      <c r="ER10" s="865"/>
      <c r="ES10" s="865"/>
      <c r="ET10" s="865"/>
      <c r="EU10" s="865"/>
      <c r="EV10" s="865"/>
      <c r="EW10" s="865"/>
      <c r="EX10" s="865"/>
      <c r="EY10" s="865"/>
      <c r="EZ10" s="865"/>
      <c r="FA10" s="865"/>
      <c r="FB10" s="865"/>
      <c r="FC10" s="865"/>
      <c r="FD10" s="865"/>
      <c r="FE10" s="865"/>
      <c r="FF10" s="865"/>
      <c r="FG10" s="865"/>
      <c r="FH10" s="865"/>
      <c r="FI10" s="865"/>
      <c r="FJ10" s="865"/>
      <c r="FK10" s="865"/>
      <c r="FL10" s="865"/>
      <c r="FM10" s="865"/>
      <c r="FN10" s="865"/>
      <c r="FO10" s="865"/>
      <c r="FP10" s="865"/>
      <c r="FQ10" s="865"/>
      <c r="FR10" s="865"/>
      <c r="FS10" s="865"/>
      <c r="FT10" s="865"/>
      <c r="FU10" s="865"/>
      <c r="FV10" s="865"/>
      <c r="FW10" s="865"/>
      <c r="FX10" s="865"/>
      <c r="FY10" s="865"/>
      <c r="FZ10" s="865"/>
      <c r="GA10" s="865"/>
      <c r="GB10" s="865"/>
      <c r="GC10" s="865"/>
      <c r="GD10" s="865"/>
      <c r="GE10" s="865"/>
      <c r="GF10" s="865"/>
      <c r="GG10" s="865"/>
      <c r="GH10" s="865"/>
      <c r="GI10" s="865"/>
      <c r="GJ10" s="865"/>
      <c r="GK10" s="865"/>
      <c r="GL10" s="865"/>
      <c r="GM10" s="865"/>
      <c r="GN10" s="865"/>
      <c r="GO10" s="865"/>
      <c r="GP10" s="865"/>
      <c r="GQ10" s="865"/>
      <c r="GR10" s="865"/>
      <c r="GS10" s="865"/>
      <c r="GT10" s="865"/>
      <c r="GU10" s="865"/>
      <c r="GV10" s="865"/>
      <c r="GW10" s="865"/>
      <c r="GX10" s="865"/>
      <c r="GY10" s="865"/>
      <c r="GZ10" s="865"/>
      <c r="HA10" s="865"/>
      <c r="HB10" s="865"/>
      <c r="HC10" s="865"/>
      <c r="HD10" s="865"/>
      <c r="HE10" s="865"/>
      <c r="HF10" s="865"/>
      <c r="HG10" s="865"/>
      <c r="HH10" s="865"/>
      <c r="HI10" s="865"/>
      <c r="HJ10" s="865"/>
      <c r="HK10" s="865"/>
      <c r="HL10" s="865"/>
      <c r="HM10" s="865"/>
      <c r="HN10" s="865"/>
      <c r="HO10" s="865"/>
      <c r="HP10" s="865"/>
      <c r="HQ10" s="865"/>
      <c r="HR10" s="865"/>
      <c r="HS10" s="865"/>
      <c r="HT10" s="865"/>
      <c r="HU10" s="865"/>
      <c r="HV10" s="865"/>
      <c r="HW10" s="865"/>
      <c r="HX10" s="865"/>
      <c r="HY10" s="865"/>
      <c r="HZ10" s="865"/>
      <c r="IA10" s="865"/>
      <c r="IB10" s="865"/>
      <c r="IC10" s="865"/>
      <c r="ID10" s="865"/>
      <c r="IE10" s="865"/>
      <c r="IF10" s="865"/>
      <c r="IG10" s="865"/>
      <c r="IH10" s="865"/>
      <c r="II10" s="865"/>
      <c r="IJ10" s="865"/>
      <c r="IK10" s="865"/>
      <c r="IL10" s="865"/>
      <c r="IM10" s="865"/>
      <c r="IN10" s="865"/>
      <c r="IO10" s="865"/>
      <c r="IP10" s="865"/>
      <c r="IQ10" s="865"/>
      <c r="IR10" s="865"/>
      <c r="IS10" s="865"/>
      <c r="IT10" s="865"/>
      <c r="IU10" s="865"/>
      <c r="IV10" s="865"/>
      <c r="IW10" s="865"/>
      <c r="IX10" s="865"/>
      <c r="IY10" s="865"/>
      <c r="IZ10" s="865"/>
      <c r="JA10" s="865"/>
      <c r="JB10" s="865"/>
      <c r="JC10" s="865"/>
      <c r="JD10" s="865"/>
      <c r="JE10" s="865"/>
      <c r="JF10" s="865"/>
      <c r="JG10" s="865"/>
      <c r="JH10" s="865"/>
      <c r="JI10" s="865"/>
      <c r="JJ10" s="865"/>
      <c r="JK10" s="865"/>
      <c r="JL10" s="865"/>
      <c r="JM10" s="865"/>
      <c r="JN10" s="865"/>
      <c r="JO10" s="865"/>
      <c r="JP10" s="865"/>
      <c r="JQ10" s="865"/>
      <c r="JR10" s="865"/>
      <c r="JS10" s="865"/>
      <c r="JT10" s="865"/>
      <c r="JU10" s="865"/>
      <c r="JV10" s="865"/>
      <c r="JW10" s="865"/>
      <c r="JX10" s="865"/>
      <c r="JY10" s="865"/>
      <c r="JZ10" s="865"/>
      <c r="KA10" s="865"/>
      <c r="KB10" s="865"/>
      <c r="KC10" s="865"/>
      <c r="KD10" s="865"/>
      <c r="KE10" s="865"/>
      <c r="KF10" s="865"/>
      <c r="KG10" s="865"/>
      <c r="KH10" s="865"/>
      <c r="KI10" s="865"/>
      <c r="KJ10" s="865"/>
      <c r="KK10" s="865"/>
      <c r="KL10" s="865"/>
      <c r="KM10" s="865"/>
      <c r="KN10" s="865"/>
      <c r="KO10" s="865"/>
      <c r="KP10" s="865"/>
      <c r="KQ10" s="865"/>
      <c r="KR10" s="865"/>
      <c r="KS10" s="865"/>
      <c r="KT10" s="865"/>
      <c r="KU10" s="865"/>
      <c r="KV10" s="865"/>
      <c r="KW10" s="865"/>
      <c r="KX10" s="865"/>
      <c r="KY10" s="865"/>
      <c r="KZ10" s="865"/>
      <c r="LA10" s="865"/>
      <c r="LB10" s="865"/>
      <c r="LC10" s="865"/>
      <c r="LD10" s="865"/>
      <c r="LE10" s="865"/>
      <c r="LF10" s="865"/>
      <c r="LG10" s="865"/>
      <c r="LH10" s="865"/>
      <c r="LI10" s="865"/>
      <c r="LJ10" s="865"/>
      <c r="LK10" s="865"/>
      <c r="LL10" s="865"/>
      <c r="LM10" s="865"/>
      <c r="LN10" s="865"/>
      <c r="LO10" s="865"/>
      <c r="LP10" s="865"/>
      <c r="LQ10" s="865"/>
      <c r="LR10" s="865"/>
      <c r="LS10" s="865"/>
      <c r="LT10" s="865"/>
      <c r="LU10" s="865"/>
      <c r="LV10" s="865"/>
      <c r="LW10" s="865"/>
      <c r="LX10" s="865"/>
      <c r="LY10" s="865"/>
      <c r="LZ10" s="865"/>
      <c r="MA10" s="865"/>
      <c r="MB10" s="865"/>
      <c r="MC10" s="865"/>
      <c r="MD10" s="865"/>
      <c r="ME10" s="865"/>
      <c r="MF10" s="865"/>
      <c r="MG10" s="865"/>
      <c r="MH10" s="865"/>
      <c r="MI10" s="865"/>
      <c r="MJ10" s="865"/>
      <c r="MK10" s="865"/>
      <c r="ML10" s="865"/>
      <c r="MM10" s="865"/>
      <c r="MN10" s="865"/>
      <c r="MO10" s="865"/>
      <c r="MP10" s="865"/>
      <c r="MQ10" s="865"/>
      <c r="MR10" s="865"/>
      <c r="MS10" s="865"/>
      <c r="MT10" s="865"/>
      <c r="MU10" s="865"/>
      <c r="MV10" s="865"/>
      <c r="MW10" s="865"/>
      <c r="MX10" s="865"/>
      <c r="MY10" s="865"/>
      <c r="MZ10" s="865"/>
      <c r="NA10" s="865"/>
      <c r="NB10" s="865"/>
      <c r="NC10" s="865"/>
      <c r="ND10" s="865"/>
      <c r="NE10" s="865"/>
      <c r="NF10" s="865"/>
      <c r="NG10" s="865"/>
      <c r="NH10" s="865"/>
      <c r="NI10" s="865"/>
      <c r="NJ10" s="865"/>
      <c r="NK10" s="865"/>
      <c r="NL10" s="865"/>
      <c r="NM10" s="865"/>
      <c r="NN10" s="865"/>
      <c r="NO10" s="865"/>
      <c r="NP10" s="865"/>
      <c r="NQ10" s="865"/>
      <c r="NR10" s="865"/>
      <c r="NS10" s="865"/>
      <c r="NT10" s="865"/>
      <c r="NU10" s="865"/>
      <c r="NV10" s="865"/>
      <c r="NW10" s="865"/>
      <c r="NX10" s="865"/>
      <c r="NY10" s="865"/>
      <c r="NZ10" s="865"/>
      <c r="OA10" s="865"/>
      <c r="OB10" s="865"/>
      <c r="OC10" s="865"/>
      <c r="OD10" s="865"/>
      <c r="OE10" s="865"/>
      <c r="OF10" s="865"/>
      <c r="OG10" s="865"/>
      <c r="OH10" s="865"/>
      <c r="OI10" s="865"/>
      <c r="OJ10" s="865"/>
      <c r="OK10" s="865"/>
      <c r="OL10" s="865"/>
      <c r="OM10" s="865"/>
      <c r="ON10" s="865"/>
      <c r="OO10" s="865"/>
      <c r="OP10" s="865"/>
      <c r="OQ10" s="865"/>
      <c r="OR10" s="865"/>
      <c r="OS10" s="865"/>
      <c r="OT10" s="865"/>
      <c r="OU10" s="865"/>
      <c r="OV10" s="865"/>
      <c r="OW10" s="865"/>
      <c r="OX10" s="865"/>
      <c r="OY10" s="865"/>
      <c r="OZ10" s="865"/>
      <c r="PA10" s="865"/>
      <c r="PB10" s="865"/>
      <c r="PC10" s="865"/>
      <c r="PD10" s="865"/>
      <c r="PE10" s="865"/>
      <c r="PF10" s="865"/>
      <c r="PG10" s="865"/>
      <c r="PH10" s="865"/>
      <c r="PI10" s="865"/>
      <c r="PJ10" s="865"/>
      <c r="PK10" s="865"/>
      <c r="PL10" s="865"/>
      <c r="PM10" s="865"/>
      <c r="PN10" s="865"/>
      <c r="PO10" s="865"/>
    </row>
    <row r="11" spans="1:431" s="165" customFormat="1">
      <c r="A11" s="865"/>
      <c r="B11" s="865"/>
      <c r="C11" s="871"/>
      <c r="D11" s="871"/>
      <c r="E11" s="174"/>
      <c r="F11" s="174"/>
      <c r="G11" s="850"/>
      <c r="H11" s="871"/>
      <c r="I11" s="871"/>
      <c r="J11" s="172"/>
      <c r="K11" s="172"/>
      <c r="L11" s="850"/>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5"/>
      <c r="AY11" s="865"/>
      <c r="AZ11" s="865"/>
      <c r="BA11" s="865"/>
      <c r="BB11" s="865"/>
      <c r="BC11" s="865"/>
      <c r="BD11" s="865"/>
      <c r="BE11" s="865"/>
      <c r="BF11" s="865"/>
      <c r="BG11" s="865"/>
      <c r="BH11" s="865"/>
      <c r="BI11" s="865"/>
      <c r="BJ11" s="865"/>
      <c r="BK11" s="865"/>
      <c r="BL11" s="865"/>
      <c r="BM11" s="865"/>
      <c r="BN11" s="865"/>
      <c r="BO11" s="865"/>
      <c r="BP11" s="865"/>
      <c r="BQ11" s="865"/>
      <c r="BR11" s="865"/>
      <c r="BS11" s="865"/>
      <c r="BT11" s="865"/>
      <c r="BU11" s="865"/>
      <c r="BV11" s="865"/>
      <c r="BW11" s="865"/>
      <c r="BX11" s="865"/>
      <c r="BY11" s="865"/>
      <c r="BZ11" s="865"/>
      <c r="CA11" s="865"/>
      <c r="CB11" s="865"/>
      <c r="CC11" s="865"/>
      <c r="CD11" s="865"/>
      <c r="CE11" s="865"/>
      <c r="CF11" s="865"/>
      <c r="CG11" s="865"/>
      <c r="CH11" s="865"/>
      <c r="CI11" s="865"/>
      <c r="CJ11" s="865"/>
      <c r="CK11" s="865"/>
      <c r="CL11" s="865"/>
      <c r="CM11" s="865"/>
      <c r="CN11" s="865"/>
      <c r="CO11" s="865"/>
      <c r="CP11" s="865"/>
      <c r="CQ11" s="865"/>
      <c r="CR11" s="865"/>
      <c r="CS11" s="865"/>
      <c r="CT11" s="865"/>
      <c r="CU11" s="865"/>
      <c r="CV11" s="865"/>
      <c r="CW11" s="865"/>
      <c r="CX11" s="865"/>
      <c r="CY11" s="865"/>
      <c r="CZ11" s="865"/>
      <c r="DA11" s="865"/>
      <c r="DB11" s="865"/>
      <c r="DC11" s="865"/>
      <c r="DD11" s="865"/>
      <c r="DE11" s="865"/>
      <c r="DF11" s="865"/>
      <c r="DG11" s="865"/>
      <c r="DH11" s="865"/>
      <c r="DI11" s="865"/>
      <c r="DJ11" s="865"/>
      <c r="DK11" s="865"/>
      <c r="DL11" s="865"/>
      <c r="DM11" s="865"/>
      <c r="DN11" s="865"/>
      <c r="DO11" s="865"/>
      <c r="DP11" s="865"/>
      <c r="DQ11" s="865"/>
      <c r="DR11" s="865"/>
      <c r="DS11" s="865"/>
      <c r="DT11" s="865"/>
      <c r="DU11" s="865"/>
      <c r="DV11" s="865"/>
      <c r="DW11" s="865"/>
      <c r="DX11" s="865"/>
      <c r="DY11" s="865"/>
      <c r="DZ11" s="865"/>
      <c r="EA11" s="865"/>
      <c r="EB11" s="865"/>
      <c r="EC11" s="865"/>
      <c r="ED11" s="865"/>
      <c r="EE11" s="865"/>
      <c r="EF11" s="865"/>
      <c r="EG11" s="865"/>
      <c r="EH11" s="865"/>
      <c r="EI11" s="865"/>
      <c r="EJ11" s="865"/>
      <c r="EK11" s="865"/>
      <c r="EL11" s="865"/>
      <c r="EM11" s="865"/>
      <c r="EN11" s="865"/>
      <c r="EO11" s="865"/>
      <c r="EP11" s="865"/>
      <c r="EQ11" s="865"/>
      <c r="ER11" s="865"/>
      <c r="ES11" s="865"/>
      <c r="ET11" s="865"/>
      <c r="EU11" s="865"/>
      <c r="EV11" s="865"/>
      <c r="EW11" s="865"/>
      <c r="EX11" s="865"/>
      <c r="EY11" s="865"/>
      <c r="EZ11" s="865"/>
      <c r="FA11" s="865"/>
      <c r="FB11" s="865"/>
      <c r="FC11" s="865"/>
      <c r="FD11" s="865"/>
      <c r="FE11" s="865"/>
      <c r="FF11" s="865"/>
      <c r="FG11" s="865"/>
      <c r="FH11" s="865"/>
      <c r="FI11" s="865"/>
      <c r="FJ11" s="865"/>
      <c r="FK11" s="865"/>
      <c r="FL11" s="865"/>
      <c r="FM11" s="865"/>
      <c r="FN11" s="865"/>
      <c r="FO11" s="865"/>
      <c r="FP11" s="865"/>
      <c r="FQ11" s="865"/>
      <c r="FR11" s="865"/>
      <c r="FS11" s="865"/>
      <c r="FT11" s="865"/>
      <c r="FU11" s="865"/>
      <c r="FV11" s="865"/>
      <c r="FW11" s="865"/>
      <c r="FX11" s="865"/>
      <c r="FY11" s="865"/>
      <c r="FZ11" s="865"/>
      <c r="GA11" s="865"/>
      <c r="GB11" s="865"/>
      <c r="GC11" s="865"/>
      <c r="GD11" s="865"/>
      <c r="GE11" s="865"/>
      <c r="GF11" s="865"/>
      <c r="GG11" s="865"/>
      <c r="GH11" s="865"/>
      <c r="GI11" s="865"/>
      <c r="GJ11" s="865"/>
      <c r="GK11" s="865"/>
      <c r="GL11" s="865"/>
      <c r="GM11" s="865"/>
      <c r="GN11" s="865"/>
      <c r="GO11" s="865"/>
      <c r="GP11" s="865"/>
      <c r="GQ11" s="865"/>
      <c r="GR11" s="865"/>
      <c r="GS11" s="865"/>
      <c r="GT11" s="865"/>
      <c r="GU11" s="865"/>
      <c r="GV11" s="865"/>
      <c r="GW11" s="865"/>
      <c r="GX11" s="865"/>
      <c r="GY11" s="865"/>
      <c r="GZ11" s="865"/>
      <c r="HA11" s="865"/>
      <c r="HB11" s="865"/>
      <c r="HC11" s="865"/>
      <c r="HD11" s="865"/>
      <c r="HE11" s="865"/>
      <c r="HF11" s="865"/>
      <c r="HG11" s="865"/>
      <c r="HH11" s="865"/>
      <c r="HI11" s="865"/>
      <c r="HJ11" s="865"/>
      <c r="HK11" s="865"/>
      <c r="HL11" s="865"/>
      <c r="HM11" s="865"/>
      <c r="HN11" s="865"/>
      <c r="HO11" s="865"/>
      <c r="HP11" s="865"/>
      <c r="HQ11" s="865"/>
      <c r="HR11" s="865"/>
      <c r="HS11" s="865"/>
      <c r="HT11" s="865"/>
      <c r="HU11" s="865"/>
      <c r="HV11" s="865"/>
      <c r="HW11" s="865"/>
      <c r="HX11" s="865"/>
      <c r="HY11" s="865"/>
      <c r="HZ11" s="865"/>
      <c r="IA11" s="865"/>
      <c r="IB11" s="865"/>
      <c r="IC11" s="865"/>
      <c r="ID11" s="865"/>
      <c r="IE11" s="865"/>
      <c r="IF11" s="865"/>
      <c r="IG11" s="865"/>
      <c r="IH11" s="865"/>
      <c r="II11" s="865"/>
      <c r="IJ11" s="865"/>
      <c r="IK11" s="865"/>
      <c r="IL11" s="865"/>
      <c r="IM11" s="865"/>
      <c r="IN11" s="865"/>
      <c r="IO11" s="865"/>
      <c r="IP11" s="865"/>
      <c r="IQ11" s="865"/>
      <c r="IR11" s="865"/>
      <c r="IS11" s="865"/>
      <c r="IT11" s="865"/>
      <c r="IU11" s="865"/>
      <c r="IV11" s="865"/>
      <c r="IW11" s="865"/>
      <c r="IX11" s="865"/>
      <c r="IY11" s="865"/>
      <c r="IZ11" s="865"/>
      <c r="JA11" s="865"/>
      <c r="JB11" s="865"/>
      <c r="JC11" s="865"/>
      <c r="JD11" s="865"/>
      <c r="JE11" s="865"/>
      <c r="JF11" s="865"/>
      <c r="JG11" s="865"/>
      <c r="JH11" s="865"/>
      <c r="JI11" s="865"/>
      <c r="JJ11" s="865"/>
      <c r="JK11" s="865"/>
      <c r="JL11" s="865"/>
      <c r="JM11" s="865"/>
      <c r="JN11" s="865"/>
      <c r="JO11" s="865"/>
      <c r="JP11" s="865"/>
      <c r="JQ11" s="865"/>
      <c r="JR11" s="865"/>
      <c r="JS11" s="865"/>
      <c r="JT11" s="865"/>
      <c r="JU11" s="865"/>
      <c r="JV11" s="865"/>
      <c r="JW11" s="865"/>
      <c r="JX11" s="865"/>
      <c r="JY11" s="865"/>
      <c r="JZ11" s="865"/>
      <c r="KA11" s="865"/>
      <c r="KB11" s="865"/>
      <c r="KC11" s="865"/>
      <c r="KD11" s="865"/>
      <c r="KE11" s="865"/>
      <c r="KF11" s="865"/>
      <c r="KG11" s="865"/>
      <c r="KH11" s="865"/>
      <c r="KI11" s="865"/>
      <c r="KJ11" s="865"/>
      <c r="KK11" s="865"/>
      <c r="KL11" s="865"/>
      <c r="KM11" s="865"/>
      <c r="KN11" s="865"/>
      <c r="KO11" s="865"/>
      <c r="KP11" s="865"/>
      <c r="KQ11" s="865"/>
      <c r="KR11" s="865"/>
      <c r="KS11" s="865"/>
      <c r="KT11" s="865"/>
      <c r="KU11" s="865"/>
      <c r="KV11" s="865"/>
      <c r="KW11" s="865"/>
      <c r="KX11" s="865"/>
      <c r="KY11" s="865"/>
      <c r="KZ11" s="865"/>
      <c r="LA11" s="865"/>
      <c r="LB11" s="865"/>
      <c r="LC11" s="865"/>
      <c r="LD11" s="865"/>
      <c r="LE11" s="865"/>
      <c r="LF11" s="865"/>
      <c r="LG11" s="865"/>
      <c r="LH11" s="865"/>
      <c r="LI11" s="865"/>
      <c r="LJ11" s="865"/>
      <c r="LK11" s="865"/>
      <c r="LL11" s="865"/>
      <c r="LM11" s="865"/>
      <c r="LN11" s="865"/>
      <c r="LO11" s="865"/>
      <c r="LP11" s="865"/>
      <c r="LQ11" s="865"/>
      <c r="LR11" s="865"/>
      <c r="LS11" s="865"/>
      <c r="LT11" s="865"/>
      <c r="LU11" s="865"/>
      <c r="LV11" s="865"/>
      <c r="LW11" s="865"/>
      <c r="LX11" s="865"/>
      <c r="LY11" s="865"/>
      <c r="LZ11" s="865"/>
      <c r="MA11" s="865"/>
      <c r="MB11" s="865"/>
      <c r="MC11" s="865"/>
      <c r="MD11" s="865"/>
      <c r="ME11" s="865"/>
      <c r="MF11" s="865"/>
      <c r="MG11" s="865"/>
      <c r="MH11" s="865"/>
      <c r="MI11" s="865"/>
      <c r="MJ11" s="865"/>
      <c r="MK11" s="865"/>
      <c r="ML11" s="865"/>
      <c r="MM11" s="865"/>
      <c r="MN11" s="865"/>
      <c r="MO11" s="865"/>
      <c r="MP11" s="865"/>
      <c r="MQ11" s="865"/>
      <c r="MR11" s="865"/>
      <c r="MS11" s="865"/>
      <c r="MT11" s="865"/>
      <c r="MU11" s="865"/>
      <c r="MV11" s="865"/>
      <c r="MW11" s="865"/>
      <c r="MX11" s="865"/>
      <c r="MY11" s="865"/>
      <c r="MZ11" s="865"/>
      <c r="NA11" s="865"/>
      <c r="NB11" s="865"/>
      <c r="NC11" s="865"/>
      <c r="ND11" s="865"/>
      <c r="NE11" s="865"/>
      <c r="NF11" s="865"/>
      <c r="NG11" s="865"/>
      <c r="NH11" s="865"/>
      <c r="NI11" s="865"/>
      <c r="NJ11" s="865"/>
      <c r="NK11" s="865"/>
      <c r="NL11" s="865"/>
      <c r="NM11" s="865"/>
      <c r="NN11" s="865"/>
      <c r="NO11" s="865"/>
      <c r="NP11" s="865"/>
      <c r="NQ11" s="865"/>
      <c r="NR11" s="865"/>
      <c r="NS11" s="865"/>
      <c r="NT11" s="865"/>
      <c r="NU11" s="865"/>
      <c r="NV11" s="865"/>
      <c r="NW11" s="865"/>
      <c r="NX11" s="865"/>
      <c r="NY11" s="865"/>
      <c r="NZ11" s="865"/>
      <c r="OA11" s="865"/>
      <c r="OB11" s="865"/>
      <c r="OC11" s="865"/>
      <c r="OD11" s="865"/>
      <c r="OE11" s="865"/>
      <c r="OF11" s="865"/>
      <c r="OG11" s="865"/>
      <c r="OH11" s="865"/>
      <c r="OI11" s="865"/>
      <c r="OJ11" s="865"/>
      <c r="OK11" s="865"/>
      <c r="OL11" s="865"/>
      <c r="OM11" s="865"/>
      <c r="ON11" s="865"/>
      <c r="OO11" s="865"/>
      <c r="OP11" s="865"/>
      <c r="OQ11" s="865"/>
      <c r="OR11" s="865"/>
      <c r="OS11" s="865"/>
      <c r="OT11" s="865"/>
      <c r="OU11" s="865"/>
      <c r="OV11" s="865"/>
      <c r="OW11" s="865"/>
      <c r="OX11" s="865"/>
      <c r="OY11" s="865"/>
      <c r="OZ11" s="865"/>
      <c r="PA11" s="865"/>
      <c r="PB11" s="865"/>
      <c r="PC11" s="865"/>
      <c r="PD11" s="865"/>
      <c r="PE11" s="865"/>
      <c r="PF11" s="865"/>
      <c r="PG11" s="865"/>
      <c r="PH11" s="865"/>
      <c r="PI11" s="865"/>
      <c r="PJ11" s="865"/>
      <c r="PK11" s="865"/>
      <c r="PL11" s="865"/>
      <c r="PM11" s="865"/>
      <c r="PN11" s="865"/>
      <c r="PO11" s="865"/>
    </row>
    <row r="12" spans="1:431" s="165" customFormat="1">
      <c r="A12" s="865"/>
      <c r="B12" s="865"/>
      <c r="C12" s="850"/>
      <c r="D12" s="872"/>
      <c r="E12" s="871"/>
      <c r="F12" s="871"/>
      <c r="G12" s="850"/>
      <c r="H12" s="850"/>
      <c r="I12" s="872"/>
      <c r="J12" s="871"/>
      <c r="K12" s="871"/>
      <c r="L12" s="850"/>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5"/>
      <c r="AL12" s="865"/>
      <c r="AM12" s="865"/>
      <c r="AN12" s="865"/>
      <c r="AO12" s="865"/>
      <c r="AP12" s="865"/>
      <c r="AQ12" s="865"/>
      <c r="AR12" s="865"/>
      <c r="AS12" s="865"/>
      <c r="AT12" s="865"/>
      <c r="AU12" s="865"/>
      <c r="AV12" s="865"/>
      <c r="AW12" s="865"/>
      <c r="AX12" s="865"/>
      <c r="AY12" s="865"/>
      <c r="AZ12" s="865"/>
      <c r="BA12" s="865"/>
      <c r="BB12" s="865"/>
      <c r="BC12" s="865"/>
      <c r="BD12" s="865"/>
      <c r="BE12" s="865"/>
      <c r="BF12" s="865"/>
      <c r="BG12" s="865"/>
      <c r="BH12" s="865"/>
      <c r="BI12" s="865"/>
      <c r="BJ12" s="865"/>
      <c r="BK12" s="865"/>
      <c r="BL12" s="865"/>
      <c r="BM12" s="865"/>
      <c r="BN12" s="865"/>
      <c r="BO12" s="865"/>
      <c r="BP12" s="865"/>
      <c r="BQ12" s="865"/>
      <c r="BR12" s="865"/>
      <c r="BS12" s="865"/>
      <c r="BT12" s="865"/>
      <c r="BU12" s="865"/>
      <c r="BV12" s="865"/>
      <c r="BW12" s="865"/>
      <c r="BX12" s="865"/>
      <c r="BY12" s="865"/>
      <c r="BZ12" s="865"/>
      <c r="CA12" s="865"/>
      <c r="CB12" s="865"/>
      <c r="CC12" s="865"/>
      <c r="CD12" s="865"/>
      <c r="CE12" s="865"/>
      <c r="CF12" s="865"/>
      <c r="CG12" s="865"/>
      <c r="CH12" s="865"/>
      <c r="CI12" s="865"/>
      <c r="CJ12" s="865"/>
      <c r="CK12" s="865"/>
      <c r="CL12" s="865"/>
      <c r="CM12" s="865"/>
      <c r="CN12" s="865"/>
      <c r="CO12" s="865"/>
      <c r="CP12" s="865"/>
      <c r="CQ12" s="865"/>
      <c r="CR12" s="865"/>
      <c r="CS12" s="865"/>
      <c r="CT12" s="865"/>
      <c r="CU12" s="865"/>
      <c r="CV12" s="865"/>
      <c r="CW12" s="865"/>
      <c r="CX12" s="865"/>
      <c r="CY12" s="865"/>
      <c r="CZ12" s="865"/>
      <c r="DA12" s="865"/>
      <c r="DB12" s="865"/>
      <c r="DC12" s="865"/>
      <c r="DD12" s="865"/>
      <c r="DE12" s="865"/>
      <c r="DF12" s="865"/>
      <c r="DG12" s="865"/>
      <c r="DH12" s="865"/>
      <c r="DI12" s="865"/>
      <c r="DJ12" s="865"/>
      <c r="DK12" s="865"/>
      <c r="DL12" s="865"/>
      <c r="DM12" s="865"/>
      <c r="DN12" s="865"/>
      <c r="DO12" s="865"/>
      <c r="DP12" s="865"/>
      <c r="DQ12" s="865"/>
      <c r="DR12" s="865"/>
      <c r="DS12" s="865"/>
      <c r="DT12" s="865"/>
      <c r="DU12" s="865"/>
      <c r="DV12" s="865"/>
      <c r="DW12" s="865"/>
      <c r="DX12" s="865"/>
      <c r="DY12" s="865"/>
      <c r="DZ12" s="865"/>
      <c r="EA12" s="865"/>
      <c r="EB12" s="865"/>
      <c r="EC12" s="865"/>
      <c r="ED12" s="865"/>
      <c r="EE12" s="865"/>
      <c r="EF12" s="865"/>
      <c r="EG12" s="865"/>
      <c r="EH12" s="865"/>
      <c r="EI12" s="865"/>
      <c r="EJ12" s="865"/>
      <c r="EK12" s="865"/>
      <c r="EL12" s="865"/>
      <c r="EM12" s="865"/>
      <c r="EN12" s="865"/>
      <c r="EO12" s="865"/>
      <c r="EP12" s="865"/>
      <c r="EQ12" s="865"/>
      <c r="ER12" s="865"/>
      <c r="ES12" s="865"/>
      <c r="ET12" s="865"/>
      <c r="EU12" s="865"/>
      <c r="EV12" s="865"/>
      <c r="EW12" s="865"/>
      <c r="EX12" s="865"/>
      <c r="EY12" s="865"/>
      <c r="EZ12" s="865"/>
      <c r="FA12" s="865"/>
      <c r="FB12" s="865"/>
      <c r="FC12" s="865"/>
      <c r="FD12" s="865"/>
      <c r="FE12" s="865"/>
      <c r="FF12" s="865"/>
      <c r="FG12" s="865"/>
      <c r="FH12" s="865"/>
      <c r="FI12" s="865"/>
      <c r="FJ12" s="865"/>
      <c r="FK12" s="865"/>
      <c r="FL12" s="865"/>
      <c r="FM12" s="865"/>
      <c r="FN12" s="865"/>
      <c r="FO12" s="865"/>
      <c r="FP12" s="865"/>
      <c r="FQ12" s="865"/>
      <c r="FR12" s="865"/>
      <c r="FS12" s="865"/>
      <c r="FT12" s="865"/>
      <c r="FU12" s="865"/>
      <c r="FV12" s="865"/>
      <c r="FW12" s="865"/>
      <c r="FX12" s="865"/>
      <c r="FY12" s="865"/>
      <c r="FZ12" s="865"/>
      <c r="GA12" s="865"/>
      <c r="GB12" s="865"/>
      <c r="GC12" s="865"/>
      <c r="GD12" s="865"/>
      <c r="GE12" s="865"/>
      <c r="GF12" s="865"/>
      <c r="GG12" s="865"/>
      <c r="GH12" s="865"/>
      <c r="GI12" s="865"/>
      <c r="GJ12" s="865"/>
      <c r="GK12" s="865"/>
      <c r="GL12" s="865"/>
      <c r="GM12" s="865"/>
      <c r="GN12" s="865"/>
      <c r="GO12" s="865"/>
      <c r="GP12" s="865"/>
      <c r="GQ12" s="865"/>
      <c r="GR12" s="865"/>
      <c r="GS12" s="865"/>
      <c r="GT12" s="865"/>
      <c r="GU12" s="865"/>
      <c r="GV12" s="865"/>
      <c r="GW12" s="865"/>
      <c r="GX12" s="865"/>
      <c r="GY12" s="865"/>
      <c r="GZ12" s="865"/>
      <c r="HA12" s="865"/>
      <c r="HB12" s="865"/>
      <c r="HC12" s="865"/>
      <c r="HD12" s="865"/>
      <c r="HE12" s="865"/>
      <c r="HF12" s="865"/>
      <c r="HG12" s="865"/>
      <c r="HH12" s="865"/>
      <c r="HI12" s="865"/>
      <c r="HJ12" s="865"/>
      <c r="HK12" s="865"/>
      <c r="HL12" s="865"/>
      <c r="HM12" s="865"/>
      <c r="HN12" s="865"/>
      <c r="HO12" s="865"/>
      <c r="HP12" s="865"/>
      <c r="HQ12" s="865"/>
      <c r="HR12" s="865"/>
      <c r="HS12" s="865"/>
      <c r="HT12" s="865"/>
      <c r="HU12" s="865"/>
      <c r="HV12" s="865"/>
      <c r="HW12" s="865"/>
      <c r="HX12" s="865"/>
      <c r="HY12" s="865"/>
      <c r="HZ12" s="865"/>
      <c r="IA12" s="865"/>
      <c r="IB12" s="865"/>
      <c r="IC12" s="865"/>
      <c r="ID12" s="865"/>
      <c r="IE12" s="865"/>
      <c r="IF12" s="865"/>
      <c r="IG12" s="865"/>
      <c r="IH12" s="865"/>
      <c r="II12" s="865"/>
      <c r="IJ12" s="865"/>
      <c r="IK12" s="865"/>
      <c r="IL12" s="865"/>
      <c r="IM12" s="865"/>
      <c r="IN12" s="865"/>
      <c r="IO12" s="865"/>
      <c r="IP12" s="865"/>
      <c r="IQ12" s="865"/>
      <c r="IR12" s="865"/>
      <c r="IS12" s="865"/>
      <c r="IT12" s="865"/>
      <c r="IU12" s="865"/>
      <c r="IV12" s="865"/>
      <c r="IW12" s="865"/>
      <c r="IX12" s="865"/>
      <c r="IY12" s="865"/>
      <c r="IZ12" s="865"/>
      <c r="JA12" s="865"/>
      <c r="JB12" s="865"/>
      <c r="JC12" s="865"/>
      <c r="JD12" s="865"/>
      <c r="JE12" s="865"/>
      <c r="JF12" s="865"/>
      <c r="JG12" s="865"/>
      <c r="JH12" s="865"/>
      <c r="JI12" s="865"/>
      <c r="JJ12" s="865"/>
      <c r="JK12" s="865"/>
      <c r="JL12" s="865"/>
      <c r="JM12" s="865"/>
      <c r="JN12" s="865"/>
      <c r="JO12" s="865"/>
      <c r="JP12" s="865"/>
      <c r="JQ12" s="865"/>
      <c r="JR12" s="865"/>
      <c r="JS12" s="865"/>
      <c r="JT12" s="865"/>
      <c r="JU12" s="865"/>
      <c r="JV12" s="865"/>
      <c r="JW12" s="865"/>
      <c r="JX12" s="865"/>
      <c r="JY12" s="865"/>
      <c r="JZ12" s="865"/>
      <c r="KA12" s="865"/>
      <c r="KB12" s="865"/>
      <c r="KC12" s="865"/>
      <c r="KD12" s="865"/>
      <c r="KE12" s="865"/>
      <c r="KF12" s="865"/>
      <c r="KG12" s="865"/>
      <c r="KH12" s="865"/>
      <c r="KI12" s="865"/>
      <c r="KJ12" s="865"/>
      <c r="KK12" s="865"/>
      <c r="KL12" s="865"/>
      <c r="KM12" s="865"/>
      <c r="KN12" s="865"/>
      <c r="KO12" s="865"/>
      <c r="KP12" s="865"/>
      <c r="KQ12" s="865"/>
      <c r="KR12" s="865"/>
      <c r="KS12" s="865"/>
      <c r="KT12" s="865"/>
      <c r="KU12" s="865"/>
      <c r="KV12" s="865"/>
      <c r="KW12" s="865"/>
      <c r="KX12" s="865"/>
      <c r="KY12" s="865"/>
      <c r="KZ12" s="865"/>
      <c r="LA12" s="865"/>
      <c r="LB12" s="865"/>
      <c r="LC12" s="865"/>
      <c r="LD12" s="865"/>
      <c r="LE12" s="865"/>
      <c r="LF12" s="865"/>
      <c r="LG12" s="865"/>
      <c r="LH12" s="865"/>
      <c r="LI12" s="865"/>
      <c r="LJ12" s="865"/>
      <c r="LK12" s="865"/>
      <c r="LL12" s="865"/>
      <c r="LM12" s="865"/>
      <c r="LN12" s="865"/>
      <c r="LO12" s="865"/>
      <c r="LP12" s="865"/>
      <c r="LQ12" s="865"/>
      <c r="LR12" s="865"/>
      <c r="LS12" s="865"/>
      <c r="LT12" s="865"/>
      <c r="LU12" s="865"/>
      <c r="LV12" s="865"/>
      <c r="LW12" s="865"/>
      <c r="LX12" s="865"/>
      <c r="LY12" s="865"/>
      <c r="LZ12" s="865"/>
      <c r="MA12" s="865"/>
      <c r="MB12" s="865"/>
      <c r="MC12" s="865"/>
      <c r="MD12" s="865"/>
      <c r="ME12" s="865"/>
      <c r="MF12" s="865"/>
      <c r="MG12" s="865"/>
      <c r="MH12" s="865"/>
      <c r="MI12" s="865"/>
      <c r="MJ12" s="865"/>
      <c r="MK12" s="865"/>
      <c r="ML12" s="865"/>
      <c r="MM12" s="865"/>
      <c r="MN12" s="865"/>
      <c r="MO12" s="865"/>
      <c r="MP12" s="865"/>
      <c r="MQ12" s="865"/>
      <c r="MR12" s="865"/>
      <c r="MS12" s="865"/>
      <c r="MT12" s="865"/>
      <c r="MU12" s="865"/>
      <c r="MV12" s="865"/>
      <c r="MW12" s="865"/>
      <c r="MX12" s="865"/>
      <c r="MY12" s="865"/>
      <c r="MZ12" s="865"/>
      <c r="NA12" s="865"/>
      <c r="NB12" s="865"/>
      <c r="NC12" s="865"/>
      <c r="ND12" s="865"/>
      <c r="NE12" s="865"/>
      <c r="NF12" s="865"/>
      <c r="NG12" s="865"/>
      <c r="NH12" s="865"/>
      <c r="NI12" s="865"/>
      <c r="NJ12" s="865"/>
      <c r="NK12" s="865"/>
      <c r="NL12" s="865"/>
      <c r="NM12" s="865"/>
      <c r="NN12" s="865"/>
      <c r="NO12" s="865"/>
      <c r="NP12" s="865"/>
      <c r="NQ12" s="865"/>
      <c r="NR12" s="865"/>
      <c r="NS12" s="865"/>
      <c r="NT12" s="865"/>
      <c r="NU12" s="865"/>
      <c r="NV12" s="865"/>
      <c r="NW12" s="865"/>
      <c r="NX12" s="865"/>
      <c r="NY12" s="865"/>
      <c r="NZ12" s="865"/>
      <c r="OA12" s="865"/>
      <c r="OB12" s="865"/>
      <c r="OC12" s="865"/>
      <c r="OD12" s="865"/>
      <c r="OE12" s="865"/>
      <c r="OF12" s="865"/>
      <c r="OG12" s="865"/>
      <c r="OH12" s="865"/>
      <c r="OI12" s="865"/>
      <c r="OJ12" s="865"/>
      <c r="OK12" s="865"/>
      <c r="OL12" s="865"/>
      <c r="OM12" s="865"/>
      <c r="ON12" s="865"/>
      <c r="OO12" s="865"/>
      <c r="OP12" s="865"/>
      <c r="OQ12" s="865"/>
      <c r="OR12" s="865"/>
      <c r="OS12" s="865"/>
      <c r="OT12" s="865"/>
      <c r="OU12" s="865"/>
      <c r="OV12" s="865"/>
      <c r="OW12" s="865"/>
      <c r="OX12" s="865"/>
      <c r="OY12" s="865"/>
      <c r="OZ12" s="865"/>
      <c r="PA12" s="865"/>
      <c r="PB12" s="865"/>
      <c r="PC12" s="865"/>
      <c r="PD12" s="865"/>
      <c r="PE12" s="865"/>
      <c r="PF12" s="865"/>
      <c r="PG12" s="865"/>
      <c r="PH12" s="865"/>
      <c r="PI12" s="865"/>
      <c r="PJ12" s="865"/>
      <c r="PK12" s="865"/>
      <c r="PL12" s="865"/>
      <c r="PM12" s="865"/>
      <c r="PN12" s="865"/>
      <c r="PO12" s="865"/>
    </row>
    <row r="13" spans="1:431" s="165" customFormat="1">
      <c r="A13" s="865"/>
      <c r="B13" s="865"/>
      <c r="C13" s="850"/>
      <c r="D13" s="850"/>
      <c r="E13" s="871"/>
      <c r="F13" s="850"/>
      <c r="G13" s="171"/>
      <c r="H13" s="850"/>
      <c r="I13" s="850"/>
      <c r="J13" s="871"/>
      <c r="K13" s="871"/>
      <c r="L13" s="171"/>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c r="AM13" s="865"/>
      <c r="AN13" s="865"/>
      <c r="AO13" s="865"/>
      <c r="AP13" s="865"/>
      <c r="AQ13" s="865"/>
      <c r="AR13" s="865"/>
      <c r="AS13" s="865"/>
      <c r="AT13" s="865"/>
      <c r="AU13" s="865"/>
      <c r="AV13" s="865"/>
      <c r="AW13" s="865"/>
      <c r="AX13" s="865"/>
      <c r="AY13" s="865"/>
      <c r="AZ13" s="865"/>
      <c r="BA13" s="865"/>
      <c r="BB13" s="865"/>
      <c r="BC13" s="865"/>
      <c r="BD13" s="865"/>
      <c r="BE13" s="865"/>
      <c r="BF13" s="865"/>
      <c r="BG13" s="865"/>
      <c r="BH13" s="865"/>
      <c r="BI13" s="865"/>
      <c r="BJ13" s="865"/>
      <c r="BK13" s="865"/>
      <c r="BL13" s="865"/>
      <c r="BM13" s="865"/>
      <c r="BN13" s="865"/>
      <c r="BO13" s="865"/>
      <c r="BP13" s="865"/>
      <c r="BQ13" s="865"/>
      <c r="BR13" s="865"/>
      <c r="BS13" s="865"/>
      <c r="BT13" s="865"/>
      <c r="BU13" s="865"/>
      <c r="BV13" s="865"/>
      <c r="BW13" s="865"/>
      <c r="BX13" s="865"/>
      <c r="BY13" s="865"/>
      <c r="BZ13" s="865"/>
      <c r="CA13" s="865"/>
      <c r="CB13" s="865"/>
      <c r="CC13" s="865"/>
      <c r="CD13" s="865"/>
      <c r="CE13" s="865"/>
      <c r="CF13" s="865"/>
      <c r="CG13" s="865"/>
      <c r="CH13" s="865"/>
      <c r="CI13" s="865"/>
      <c r="CJ13" s="865"/>
      <c r="CK13" s="865"/>
      <c r="CL13" s="865"/>
      <c r="CM13" s="865"/>
      <c r="CN13" s="865"/>
      <c r="CO13" s="865"/>
      <c r="CP13" s="865"/>
      <c r="CQ13" s="865"/>
      <c r="CR13" s="865"/>
      <c r="CS13" s="865"/>
      <c r="CT13" s="865"/>
      <c r="CU13" s="865"/>
      <c r="CV13" s="865"/>
      <c r="CW13" s="865"/>
      <c r="CX13" s="865"/>
      <c r="CY13" s="865"/>
      <c r="CZ13" s="865"/>
      <c r="DA13" s="865"/>
      <c r="DB13" s="865"/>
      <c r="DC13" s="865"/>
      <c r="DD13" s="865"/>
      <c r="DE13" s="865"/>
      <c r="DF13" s="865"/>
      <c r="DG13" s="865"/>
      <c r="DH13" s="865"/>
      <c r="DI13" s="865"/>
      <c r="DJ13" s="865"/>
      <c r="DK13" s="865"/>
      <c r="DL13" s="865"/>
      <c r="DM13" s="865"/>
      <c r="DN13" s="865"/>
      <c r="DO13" s="865"/>
      <c r="DP13" s="865"/>
      <c r="DQ13" s="865"/>
      <c r="DR13" s="865"/>
      <c r="DS13" s="865"/>
      <c r="DT13" s="865"/>
      <c r="DU13" s="865"/>
      <c r="DV13" s="865"/>
      <c r="DW13" s="865"/>
      <c r="DX13" s="865"/>
      <c r="DY13" s="865"/>
      <c r="DZ13" s="865"/>
      <c r="EA13" s="865"/>
      <c r="EB13" s="865"/>
      <c r="EC13" s="865"/>
      <c r="ED13" s="865"/>
      <c r="EE13" s="865"/>
      <c r="EF13" s="865"/>
      <c r="EG13" s="865"/>
      <c r="EH13" s="865"/>
      <c r="EI13" s="865"/>
      <c r="EJ13" s="865"/>
      <c r="EK13" s="865"/>
      <c r="EL13" s="865"/>
      <c r="EM13" s="865"/>
      <c r="EN13" s="865"/>
      <c r="EO13" s="865"/>
      <c r="EP13" s="865"/>
      <c r="EQ13" s="865"/>
      <c r="ER13" s="865"/>
      <c r="ES13" s="865"/>
      <c r="ET13" s="865"/>
      <c r="EU13" s="865"/>
      <c r="EV13" s="865"/>
      <c r="EW13" s="865"/>
      <c r="EX13" s="865"/>
      <c r="EY13" s="865"/>
      <c r="EZ13" s="865"/>
      <c r="FA13" s="865"/>
      <c r="FB13" s="865"/>
      <c r="FC13" s="865"/>
      <c r="FD13" s="865"/>
      <c r="FE13" s="865"/>
      <c r="FF13" s="865"/>
      <c r="FG13" s="865"/>
      <c r="FH13" s="865"/>
      <c r="FI13" s="865"/>
      <c r="FJ13" s="865"/>
      <c r="FK13" s="865"/>
      <c r="FL13" s="865"/>
      <c r="FM13" s="865"/>
      <c r="FN13" s="865"/>
      <c r="FO13" s="865"/>
      <c r="FP13" s="865"/>
      <c r="FQ13" s="865"/>
      <c r="FR13" s="865"/>
      <c r="FS13" s="865"/>
      <c r="FT13" s="865"/>
      <c r="FU13" s="865"/>
      <c r="FV13" s="865"/>
      <c r="FW13" s="865"/>
      <c r="FX13" s="865"/>
      <c r="FY13" s="865"/>
      <c r="FZ13" s="865"/>
      <c r="GA13" s="865"/>
      <c r="GB13" s="865"/>
      <c r="GC13" s="865"/>
      <c r="GD13" s="865"/>
      <c r="GE13" s="865"/>
      <c r="GF13" s="865"/>
      <c r="GG13" s="865"/>
      <c r="GH13" s="865"/>
      <c r="GI13" s="865"/>
      <c r="GJ13" s="865"/>
      <c r="GK13" s="865"/>
      <c r="GL13" s="865"/>
      <c r="GM13" s="865"/>
      <c r="GN13" s="865"/>
      <c r="GO13" s="865"/>
      <c r="GP13" s="865"/>
      <c r="GQ13" s="865"/>
      <c r="GR13" s="865"/>
      <c r="GS13" s="865"/>
      <c r="GT13" s="865"/>
      <c r="GU13" s="865"/>
      <c r="GV13" s="865"/>
      <c r="GW13" s="865"/>
      <c r="GX13" s="865"/>
      <c r="GY13" s="865"/>
      <c r="GZ13" s="865"/>
      <c r="HA13" s="865"/>
      <c r="HB13" s="865"/>
      <c r="HC13" s="865"/>
      <c r="HD13" s="865"/>
      <c r="HE13" s="865"/>
      <c r="HF13" s="865"/>
      <c r="HG13" s="865"/>
      <c r="HH13" s="865"/>
      <c r="HI13" s="865"/>
      <c r="HJ13" s="865"/>
      <c r="HK13" s="865"/>
      <c r="HL13" s="865"/>
      <c r="HM13" s="865"/>
      <c r="HN13" s="865"/>
      <c r="HO13" s="865"/>
      <c r="HP13" s="865"/>
      <c r="HQ13" s="865"/>
      <c r="HR13" s="865"/>
      <c r="HS13" s="865"/>
      <c r="HT13" s="865"/>
      <c r="HU13" s="865"/>
      <c r="HV13" s="865"/>
      <c r="HW13" s="865"/>
      <c r="HX13" s="865"/>
      <c r="HY13" s="865"/>
      <c r="HZ13" s="865"/>
      <c r="IA13" s="865"/>
      <c r="IB13" s="865"/>
      <c r="IC13" s="865"/>
      <c r="ID13" s="865"/>
      <c r="IE13" s="865"/>
      <c r="IF13" s="865"/>
      <c r="IG13" s="865"/>
      <c r="IH13" s="865"/>
      <c r="II13" s="865"/>
      <c r="IJ13" s="865"/>
      <c r="IK13" s="865"/>
      <c r="IL13" s="865"/>
      <c r="IM13" s="865"/>
      <c r="IN13" s="865"/>
      <c r="IO13" s="865"/>
      <c r="IP13" s="865"/>
      <c r="IQ13" s="865"/>
      <c r="IR13" s="865"/>
      <c r="IS13" s="865"/>
      <c r="IT13" s="865"/>
      <c r="IU13" s="865"/>
      <c r="IV13" s="865"/>
      <c r="IW13" s="865"/>
      <c r="IX13" s="865"/>
      <c r="IY13" s="865"/>
      <c r="IZ13" s="865"/>
      <c r="JA13" s="865"/>
      <c r="JB13" s="865"/>
      <c r="JC13" s="865"/>
      <c r="JD13" s="865"/>
      <c r="JE13" s="865"/>
      <c r="JF13" s="865"/>
      <c r="JG13" s="865"/>
      <c r="JH13" s="865"/>
      <c r="JI13" s="865"/>
      <c r="JJ13" s="865"/>
      <c r="JK13" s="865"/>
      <c r="JL13" s="865"/>
      <c r="JM13" s="865"/>
      <c r="JN13" s="865"/>
      <c r="JO13" s="865"/>
      <c r="JP13" s="865"/>
      <c r="JQ13" s="865"/>
      <c r="JR13" s="865"/>
      <c r="JS13" s="865"/>
      <c r="JT13" s="865"/>
      <c r="JU13" s="865"/>
      <c r="JV13" s="865"/>
      <c r="JW13" s="865"/>
      <c r="JX13" s="865"/>
      <c r="JY13" s="865"/>
      <c r="JZ13" s="865"/>
      <c r="KA13" s="865"/>
      <c r="KB13" s="865"/>
      <c r="KC13" s="865"/>
      <c r="KD13" s="865"/>
      <c r="KE13" s="865"/>
      <c r="KF13" s="865"/>
      <c r="KG13" s="865"/>
      <c r="KH13" s="865"/>
      <c r="KI13" s="865"/>
      <c r="KJ13" s="865"/>
      <c r="KK13" s="865"/>
      <c r="KL13" s="865"/>
      <c r="KM13" s="865"/>
      <c r="KN13" s="865"/>
      <c r="KO13" s="865"/>
      <c r="KP13" s="865"/>
      <c r="KQ13" s="865"/>
      <c r="KR13" s="865"/>
      <c r="KS13" s="865"/>
      <c r="KT13" s="865"/>
      <c r="KU13" s="865"/>
      <c r="KV13" s="865"/>
      <c r="KW13" s="865"/>
      <c r="KX13" s="865"/>
      <c r="KY13" s="865"/>
      <c r="KZ13" s="865"/>
      <c r="LA13" s="865"/>
      <c r="LB13" s="865"/>
      <c r="LC13" s="865"/>
      <c r="LD13" s="865"/>
      <c r="LE13" s="865"/>
      <c r="LF13" s="865"/>
      <c r="LG13" s="865"/>
      <c r="LH13" s="865"/>
      <c r="LI13" s="865"/>
      <c r="LJ13" s="865"/>
      <c r="LK13" s="865"/>
      <c r="LL13" s="865"/>
      <c r="LM13" s="865"/>
      <c r="LN13" s="865"/>
      <c r="LO13" s="865"/>
      <c r="LP13" s="865"/>
      <c r="LQ13" s="865"/>
      <c r="LR13" s="865"/>
      <c r="LS13" s="865"/>
      <c r="LT13" s="865"/>
      <c r="LU13" s="865"/>
      <c r="LV13" s="865"/>
      <c r="LW13" s="865"/>
      <c r="LX13" s="865"/>
      <c r="LY13" s="865"/>
      <c r="LZ13" s="865"/>
      <c r="MA13" s="865"/>
      <c r="MB13" s="865"/>
      <c r="MC13" s="865"/>
      <c r="MD13" s="865"/>
      <c r="ME13" s="865"/>
      <c r="MF13" s="865"/>
      <c r="MG13" s="865"/>
      <c r="MH13" s="865"/>
      <c r="MI13" s="865"/>
      <c r="MJ13" s="865"/>
      <c r="MK13" s="865"/>
      <c r="ML13" s="865"/>
      <c r="MM13" s="865"/>
      <c r="MN13" s="865"/>
      <c r="MO13" s="865"/>
      <c r="MP13" s="865"/>
      <c r="MQ13" s="865"/>
      <c r="MR13" s="865"/>
      <c r="MS13" s="865"/>
      <c r="MT13" s="865"/>
      <c r="MU13" s="865"/>
      <c r="MV13" s="865"/>
      <c r="MW13" s="865"/>
      <c r="MX13" s="865"/>
      <c r="MY13" s="865"/>
      <c r="MZ13" s="865"/>
      <c r="NA13" s="865"/>
      <c r="NB13" s="865"/>
      <c r="NC13" s="865"/>
      <c r="ND13" s="865"/>
      <c r="NE13" s="865"/>
      <c r="NF13" s="865"/>
      <c r="NG13" s="865"/>
      <c r="NH13" s="865"/>
      <c r="NI13" s="865"/>
      <c r="NJ13" s="865"/>
      <c r="NK13" s="865"/>
      <c r="NL13" s="865"/>
      <c r="NM13" s="865"/>
      <c r="NN13" s="865"/>
      <c r="NO13" s="865"/>
      <c r="NP13" s="865"/>
      <c r="NQ13" s="865"/>
      <c r="NR13" s="865"/>
      <c r="NS13" s="865"/>
      <c r="NT13" s="865"/>
      <c r="NU13" s="865"/>
      <c r="NV13" s="865"/>
      <c r="NW13" s="865"/>
      <c r="NX13" s="865"/>
      <c r="NY13" s="865"/>
      <c r="NZ13" s="865"/>
      <c r="OA13" s="865"/>
      <c r="OB13" s="865"/>
      <c r="OC13" s="865"/>
      <c r="OD13" s="865"/>
      <c r="OE13" s="865"/>
      <c r="OF13" s="865"/>
      <c r="OG13" s="865"/>
      <c r="OH13" s="865"/>
      <c r="OI13" s="865"/>
      <c r="OJ13" s="865"/>
      <c r="OK13" s="865"/>
      <c r="OL13" s="865"/>
      <c r="OM13" s="865"/>
      <c r="ON13" s="865"/>
      <c r="OO13" s="865"/>
      <c r="OP13" s="865"/>
      <c r="OQ13" s="865"/>
      <c r="OR13" s="865"/>
      <c r="OS13" s="865"/>
      <c r="OT13" s="865"/>
      <c r="OU13" s="865"/>
      <c r="OV13" s="865"/>
      <c r="OW13" s="865"/>
      <c r="OX13" s="865"/>
      <c r="OY13" s="865"/>
      <c r="OZ13" s="865"/>
      <c r="PA13" s="865"/>
      <c r="PB13" s="865"/>
      <c r="PC13" s="865"/>
      <c r="PD13" s="865"/>
      <c r="PE13" s="865"/>
      <c r="PF13" s="865"/>
      <c r="PG13" s="865"/>
      <c r="PH13" s="865"/>
      <c r="PI13" s="865"/>
      <c r="PJ13" s="865"/>
      <c r="PK13" s="865"/>
      <c r="PL13" s="865"/>
      <c r="PM13" s="865"/>
      <c r="PN13" s="865"/>
      <c r="PO13" s="865"/>
    </row>
    <row r="14" spans="1:431" s="165" customFormat="1">
      <c r="A14" s="865"/>
      <c r="B14" s="865"/>
      <c r="C14" s="850"/>
      <c r="D14" s="850"/>
      <c r="E14" s="173"/>
      <c r="F14" s="171"/>
      <c r="G14" s="850"/>
      <c r="H14" s="850"/>
      <c r="I14" s="850"/>
      <c r="J14" s="173"/>
      <c r="K14" s="542"/>
      <c r="L14" s="850"/>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865"/>
      <c r="AW14" s="865"/>
      <c r="AX14" s="865"/>
      <c r="AY14" s="865"/>
      <c r="AZ14" s="865"/>
      <c r="BA14" s="865"/>
      <c r="BB14" s="865"/>
      <c r="BC14" s="865"/>
      <c r="BD14" s="865"/>
      <c r="BE14" s="865"/>
      <c r="BF14" s="865"/>
      <c r="BG14" s="865"/>
      <c r="BH14" s="865"/>
      <c r="BI14" s="865"/>
      <c r="BJ14" s="865"/>
      <c r="BK14" s="865"/>
      <c r="BL14" s="865"/>
      <c r="BM14" s="865"/>
      <c r="BN14" s="865"/>
      <c r="BO14" s="865"/>
      <c r="BP14" s="865"/>
      <c r="BQ14" s="865"/>
      <c r="BR14" s="865"/>
      <c r="BS14" s="865"/>
      <c r="BT14" s="865"/>
      <c r="BU14" s="865"/>
      <c r="BV14" s="865"/>
      <c r="BW14" s="865"/>
      <c r="BX14" s="865"/>
      <c r="BY14" s="865"/>
      <c r="BZ14" s="865"/>
      <c r="CA14" s="865"/>
      <c r="CB14" s="865"/>
      <c r="CC14" s="865"/>
      <c r="CD14" s="865"/>
      <c r="CE14" s="865"/>
      <c r="CF14" s="865"/>
      <c r="CG14" s="865"/>
      <c r="CH14" s="865"/>
      <c r="CI14" s="865"/>
      <c r="CJ14" s="865"/>
      <c r="CK14" s="865"/>
      <c r="CL14" s="865"/>
      <c r="CM14" s="865"/>
      <c r="CN14" s="865"/>
      <c r="CO14" s="865"/>
      <c r="CP14" s="865"/>
      <c r="CQ14" s="865"/>
      <c r="CR14" s="865"/>
      <c r="CS14" s="865"/>
      <c r="CT14" s="865"/>
      <c r="CU14" s="865"/>
      <c r="CV14" s="865"/>
      <c r="CW14" s="865"/>
      <c r="CX14" s="865"/>
      <c r="CY14" s="865"/>
      <c r="CZ14" s="865"/>
      <c r="DA14" s="865"/>
      <c r="DB14" s="865"/>
      <c r="DC14" s="865"/>
      <c r="DD14" s="865"/>
      <c r="DE14" s="865"/>
      <c r="DF14" s="865"/>
      <c r="DG14" s="865"/>
      <c r="DH14" s="865"/>
      <c r="DI14" s="865"/>
      <c r="DJ14" s="865"/>
      <c r="DK14" s="865"/>
      <c r="DL14" s="865"/>
      <c r="DM14" s="865"/>
      <c r="DN14" s="865"/>
      <c r="DO14" s="865"/>
      <c r="DP14" s="865"/>
      <c r="DQ14" s="865"/>
      <c r="DR14" s="865"/>
      <c r="DS14" s="865"/>
      <c r="DT14" s="865"/>
      <c r="DU14" s="865"/>
      <c r="DV14" s="865"/>
      <c r="DW14" s="865"/>
      <c r="DX14" s="865"/>
      <c r="DY14" s="865"/>
      <c r="DZ14" s="865"/>
      <c r="EA14" s="865"/>
      <c r="EB14" s="865"/>
      <c r="EC14" s="865"/>
      <c r="ED14" s="865"/>
      <c r="EE14" s="865"/>
      <c r="EF14" s="865"/>
      <c r="EG14" s="865"/>
      <c r="EH14" s="865"/>
      <c r="EI14" s="865"/>
      <c r="EJ14" s="865"/>
      <c r="EK14" s="865"/>
      <c r="EL14" s="865"/>
      <c r="EM14" s="865"/>
      <c r="EN14" s="865"/>
      <c r="EO14" s="865"/>
      <c r="EP14" s="865"/>
      <c r="EQ14" s="865"/>
      <c r="ER14" s="865"/>
      <c r="ES14" s="865"/>
      <c r="ET14" s="865"/>
      <c r="EU14" s="865"/>
      <c r="EV14" s="865"/>
      <c r="EW14" s="865"/>
      <c r="EX14" s="865"/>
      <c r="EY14" s="865"/>
      <c r="EZ14" s="865"/>
      <c r="FA14" s="865"/>
      <c r="FB14" s="865"/>
      <c r="FC14" s="865"/>
      <c r="FD14" s="865"/>
      <c r="FE14" s="865"/>
      <c r="FF14" s="865"/>
      <c r="FG14" s="865"/>
      <c r="FH14" s="865"/>
      <c r="FI14" s="865"/>
      <c r="FJ14" s="865"/>
      <c r="FK14" s="865"/>
      <c r="FL14" s="865"/>
      <c r="FM14" s="865"/>
      <c r="FN14" s="865"/>
      <c r="FO14" s="865"/>
      <c r="FP14" s="865"/>
      <c r="FQ14" s="865"/>
      <c r="FR14" s="865"/>
      <c r="FS14" s="865"/>
      <c r="FT14" s="865"/>
      <c r="FU14" s="865"/>
      <c r="FV14" s="865"/>
      <c r="FW14" s="865"/>
      <c r="FX14" s="865"/>
      <c r="FY14" s="865"/>
      <c r="FZ14" s="865"/>
      <c r="GA14" s="865"/>
      <c r="GB14" s="865"/>
      <c r="GC14" s="865"/>
      <c r="GD14" s="865"/>
      <c r="GE14" s="865"/>
      <c r="GF14" s="865"/>
      <c r="GG14" s="865"/>
      <c r="GH14" s="865"/>
      <c r="GI14" s="865"/>
      <c r="GJ14" s="865"/>
      <c r="GK14" s="865"/>
      <c r="GL14" s="865"/>
      <c r="GM14" s="865"/>
      <c r="GN14" s="865"/>
      <c r="GO14" s="865"/>
      <c r="GP14" s="865"/>
      <c r="GQ14" s="865"/>
      <c r="GR14" s="865"/>
      <c r="GS14" s="865"/>
      <c r="GT14" s="865"/>
      <c r="GU14" s="865"/>
      <c r="GV14" s="865"/>
      <c r="GW14" s="865"/>
      <c r="GX14" s="865"/>
      <c r="GY14" s="865"/>
      <c r="GZ14" s="865"/>
      <c r="HA14" s="865"/>
      <c r="HB14" s="865"/>
      <c r="HC14" s="865"/>
      <c r="HD14" s="865"/>
      <c r="HE14" s="865"/>
      <c r="HF14" s="865"/>
      <c r="HG14" s="865"/>
      <c r="HH14" s="865"/>
      <c r="HI14" s="865"/>
      <c r="HJ14" s="865"/>
      <c r="HK14" s="865"/>
      <c r="HL14" s="865"/>
      <c r="HM14" s="865"/>
      <c r="HN14" s="865"/>
      <c r="HO14" s="865"/>
      <c r="HP14" s="865"/>
      <c r="HQ14" s="865"/>
      <c r="HR14" s="865"/>
      <c r="HS14" s="865"/>
      <c r="HT14" s="865"/>
      <c r="HU14" s="865"/>
      <c r="HV14" s="865"/>
      <c r="HW14" s="865"/>
      <c r="HX14" s="865"/>
      <c r="HY14" s="865"/>
      <c r="HZ14" s="865"/>
      <c r="IA14" s="865"/>
      <c r="IB14" s="865"/>
      <c r="IC14" s="865"/>
      <c r="ID14" s="865"/>
      <c r="IE14" s="865"/>
      <c r="IF14" s="865"/>
      <c r="IG14" s="865"/>
      <c r="IH14" s="865"/>
      <c r="II14" s="865"/>
      <c r="IJ14" s="865"/>
      <c r="IK14" s="865"/>
      <c r="IL14" s="865"/>
      <c r="IM14" s="865"/>
      <c r="IN14" s="865"/>
      <c r="IO14" s="865"/>
      <c r="IP14" s="865"/>
      <c r="IQ14" s="865"/>
      <c r="IR14" s="865"/>
      <c r="IS14" s="865"/>
      <c r="IT14" s="865"/>
      <c r="IU14" s="865"/>
      <c r="IV14" s="865"/>
      <c r="IW14" s="865"/>
      <c r="IX14" s="865"/>
      <c r="IY14" s="865"/>
      <c r="IZ14" s="865"/>
      <c r="JA14" s="865"/>
      <c r="JB14" s="865"/>
      <c r="JC14" s="865"/>
      <c r="JD14" s="865"/>
      <c r="JE14" s="865"/>
      <c r="JF14" s="865"/>
      <c r="JG14" s="865"/>
      <c r="JH14" s="865"/>
      <c r="JI14" s="865"/>
      <c r="JJ14" s="865"/>
      <c r="JK14" s="865"/>
      <c r="JL14" s="865"/>
      <c r="JM14" s="865"/>
      <c r="JN14" s="865"/>
      <c r="JO14" s="865"/>
      <c r="JP14" s="865"/>
      <c r="JQ14" s="865"/>
      <c r="JR14" s="865"/>
      <c r="JS14" s="865"/>
      <c r="JT14" s="865"/>
      <c r="JU14" s="865"/>
      <c r="JV14" s="865"/>
      <c r="JW14" s="865"/>
      <c r="JX14" s="865"/>
      <c r="JY14" s="865"/>
      <c r="JZ14" s="865"/>
      <c r="KA14" s="865"/>
      <c r="KB14" s="865"/>
      <c r="KC14" s="865"/>
      <c r="KD14" s="865"/>
      <c r="KE14" s="865"/>
      <c r="KF14" s="865"/>
      <c r="KG14" s="865"/>
      <c r="KH14" s="865"/>
      <c r="KI14" s="865"/>
      <c r="KJ14" s="865"/>
      <c r="KK14" s="865"/>
      <c r="KL14" s="865"/>
      <c r="KM14" s="865"/>
      <c r="KN14" s="865"/>
      <c r="KO14" s="865"/>
      <c r="KP14" s="865"/>
      <c r="KQ14" s="865"/>
      <c r="KR14" s="865"/>
      <c r="KS14" s="865"/>
      <c r="KT14" s="865"/>
      <c r="KU14" s="865"/>
      <c r="KV14" s="865"/>
      <c r="KW14" s="865"/>
      <c r="KX14" s="865"/>
      <c r="KY14" s="865"/>
      <c r="KZ14" s="865"/>
      <c r="LA14" s="865"/>
      <c r="LB14" s="865"/>
      <c r="LC14" s="865"/>
      <c r="LD14" s="865"/>
      <c r="LE14" s="865"/>
      <c r="LF14" s="865"/>
      <c r="LG14" s="865"/>
      <c r="LH14" s="865"/>
      <c r="LI14" s="865"/>
      <c r="LJ14" s="865"/>
      <c r="LK14" s="865"/>
      <c r="LL14" s="865"/>
      <c r="LM14" s="865"/>
      <c r="LN14" s="865"/>
      <c r="LO14" s="865"/>
      <c r="LP14" s="865"/>
      <c r="LQ14" s="865"/>
      <c r="LR14" s="865"/>
      <c r="LS14" s="865"/>
      <c r="LT14" s="865"/>
      <c r="LU14" s="865"/>
      <c r="LV14" s="865"/>
      <c r="LW14" s="865"/>
      <c r="LX14" s="865"/>
      <c r="LY14" s="865"/>
      <c r="LZ14" s="865"/>
      <c r="MA14" s="865"/>
      <c r="MB14" s="865"/>
      <c r="MC14" s="865"/>
      <c r="MD14" s="865"/>
      <c r="ME14" s="865"/>
      <c r="MF14" s="865"/>
      <c r="MG14" s="865"/>
      <c r="MH14" s="865"/>
      <c r="MI14" s="865"/>
      <c r="MJ14" s="865"/>
      <c r="MK14" s="865"/>
      <c r="ML14" s="865"/>
      <c r="MM14" s="865"/>
      <c r="MN14" s="865"/>
      <c r="MO14" s="865"/>
      <c r="MP14" s="865"/>
      <c r="MQ14" s="865"/>
      <c r="MR14" s="865"/>
      <c r="MS14" s="865"/>
      <c r="MT14" s="865"/>
      <c r="MU14" s="865"/>
      <c r="MV14" s="865"/>
      <c r="MW14" s="865"/>
      <c r="MX14" s="865"/>
      <c r="MY14" s="865"/>
      <c r="MZ14" s="865"/>
      <c r="NA14" s="865"/>
      <c r="NB14" s="865"/>
      <c r="NC14" s="865"/>
      <c r="ND14" s="865"/>
      <c r="NE14" s="865"/>
      <c r="NF14" s="865"/>
      <c r="NG14" s="865"/>
      <c r="NH14" s="865"/>
      <c r="NI14" s="865"/>
      <c r="NJ14" s="865"/>
      <c r="NK14" s="865"/>
      <c r="NL14" s="865"/>
      <c r="NM14" s="865"/>
      <c r="NN14" s="865"/>
      <c r="NO14" s="865"/>
      <c r="NP14" s="865"/>
      <c r="NQ14" s="865"/>
      <c r="NR14" s="865"/>
      <c r="NS14" s="865"/>
      <c r="NT14" s="865"/>
      <c r="NU14" s="865"/>
      <c r="NV14" s="865"/>
      <c r="NW14" s="865"/>
      <c r="NX14" s="865"/>
      <c r="NY14" s="865"/>
      <c r="NZ14" s="865"/>
      <c r="OA14" s="865"/>
      <c r="OB14" s="865"/>
      <c r="OC14" s="865"/>
      <c r="OD14" s="865"/>
      <c r="OE14" s="865"/>
      <c r="OF14" s="865"/>
      <c r="OG14" s="865"/>
      <c r="OH14" s="865"/>
      <c r="OI14" s="865"/>
      <c r="OJ14" s="865"/>
      <c r="OK14" s="865"/>
      <c r="OL14" s="865"/>
      <c r="OM14" s="865"/>
      <c r="ON14" s="865"/>
      <c r="OO14" s="865"/>
      <c r="OP14" s="865"/>
      <c r="OQ14" s="865"/>
      <c r="OR14" s="865"/>
      <c r="OS14" s="865"/>
      <c r="OT14" s="865"/>
      <c r="OU14" s="865"/>
      <c r="OV14" s="865"/>
      <c r="OW14" s="865"/>
      <c r="OX14" s="865"/>
      <c r="OY14" s="865"/>
      <c r="OZ14" s="865"/>
      <c r="PA14" s="865"/>
      <c r="PB14" s="865"/>
      <c r="PC14" s="865"/>
      <c r="PD14" s="865"/>
      <c r="PE14" s="865"/>
      <c r="PF14" s="865"/>
      <c r="PG14" s="865"/>
      <c r="PH14" s="865"/>
      <c r="PI14" s="865"/>
      <c r="PJ14" s="865"/>
      <c r="PK14" s="865"/>
      <c r="PL14" s="865"/>
      <c r="PM14" s="865"/>
      <c r="PN14" s="865"/>
      <c r="PO14" s="865"/>
    </row>
    <row r="15" spans="1:431" s="165" customFormat="1">
      <c r="A15" s="865"/>
      <c r="B15" s="865"/>
      <c r="C15" s="850"/>
      <c r="D15" s="850"/>
      <c r="E15" s="850"/>
      <c r="F15" s="850"/>
      <c r="G15" s="850"/>
      <c r="H15" s="850"/>
      <c r="I15" s="850"/>
      <c r="J15" s="850"/>
      <c r="K15" s="850"/>
      <c r="L15" s="850"/>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5"/>
      <c r="AL15" s="865"/>
      <c r="AM15" s="865"/>
      <c r="AN15" s="865"/>
      <c r="AO15" s="865"/>
      <c r="AP15" s="865"/>
      <c r="AQ15" s="865"/>
      <c r="AR15" s="865"/>
      <c r="AS15" s="865"/>
      <c r="AT15" s="865"/>
      <c r="AU15" s="865"/>
      <c r="AV15" s="865"/>
      <c r="AW15" s="865"/>
      <c r="AX15" s="865"/>
      <c r="AY15" s="865"/>
      <c r="AZ15" s="865"/>
      <c r="BA15" s="865"/>
      <c r="BB15" s="865"/>
      <c r="BC15" s="865"/>
      <c r="BD15" s="865"/>
      <c r="BE15" s="865"/>
      <c r="BF15" s="865"/>
      <c r="BG15" s="865"/>
      <c r="BH15" s="865"/>
      <c r="BI15" s="865"/>
      <c r="BJ15" s="865"/>
      <c r="BK15" s="865"/>
      <c r="BL15" s="865"/>
      <c r="BM15" s="865"/>
      <c r="BN15" s="865"/>
      <c r="BO15" s="865"/>
      <c r="BP15" s="865"/>
      <c r="BQ15" s="865"/>
      <c r="BR15" s="865"/>
      <c r="BS15" s="865"/>
      <c r="BT15" s="865"/>
      <c r="BU15" s="865"/>
      <c r="BV15" s="865"/>
      <c r="BW15" s="865"/>
      <c r="BX15" s="865"/>
      <c r="BY15" s="865"/>
      <c r="BZ15" s="865"/>
      <c r="CA15" s="865"/>
      <c r="CB15" s="865"/>
      <c r="CC15" s="865"/>
      <c r="CD15" s="865"/>
      <c r="CE15" s="865"/>
      <c r="CF15" s="865"/>
      <c r="CG15" s="865"/>
      <c r="CH15" s="865"/>
      <c r="CI15" s="865"/>
      <c r="CJ15" s="865"/>
      <c r="CK15" s="865"/>
      <c r="CL15" s="865"/>
      <c r="CM15" s="865"/>
      <c r="CN15" s="865"/>
      <c r="CO15" s="865"/>
      <c r="CP15" s="865"/>
      <c r="CQ15" s="865"/>
      <c r="CR15" s="865"/>
      <c r="CS15" s="865"/>
      <c r="CT15" s="865"/>
      <c r="CU15" s="865"/>
      <c r="CV15" s="865"/>
      <c r="CW15" s="865"/>
      <c r="CX15" s="865"/>
      <c r="CY15" s="865"/>
      <c r="CZ15" s="865"/>
      <c r="DA15" s="865"/>
      <c r="DB15" s="865"/>
      <c r="DC15" s="865"/>
      <c r="DD15" s="865"/>
      <c r="DE15" s="865"/>
      <c r="DF15" s="865"/>
      <c r="DG15" s="865"/>
      <c r="DH15" s="865"/>
      <c r="DI15" s="865"/>
      <c r="DJ15" s="865"/>
      <c r="DK15" s="865"/>
      <c r="DL15" s="865"/>
      <c r="DM15" s="865"/>
      <c r="DN15" s="865"/>
      <c r="DO15" s="865"/>
      <c r="DP15" s="865"/>
      <c r="DQ15" s="865"/>
      <c r="DR15" s="865"/>
      <c r="DS15" s="865"/>
      <c r="DT15" s="865"/>
      <c r="DU15" s="865"/>
      <c r="DV15" s="865"/>
      <c r="DW15" s="865"/>
      <c r="DX15" s="865"/>
      <c r="DY15" s="865"/>
      <c r="DZ15" s="865"/>
      <c r="EA15" s="865"/>
      <c r="EB15" s="865"/>
      <c r="EC15" s="865"/>
      <c r="ED15" s="865"/>
      <c r="EE15" s="865"/>
      <c r="EF15" s="865"/>
      <c r="EG15" s="865"/>
      <c r="EH15" s="865"/>
      <c r="EI15" s="865"/>
      <c r="EJ15" s="865"/>
      <c r="EK15" s="865"/>
      <c r="EL15" s="865"/>
      <c r="EM15" s="865"/>
      <c r="EN15" s="865"/>
      <c r="EO15" s="865"/>
      <c r="EP15" s="865"/>
      <c r="EQ15" s="865"/>
      <c r="ER15" s="865"/>
      <c r="ES15" s="865"/>
      <c r="ET15" s="865"/>
      <c r="EU15" s="865"/>
      <c r="EV15" s="865"/>
      <c r="EW15" s="865"/>
      <c r="EX15" s="865"/>
      <c r="EY15" s="865"/>
      <c r="EZ15" s="865"/>
      <c r="FA15" s="865"/>
      <c r="FB15" s="865"/>
      <c r="FC15" s="865"/>
      <c r="FD15" s="865"/>
      <c r="FE15" s="865"/>
      <c r="FF15" s="865"/>
      <c r="FG15" s="865"/>
      <c r="FH15" s="865"/>
      <c r="FI15" s="865"/>
      <c r="FJ15" s="865"/>
      <c r="FK15" s="865"/>
      <c r="FL15" s="865"/>
      <c r="FM15" s="865"/>
      <c r="FN15" s="865"/>
      <c r="FO15" s="865"/>
      <c r="FP15" s="865"/>
      <c r="FQ15" s="865"/>
      <c r="FR15" s="865"/>
      <c r="FS15" s="865"/>
      <c r="FT15" s="865"/>
      <c r="FU15" s="865"/>
      <c r="FV15" s="865"/>
      <c r="FW15" s="865"/>
      <c r="FX15" s="865"/>
      <c r="FY15" s="865"/>
      <c r="FZ15" s="865"/>
      <c r="GA15" s="865"/>
      <c r="GB15" s="865"/>
      <c r="GC15" s="865"/>
      <c r="GD15" s="865"/>
      <c r="GE15" s="865"/>
      <c r="GF15" s="865"/>
      <c r="GG15" s="865"/>
      <c r="GH15" s="865"/>
      <c r="GI15" s="865"/>
      <c r="GJ15" s="865"/>
      <c r="GK15" s="865"/>
      <c r="GL15" s="865"/>
      <c r="GM15" s="865"/>
      <c r="GN15" s="865"/>
      <c r="GO15" s="865"/>
      <c r="GP15" s="865"/>
      <c r="GQ15" s="865"/>
      <c r="GR15" s="865"/>
      <c r="GS15" s="865"/>
      <c r="GT15" s="865"/>
      <c r="GU15" s="865"/>
      <c r="GV15" s="865"/>
      <c r="GW15" s="865"/>
      <c r="GX15" s="865"/>
      <c r="GY15" s="865"/>
      <c r="GZ15" s="865"/>
      <c r="HA15" s="865"/>
      <c r="HB15" s="865"/>
      <c r="HC15" s="865"/>
      <c r="HD15" s="865"/>
      <c r="HE15" s="865"/>
      <c r="HF15" s="865"/>
      <c r="HG15" s="865"/>
      <c r="HH15" s="865"/>
      <c r="HI15" s="865"/>
      <c r="HJ15" s="865"/>
      <c r="HK15" s="865"/>
      <c r="HL15" s="865"/>
      <c r="HM15" s="865"/>
      <c r="HN15" s="865"/>
      <c r="HO15" s="865"/>
      <c r="HP15" s="865"/>
      <c r="HQ15" s="865"/>
      <c r="HR15" s="865"/>
      <c r="HS15" s="865"/>
      <c r="HT15" s="865"/>
      <c r="HU15" s="865"/>
      <c r="HV15" s="865"/>
      <c r="HW15" s="865"/>
      <c r="HX15" s="865"/>
      <c r="HY15" s="865"/>
      <c r="HZ15" s="865"/>
      <c r="IA15" s="865"/>
      <c r="IB15" s="865"/>
      <c r="IC15" s="865"/>
      <c r="ID15" s="865"/>
      <c r="IE15" s="865"/>
      <c r="IF15" s="865"/>
      <c r="IG15" s="865"/>
      <c r="IH15" s="865"/>
      <c r="II15" s="865"/>
      <c r="IJ15" s="865"/>
      <c r="IK15" s="865"/>
      <c r="IL15" s="865"/>
      <c r="IM15" s="865"/>
      <c r="IN15" s="865"/>
      <c r="IO15" s="865"/>
      <c r="IP15" s="865"/>
      <c r="IQ15" s="865"/>
      <c r="IR15" s="865"/>
      <c r="IS15" s="865"/>
      <c r="IT15" s="865"/>
      <c r="IU15" s="865"/>
      <c r="IV15" s="865"/>
      <c r="IW15" s="865"/>
      <c r="IX15" s="865"/>
      <c r="IY15" s="865"/>
      <c r="IZ15" s="865"/>
      <c r="JA15" s="865"/>
      <c r="JB15" s="865"/>
      <c r="JC15" s="865"/>
      <c r="JD15" s="865"/>
      <c r="JE15" s="865"/>
      <c r="JF15" s="865"/>
      <c r="JG15" s="865"/>
      <c r="JH15" s="865"/>
      <c r="JI15" s="865"/>
      <c r="JJ15" s="865"/>
      <c r="JK15" s="865"/>
      <c r="JL15" s="865"/>
      <c r="JM15" s="865"/>
      <c r="JN15" s="865"/>
      <c r="JO15" s="865"/>
      <c r="JP15" s="865"/>
      <c r="JQ15" s="865"/>
      <c r="JR15" s="865"/>
      <c r="JS15" s="865"/>
      <c r="JT15" s="865"/>
      <c r="JU15" s="865"/>
      <c r="JV15" s="865"/>
      <c r="JW15" s="865"/>
      <c r="JX15" s="865"/>
      <c r="JY15" s="865"/>
      <c r="JZ15" s="865"/>
      <c r="KA15" s="865"/>
      <c r="KB15" s="865"/>
      <c r="KC15" s="865"/>
      <c r="KD15" s="865"/>
      <c r="KE15" s="865"/>
      <c r="KF15" s="865"/>
      <c r="KG15" s="865"/>
      <c r="KH15" s="865"/>
      <c r="KI15" s="865"/>
      <c r="KJ15" s="865"/>
      <c r="KK15" s="865"/>
      <c r="KL15" s="865"/>
      <c r="KM15" s="865"/>
      <c r="KN15" s="865"/>
      <c r="KO15" s="865"/>
      <c r="KP15" s="865"/>
      <c r="KQ15" s="865"/>
      <c r="KR15" s="865"/>
      <c r="KS15" s="865"/>
      <c r="KT15" s="865"/>
      <c r="KU15" s="865"/>
      <c r="KV15" s="865"/>
      <c r="KW15" s="865"/>
      <c r="KX15" s="865"/>
      <c r="KY15" s="865"/>
      <c r="KZ15" s="865"/>
      <c r="LA15" s="865"/>
      <c r="LB15" s="865"/>
      <c r="LC15" s="865"/>
      <c r="LD15" s="865"/>
      <c r="LE15" s="865"/>
      <c r="LF15" s="865"/>
      <c r="LG15" s="865"/>
      <c r="LH15" s="865"/>
      <c r="LI15" s="865"/>
      <c r="LJ15" s="865"/>
      <c r="LK15" s="865"/>
      <c r="LL15" s="865"/>
      <c r="LM15" s="865"/>
      <c r="LN15" s="865"/>
      <c r="LO15" s="865"/>
      <c r="LP15" s="865"/>
      <c r="LQ15" s="865"/>
      <c r="LR15" s="865"/>
      <c r="LS15" s="865"/>
      <c r="LT15" s="865"/>
      <c r="LU15" s="865"/>
      <c r="LV15" s="865"/>
      <c r="LW15" s="865"/>
      <c r="LX15" s="865"/>
      <c r="LY15" s="865"/>
      <c r="LZ15" s="865"/>
      <c r="MA15" s="865"/>
      <c r="MB15" s="865"/>
      <c r="MC15" s="865"/>
      <c r="MD15" s="865"/>
      <c r="ME15" s="865"/>
      <c r="MF15" s="865"/>
      <c r="MG15" s="865"/>
      <c r="MH15" s="865"/>
      <c r="MI15" s="865"/>
      <c r="MJ15" s="865"/>
      <c r="MK15" s="865"/>
      <c r="ML15" s="865"/>
      <c r="MM15" s="865"/>
      <c r="MN15" s="865"/>
      <c r="MO15" s="865"/>
      <c r="MP15" s="865"/>
      <c r="MQ15" s="865"/>
      <c r="MR15" s="865"/>
      <c r="MS15" s="865"/>
      <c r="MT15" s="865"/>
      <c r="MU15" s="865"/>
      <c r="MV15" s="865"/>
      <c r="MW15" s="865"/>
      <c r="MX15" s="865"/>
      <c r="MY15" s="865"/>
      <c r="MZ15" s="865"/>
      <c r="NA15" s="865"/>
      <c r="NB15" s="865"/>
      <c r="NC15" s="865"/>
      <c r="ND15" s="865"/>
      <c r="NE15" s="865"/>
      <c r="NF15" s="865"/>
      <c r="NG15" s="865"/>
      <c r="NH15" s="865"/>
      <c r="NI15" s="865"/>
      <c r="NJ15" s="865"/>
      <c r="NK15" s="865"/>
      <c r="NL15" s="865"/>
      <c r="NM15" s="865"/>
      <c r="NN15" s="865"/>
      <c r="NO15" s="865"/>
      <c r="NP15" s="865"/>
      <c r="NQ15" s="865"/>
      <c r="NR15" s="865"/>
      <c r="NS15" s="865"/>
      <c r="NT15" s="865"/>
      <c r="NU15" s="865"/>
      <c r="NV15" s="865"/>
      <c r="NW15" s="865"/>
      <c r="NX15" s="865"/>
      <c r="NY15" s="865"/>
      <c r="NZ15" s="865"/>
      <c r="OA15" s="865"/>
      <c r="OB15" s="865"/>
      <c r="OC15" s="865"/>
      <c r="OD15" s="865"/>
      <c r="OE15" s="865"/>
      <c r="OF15" s="865"/>
      <c r="OG15" s="865"/>
      <c r="OH15" s="865"/>
      <c r="OI15" s="865"/>
      <c r="OJ15" s="865"/>
      <c r="OK15" s="865"/>
      <c r="OL15" s="865"/>
      <c r="OM15" s="865"/>
      <c r="ON15" s="865"/>
      <c r="OO15" s="865"/>
      <c r="OP15" s="865"/>
      <c r="OQ15" s="865"/>
      <c r="OR15" s="865"/>
      <c r="OS15" s="865"/>
      <c r="OT15" s="865"/>
      <c r="OU15" s="865"/>
      <c r="OV15" s="865"/>
      <c r="OW15" s="865"/>
      <c r="OX15" s="865"/>
      <c r="OY15" s="865"/>
      <c r="OZ15" s="865"/>
      <c r="PA15" s="865"/>
      <c r="PB15" s="865"/>
      <c r="PC15" s="865"/>
      <c r="PD15" s="865"/>
      <c r="PE15" s="865"/>
      <c r="PF15" s="865"/>
      <c r="PG15" s="865"/>
      <c r="PH15" s="865"/>
      <c r="PI15" s="865"/>
      <c r="PJ15" s="865"/>
      <c r="PK15" s="865"/>
      <c r="PL15" s="865"/>
      <c r="PM15" s="865"/>
      <c r="PN15" s="865"/>
      <c r="PO15" s="865"/>
    </row>
    <row r="16" spans="1:431" s="165" customFormat="1">
      <c r="A16" s="865"/>
      <c r="B16" s="865"/>
      <c r="C16" s="850"/>
      <c r="D16" s="850"/>
      <c r="E16" s="850"/>
      <c r="F16" s="850"/>
      <c r="G16" s="850"/>
      <c r="H16" s="850"/>
      <c r="I16" s="850"/>
      <c r="J16" s="850"/>
      <c r="K16" s="850"/>
      <c r="L16" s="850"/>
      <c r="M16" s="865"/>
      <c r="N16" s="865"/>
      <c r="O16" s="865"/>
      <c r="P16" s="865"/>
      <c r="Q16" s="865"/>
      <c r="R16" s="865"/>
      <c r="S16" s="865"/>
      <c r="T16" s="865"/>
      <c r="U16" s="865"/>
      <c r="V16" s="865"/>
      <c r="W16" s="865"/>
      <c r="X16" s="865"/>
      <c r="Y16" s="865"/>
      <c r="Z16" s="865"/>
      <c r="AA16" s="865"/>
      <c r="AB16" s="865"/>
      <c r="AC16" s="865"/>
      <c r="AD16" s="865"/>
      <c r="AE16" s="865"/>
      <c r="AF16" s="865"/>
      <c r="AG16" s="865"/>
      <c r="AH16" s="865"/>
      <c r="AI16" s="865"/>
      <c r="AJ16" s="865"/>
      <c r="AK16" s="865"/>
      <c r="AL16" s="865"/>
      <c r="AM16" s="865"/>
      <c r="AN16" s="865"/>
      <c r="AO16" s="865"/>
      <c r="AP16" s="865"/>
      <c r="AQ16" s="865"/>
      <c r="AR16" s="865"/>
      <c r="AS16" s="865"/>
      <c r="AT16" s="865"/>
      <c r="AU16" s="865"/>
      <c r="AV16" s="865"/>
      <c r="AW16" s="865"/>
      <c r="AX16" s="865"/>
      <c r="AY16" s="865"/>
      <c r="AZ16" s="865"/>
      <c r="BA16" s="865"/>
      <c r="BB16" s="865"/>
      <c r="BC16" s="865"/>
      <c r="BD16" s="865"/>
      <c r="BE16" s="865"/>
      <c r="BF16" s="865"/>
      <c r="BG16" s="865"/>
      <c r="BH16" s="865"/>
      <c r="BI16" s="865"/>
      <c r="BJ16" s="865"/>
      <c r="BK16" s="865"/>
      <c r="BL16" s="865"/>
      <c r="BM16" s="865"/>
      <c r="BN16" s="865"/>
      <c r="BO16" s="865"/>
      <c r="BP16" s="865"/>
      <c r="BQ16" s="865"/>
      <c r="BR16" s="865"/>
      <c r="BS16" s="865"/>
      <c r="BT16" s="865"/>
      <c r="BU16" s="865"/>
      <c r="BV16" s="865"/>
      <c r="BW16" s="865"/>
      <c r="BX16" s="865"/>
      <c r="BY16" s="865"/>
      <c r="BZ16" s="865"/>
      <c r="CA16" s="865"/>
      <c r="CB16" s="865"/>
      <c r="CC16" s="865"/>
      <c r="CD16" s="865"/>
      <c r="CE16" s="865"/>
      <c r="CF16" s="865"/>
      <c r="CG16" s="865"/>
      <c r="CH16" s="865"/>
      <c r="CI16" s="865"/>
      <c r="CJ16" s="865"/>
      <c r="CK16" s="865"/>
      <c r="CL16" s="865"/>
      <c r="CM16" s="865"/>
      <c r="CN16" s="865"/>
      <c r="CO16" s="865"/>
      <c r="CP16" s="865"/>
      <c r="CQ16" s="865"/>
      <c r="CR16" s="865"/>
      <c r="CS16" s="865"/>
      <c r="CT16" s="865"/>
      <c r="CU16" s="865"/>
      <c r="CV16" s="865"/>
      <c r="CW16" s="865"/>
      <c r="CX16" s="865"/>
      <c r="CY16" s="865"/>
      <c r="CZ16" s="865"/>
      <c r="DA16" s="865"/>
      <c r="DB16" s="865"/>
      <c r="DC16" s="865"/>
      <c r="DD16" s="865"/>
      <c r="DE16" s="865"/>
      <c r="DF16" s="865"/>
      <c r="DG16" s="865"/>
      <c r="DH16" s="865"/>
      <c r="DI16" s="865"/>
      <c r="DJ16" s="865"/>
      <c r="DK16" s="865"/>
      <c r="DL16" s="865"/>
      <c r="DM16" s="865"/>
      <c r="DN16" s="865"/>
      <c r="DO16" s="865"/>
      <c r="DP16" s="865"/>
      <c r="DQ16" s="865"/>
      <c r="DR16" s="865"/>
      <c r="DS16" s="865"/>
      <c r="DT16" s="865"/>
      <c r="DU16" s="865"/>
      <c r="DV16" s="865"/>
      <c r="DW16" s="865"/>
      <c r="DX16" s="865"/>
      <c r="DY16" s="865"/>
      <c r="DZ16" s="865"/>
      <c r="EA16" s="865"/>
      <c r="EB16" s="865"/>
      <c r="EC16" s="865"/>
      <c r="ED16" s="865"/>
      <c r="EE16" s="865"/>
      <c r="EF16" s="865"/>
      <c r="EG16" s="865"/>
      <c r="EH16" s="865"/>
      <c r="EI16" s="865"/>
      <c r="EJ16" s="865"/>
      <c r="EK16" s="865"/>
      <c r="EL16" s="865"/>
      <c r="EM16" s="865"/>
      <c r="EN16" s="865"/>
      <c r="EO16" s="865"/>
      <c r="EP16" s="865"/>
      <c r="EQ16" s="865"/>
      <c r="ER16" s="865"/>
      <c r="ES16" s="865"/>
      <c r="ET16" s="865"/>
      <c r="EU16" s="865"/>
      <c r="EV16" s="865"/>
      <c r="EW16" s="865"/>
      <c r="EX16" s="865"/>
      <c r="EY16" s="865"/>
      <c r="EZ16" s="865"/>
      <c r="FA16" s="865"/>
      <c r="FB16" s="865"/>
      <c r="FC16" s="865"/>
      <c r="FD16" s="865"/>
      <c r="FE16" s="865"/>
      <c r="FF16" s="865"/>
      <c r="FG16" s="865"/>
      <c r="FH16" s="865"/>
      <c r="FI16" s="865"/>
      <c r="FJ16" s="865"/>
      <c r="FK16" s="865"/>
      <c r="FL16" s="865"/>
      <c r="FM16" s="865"/>
      <c r="FN16" s="865"/>
      <c r="FO16" s="865"/>
      <c r="FP16" s="865"/>
      <c r="FQ16" s="865"/>
      <c r="FR16" s="865"/>
      <c r="FS16" s="865"/>
      <c r="FT16" s="865"/>
      <c r="FU16" s="865"/>
      <c r="FV16" s="865"/>
      <c r="FW16" s="865"/>
      <c r="FX16" s="865"/>
      <c r="FY16" s="865"/>
      <c r="FZ16" s="865"/>
      <c r="GA16" s="865"/>
      <c r="GB16" s="865"/>
      <c r="GC16" s="865"/>
      <c r="GD16" s="865"/>
      <c r="GE16" s="865"/>
      <c r="GF16" s="865"/>
      <c r="GG16" s="865"/>
      <c r="GH16" s="865"/>
      <c r="GI16" s="865"/>
      <c r="GJ16" s="865"/>
      <c r="GK16" s="865"/>
      <c r="GL16" s="865"/>
      <c r="GM16" s="865"/>
      <c r="GN16" s="865"/>
      <c r="GO16" s="865"/>
      <c r="GP16" s="865"/>
      <c r="GQ16" s="865"/>
      <c r="GR16" s="865"/>
      <c r="GS16" s="865"/>
      <c r="GT16" s="865"/>
      <c r="GU16" s="865"/>
      <c r="GV16" s="865"/>
      <c r="GW16" s="865"/>
      <c r="GX16" s="865"/>
      <c r="GY16" s="865"/>
      <c r="GZ16" s="865"/>
      <c r="HA16" s="865"/>
      <c r="HB16" s="865"/>
      <c r="HC16" s="865"/>
      <c r="HD16" s="865"/>
      <c r="HE16" s="865"/>
      <c r="HF16" s="865"/>
      <c r="HG16" s="865"/>
      <c r="HH16" s="865"/>
      <c r="HI16" s="865"/>
      <c r="HJ16" s="865"/>
      <c r="HK16" s="865"/>
      <c r="HL16" s="865"/>
      <c r="HM16" s="865"/>
      <c r="HN16" s="865"/>
      <c r="HO16" s="865"/>
      <c r="HP16" s="865"/>
      <c r="HQ16" s="865"/>
      <c r="HR16" s="865"/>
      <c r="HS16" s="865"/>
      <c r="HT16" s="865"/>
      <c r="HU16" s="865"/>
      <c r="HV16" s="865"/>
      <c r="HW16" s="865"/>
      <c r="HX16" s="865"/>
      <c r="HY16" s="865"/>
      <c r="HZ16" s="865"/>
      <c r="IA16" s="865"/>
      <c r="IB16" s="865"/>
      <c r="IC16" s="865"/>
      <c r="ID16" s="865"/>
      <c r="IE16" s="865"/>
      <c r="IF16" s="865"/>
      <c r="IG16" s="865"/>
      <c r="IH16" s="865"/>
      <c r="II16" s="865"/>
      <c r="IJ16" s="865"/>
      <c r="IK16" s="865"/>
      <c r="IL16" s="865"/>
      <c r="IM16" s="865"/>
      <c r="IN16" s="865"/>
      <c r="IO16" s="865"/>
      <c r="IP16" s="865"/>
      <c r="IQ16" s="865"/>
      <c r="IR16" s="865"/>
      <c r="IS16" s="865"/>
      <c r="IT16" s="865"/>
      <c r="IU16" s="865"/>
      <c r="IV16" s="865"/>
      <c r="IW16" s="865"/>
      <c r="IX16" s="865"/>
      <c r="IY16" s="865"/>
      <c r="IZ16" s="865"/>
      <c r="JA16" s="865"/>
      <c r="JB16" s="865"/>
      <c r="JC16" s="865"/>
      <c r="JD16" s="865"/>
      <c r="JE16" s="865"/>
      <c r="JF16" s="865"/>
      <c r="JG16" s="865"/>
      <c r="JH16" s="865"/>
      <c r="JI16" s="865"/>
      <c r="JJ16" s="865"/>
      <c r="JK16" s="865"/>
      <c r="JL16" s="865"/>
      <c r="JM16" s="865"/>
      <c r="JN16" s="865"/>
      <c r="JO16" s="865"/>
      <c r="JP16" s="865"/>
      <c r="JQ16" s="865"/>
      <c r="JR16" s="865"/>
      <c r="JS16" s="865"/>
      <c r="JT16" s="865"/>
      <c r="JU16" s="865"/>
      <c r="JV16" s="865"/>
      <c r="JW16" s="865"/>
      <c r="JX16" s="865"/>
      <c r="JY16" s="865"/>
      <c r="JZ16" s="865"/>
      <c r="KA16" s="865"/>
      <c r="KB16" s="865"/>
      <c r="KC16" s="865"/>
      <c r="KD16" s="865"/>
      <c r="KE16" s="865"/>
      <c r="KF16" s="865"/>
      <c r="KG16" s="865"/>
      <c r="KH16" s="865"/>
      <c r="KI16" s="865"/>
      <c r="KJ16" s="865"/>
      <c r="KK16" s="865"/>
      <c r="KL16" s="865"/>
      <c r="KM16" s="865"/>
      <c r="KN16" s="865"/>
      <c r="KO16" s="865"/>
      <c r="KP16" s="865"/>
      <c r="KQ16" s="865"/>
      <c r="KR16" s="865"/>
      <c r="KS16" s="865"/>
      <c r="KT16" s="865"/>
      <c r="KU16" s="865"/>
      <c r="KV16" s="865"/>
      <c r="KW16" s="865"/>
      <c r="KX16" s="865"/>
      <c r="KY16" s="865"/>
      <c r="KZ16" s="865"/>
      <c r="LA16" s="865"/>
      <c r="LB16" s="865"/>
      <c r="LC16" s="865"/>
      <c r="LD16" s="865"/>
      <c r="LE16" s="865"/>
      <c r="LF16" s="865"/>
      <c r="LG16" s="865"/>
      <c r="LH16" s="865"/>
      <c r="LI16" s="865"/>
      <c r="LJ16" s="865"/>
      <c r="LK16" s="865"/>
      <c r="LL16" s="865"/>
      <c r="LM16" s="865"/>
      <c r="LN16" s="865"/>
      <c r="LO16" s="865"/>
      <c r="LP16" s="865"/>
      <c r="LQ16" s="865"/>
      <c r="LR16" s="865"/>
      <c r="LS16" s="865"/>
      <c r="LT16" s="865"/>
      <c r="LU16" s="865"/>
      <c r="LV16" s="865"/>
      <c r="LW16" s="865"/>
      <c r="LX16" s="865"/>
      <c r="LY16" s="865"/>
      <c r="LZ16" s="865"/>
      <c r="MA16" s="865"/>
      <c r="MB16" s="865"/>
      <c r="MC16" s="865"/>
      <c r="MD16" s="865"/>
      <c r="ME16" s="865"/>
      <c r="MF16" s="865"/>
      <c r="MG16" s="865"/>
      <c r="MH16" s="865"/>
      <c r="MI16" s="865"/>
      <c r="MJ16" s="865"/>
      <c r="MK16" s="865"/>
      <c r="ML16" s="865"/>
      <c r="MM16" s="865"/>
      <c r="MN16" s="865"/>
      <c r="MO16" s="865"/>
      <c r="MP16" s="865"/>
      <c r="MQ16" s="865"/>
      <c r="MR16" s="865"/>
      <c r="MS16" s="865"/>
      <c r="MT16" s="865"/>
      <c r="MU16" s="865"/>
      <c r="MV16" s="865"/>
      <c r="MW16" s="865"/>
      <c r="MX16" s="865"/>
      <c r="MY16" s="865"/>
      <c r="MZ16" s="865"/>
      <c r="NA16" s="865"/>
      <c r="NB16" s="865"/>
      <c r="NC16" s="865"/>
      <c r="ND16" s="865"/>
      <c r="NE16" s="865"/>
      <c r="NF16" s="865"/>
      <c r="NG16" s="865"/>
      <c r="NH16" s="865"/>
      <c r="NI16" s="865"/>
      <c r="NJ16" s="865"/>
      <c r="NK16" s="865"/>
      <c r="NL16" s="865"/>
      <c r="NM16" s="865"/>
      <c r="NN16" s="865"/>
      <c r="NO16" s="865"/>
      <c r="NP16" s="865"/>
      <c r="NQ16" s="865"/>
      <c r="NR16" s="865"/>
      <c r="NS16" s="865"/>
      <c r="NT16" s="865"/>
      <c r="NU16" s="865"/>
      <c r="NV16" s="865"/>
      <c r="NW16" s="865"/>
      <c r="NX16" s="865"/>
      <c r="NY16" s="865"/>
      <c r="NZ16" s="865"/>
      <c r="OA16" s="865"/>
      <c r="OB16" s="865"/>
      <c r="OC16" s="865"/>
      <c r="OD16" s="865"/>
      <c r="OE16" s="865"/>
      <c r="OF16" s="865"/>
      <c r="OG16" s="865"/>
      <c r="OH16" s="865"/>
      <c r="OI16" s="865"/>
      <c r="OJ16" s="865"/>
      <c r="OK16" s="865"/>
      <c r="OL16" s="865"/>
      <c r="OM16" s="865"/>
      <c r="ON16" s="865"/>
      <c r="OO16" s="865"/>
      <c r="OP16" s="865"/>
      <c r="OQ16" s="865"/>
      <c r="OR16" s="865"/>
      <c r="OS16" s="865"/>
      <c r="OT16" s="865"/>
      <c r="OU16" s="865"/>
      <c r="OV16" s="865"/>
      <c r="OW16" s="865"/>
      <c r="OX16" s="865"/>
      <c r="OY16" s="865"/>
      <c r="OZ16" s="865"/>
      <c r="PA16" s="865"/>
      <c r="PB16" s="865"/>
      <c r="PC16" s="865"/>
      <c r="PD16" s="865"/>
      <c r="PE16" s="865"/>
      <c r="PF16" s="865"/>
      <c r="PG16" s="865"/>
      <c r="PH16" s="865"/>
      <c r="PI16" s="865"/>
      <c r="PJ16" s="865"/>
      <c r="PK16" s="865"/>
      <c r="PL16" s="865"/>
      <c r="PM16" s="865"/>
      <c r="PN16" s="865"/>
      <c r="PO16" s="865"/>
    </row>
    <row r="17" spans="1:431" s="165" customFormat="1">
      <c r="A17" s="865"/>
      <c r="B17" s="865"/>
      <c r="C17" s="850"/>
      <c r="D17" s="850"/>
      <c r="E17" s="850"/>
      <c r="F17" s="850"/>
      <c r="G17" s="850"/>
      <c r="H17" s="850"/>
      <c r="I17" s="850"/>
      <c r="J17" s="850"/>
      <c r="K17" s="850"/>
      <c r="L17" s="850"/>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c r="AV17" s="865"/>
      <c r="AW17" s="865"/>
      <c r="AX17" s="865"/>
      <c r="AY17" s="865"/>
      <c r="AZ17" s="865"/>
      <c r="BA17" s="865"/>
      <c r="BB17" s="865"/>
      <c r="BC17" s="865"/>
      <c r="BD17" s="865"/>
      <c r="BE17" s="865"/>
      <c r="BF17" s="865"/>
      <c r="BG17" s="865"/>
      <c r="BH17" s="865"/>
      <c r="BI17" s="865"/>
      <c r="BJ17" s="865"/>
      <c r="BK17" s="865"/>
      <c r="BL17" s="865"/>
      <c r="BM17" s="865"/>
      <c r="BN17" s="865"/>
      <c r="BO17" s="865"/>
      <c r="BP17" s="865"/>
      <c r="BQ17" s="865"/>
      <c r="BR17" s="865"/>
      <c r="BS17" s="865"/>
      <c r="BT17" s="865"/>
      <c r="BU17" s="865"/>
      <c r="BV17" s="865"/>
      <c r="BW17" s="865"/>
      <c r="BX17" s="865"/>
      <c r="BY17" s="865"/>
      <c r="BZ17" s="865"/>
      <c r="CA17" s="865"/>
      <c r="CB17" s="865"/>
      <c r="CC17" s="865"/>
      <c r="CD17" s="865"/>
      <c r="CE17" s="865"/>
      <c r="CF17" s="865"/>
      <c r="CG17" s="865"/>
      <c r="CH17" s="865"/>
      <c r="CI17" s="865"/>
      <c r="CJ17" s="865"/>
      <c r="CK17" s="865"/>
      <c r="CL17" s="865"/>
      <c r="CM17" s="865"/>
      <c r="CN17" s="865"/>
      <c r="CO17" s="865"/>
      <c r="CP17" s="865"/>
      <c r="CQ17" s="865"/>
      <c r="CR17" s="865"/>
      <c r="CS17" s="865"/>
      <c r="CT17" s="865"/>
      <c r="CU17" s="865"/>
      <c r="CV17" s="865"/>
      <c r="CW17" s="865"/>
      <c r="CX17" s="865"/>
      <c r="CY17" s="865"/>
      <c r="CZ17" s="865"/>
      <c r="DA17" s="865"/>
      <c r="DB17" s="865"/>
      <c r="DC17" s="865"/>
      <c r="DD17" s="865"/>
      <c r="DE17" s="865"/>
      <c r="DF17" s="865"/>
      <c r="DG17" s="865"/>
      <c r="DH17" s="865"/>
      <c r="DI17" s="865"/>
      <c r="DJ17" s="865"/>
      <c r="DK17" s="865"/>
      <c r="DL17" s="865"/>
      <c r="DM17" s="865"/>
      <c r="DN17" s="865"/>
      <c r="DO17" s="865"/>
      <c r="DP17" s="865"/>
      <c r="DQ17" s="865"/>
      <c r="DR17" s="865"/>
      <c r="DS17" s="865"/>
      <c r="DT17" s="865"/>
      <c r="DU17" s="865"/>
      <c r="DV17" s="865"/>
      <c r="DW17" s="865"/>
      <c r="DX17" s="865"/>
      <c r="DY17" s="865"/>
      <c r="DZ17" s="865"/>
      <c r="EA17" s="865"/>
      <c r="EB17" s="865"/>
      <c r="EC17" s="865"/>
      <c r="ED17" s="865"/>
      <c r="EE17" s="865"/>
      <c r="EF17" s="865"/>
      <c r="EG17" s="865"/>
      <c r="EH17" s="865"/>
      <c r="EI17" s="865"/>
      <c r="EJ17" s="865"/>
      <c r="EK17" s="865"/>
      <c r="EL17" s="865"/>
      <c r="EM17" s="865"/>
      <c r="EN17" s="865"/>
      <c r="EO17" s="865"/>
      <c r="EP17" s="865"/>
      <c r="EQ17" s="865"/>
      <c r="ER17" s="865"/>
      <c r="ES17" s="865"/>
      <c r="ET17" s="865"/>
      <c r="EU17" s="865"/>
      <c r="EV17" s="865"/>
      <c r="EW17" s="865"/>
      <c r="EX17" s="865"/>
      <c r="EY17" s="865"/>
      <c r="EZ17" s="865"/>
      <c r="FA17" s="865"/>
      <c r="FB17" s="865"/>
      <c r="FC17" s="865"/>
      <c r="FD17" s="865"/>
      <c r="FE17" s="865"/>
      <c r="FF17" s="865"/>
      <c r="FG17" s="865"/>
      <c r="FH17" s="865"/>
      <c r="FI17" s="865"/>
      <c r="FJ17" s="865"/>
      <c r="FK17" s="865"/>
      <c r="FL17" s="865"/>
      <c r="FM17" s="865"/>
      <c r="FN17" s="865"/>
      <c r="FO17" s="865"/>
      <c r="FP17" s="865"/>
      <c r="FQ17" s="865"/>
      <c r="FR17" s="865"/>
      <c r="FS17" s="865"/>
      <c r="FT17" s="865"/>
      <c r="FU17" s="865"/>
      <c r="FV17" s="865"/>
      <c r="FW17" s="865"/>
      <c r="FX17" s="865"/>
      <c r="FY17" s="865"/>
      <c r="FZ17" s="865"/>
      <c r="GA17" s="865"/>
      <c r="GB17" s="865"/>
      <c r="GC17" s="865"/>
      <c r="GD17" s="865"/>
      <c r="GE17" s="865"/>
      <c r="GF17" s="865"/>
      <c r="GG17" s="865"/>
      <c r="GH17" s="865"/>
      <c r="GI17" s="865"/>
      <c r="GJ17" s="865"/>
      <c r="GK17" s="865"/>
      <c r="GL17" s="865"/>
      <c r="GM17" s="865"/>
      <c r="GN17" s="865"/>
      <c r="GO17" s="865"/>
      <c r="GP17" s="865"/>
      <c r="GQ17" s="865"/>
      <c r="GR17" s="865"/>
      <c r="GS17" s="865"/>
      <c r="GT17" s="865"/>
      <c r="GU17" s="865"/>
      <c r="GV17" s="865"/>
      <c r="GW17" s="865"/>
      <c r="GX17" s="865"/>
      <c r="GY17" s="865"/>
      <c r="GZ17" s="865"/>
      <c r="HA17" s="865"/>
      <c r="HB17" s="865"/>
      <c r="HC17" s="865"/>
      <c r="HD17" s="865"/>
      <c r="HE17" s="865"/>
      <c r="HF17" s="865"/>
      <c r="HG17" s="865"/>
      <c r="HH17" s="865"/>
      <c r="HI17" s="865"/>
      <c r="HJ17" s="865"/>
      <c r="HK17" s="865"/>
      <c r="HL17" s="865"/>
      <c r="HM17" s="865"/>
      <c r="HN17" s="865"/>
      <c r="HO17" s="865"/>
      <c r="HP17" s="865"/>
      <c r="HQ17" s="865"/>
      <c r="HR17" s="865"/>
      <c r="HS17" s="865"/>
      <c r="HT17" s="865"/>
      <c r="HU17" s="865"/>
      <c r="HV17" s="865"/>
      <c r="HW17" s="865"/>
      <c r="HX17" s="865"/>
      <c r="HY17" s="865"/>
      <c r="HZ17" s="865"/>
      <c r="IA17" s="865"/>
      <c r="IB17" s="865"/>
      <c r="IC17" s="865"/>
      <c r="ID17" s="865"/>
      <c r="IE17" s="865"/>
      <c r="IF17" s="865"/>
      <c r="IG17" s="865"/>
      <c r="IH17" s="865"/>
      <c r="II17" s="865"/>
      <c r="IJ17" s="865"/>
      <c r="IK17" s="865"/>
      <c r="IL17" s="865"/>
      <c r="IM17" s="865"/>
      <c r="IN17" s="865"/>
      <c r="IO17" s="865"/>
      <c r="IP17" s="865"/>
      <c r="IQ17" s="865"/>
      <c r="IR17" s="865"/>
      <c r="IS17" s="865"/>
      <c r="IT17" s="865"/>
      <c r="IU17" s="865"/>
      <c r="IV17" s="865"/>
      <c r="IW17" s="865"/>
      <c r="IX17" s="865"/>
      <c r="IY17" s="865"/>
      <c r="IZ17" s="865"/>
      <c r="JA17" s="865"/>
      <c r="JB17" s="865"/>
      <c r="JC17" s="865"/>
      <c r="JD17" s="865"/>
      <c r="JE17" s="865"/>
      <c r="JF17" s="865"/>
      <c r="JG17" s="865"/>
      <c r="JH17" s="865"/>
      <c r="JI17" s="865"/>
      <c r="JJ17" s="865"/>
      <c r="JK17" s="865"/>
      <c r="JL17" s="865"/>
      <c r="JM17" s="865"/>
      <c r="JN17" s="865"/>
      <c r="JO17" s="865"/>
      <c r="JP17" s="865"/>
      <c r="JQ17" s="865"/>
      <c r="JR17" s="865"/>
      <c r="JS17" s="865"/>
      <c r="JT17" s="865"/>
      <c r="JU17" s="865"/>
      <c r="JV17" s="865"/>
      <c r="JW17" s="865"/>
      <c r="JX17" s="865"/>
      <c r="JY17" s="865"/>
      <c r="JZ17" s="865"/>
      <c r="KA17" s="865"/>
      <c r="KB17" s="865"/>
      <c r="KC17" s="865"/>
      <c r="KD17" s="865"/>
      <c r="KE17" s="865"/>
      <c r="KF17" s="865"/>
      <c r="KG17" s="865"/>
      <c r="KH17" s="865"/>
      <c r="KI17" s="865"/>
      <c r="KJ17" s="865"/>
      <c r="KK17" s="865"/>
      <c r="KL17" s="865"/>
      <c r="KM17" s="865"/>
      <c r="KN17" s="865"/>
      <c r="KO17" s="865"/>
      <c r="KP17" s="865"/>
      <c r="KQ17" s="865"/>
      <c r="KR17" s="865"/>
      <c r="KS17" s="865"/>
      <c r="KT17" s="865"/>
      <c r="KU17" s="865"/>
      <c r="KV17" s="865"/>
      <c r="KW17" s="865"/>
      <c r="KX17" s="865"/>
      <c r="KY17" s="865"/>
      <c r="KZ17" s="865"/>
      <c r="LA17" s="865"/>
      <c r="LB17" s="865"/>
      <c r="LC17" s="865"/>
      <c r="LD17" s="865"/>
      <c r="LE17" s="865"/>
      <c r="LF17" s="865"/>
      <c r="LG17" s="865"/>
      <c r="LH17" s="865"/>
      <c r="LI17" s="865"/>
      <c r="LJ17" s="865"/>
      <c r="LK17" s="865"/>
      <c r="LL17" s="865"/>
      <c r="LM17" s="865"/>
      <c r="LN17" s="865"/>
      <c r="LO17" s="865"/>
      <c r="LP17" s="865"/>
      <c r="LQ17" s="865"/>
      <c r="LR17" s="865"/>
      <c r="LS17" s="865"/>
      <c r="LT17" s="865"/>
      <c r="LU17" s="865"/>
      <c r="LV17" s="865"/>
      <c r="LW17" s="865"/>
      <c r="LX17" s="865"/>
      <c r="LY17" s="865"/>
      <c r="LZ17" s="865"/>
      <c r="MA17" s="865"/>
      <c r="MB17" s="865"/>
      <c r="MC17" s="865"/>
      <c r="MD17" s="865"/>
      <c r="ME17" s="865"/>
      <c r="MF17" s="865"/>
      <c r="MG17" s="865"/>
      <c r="MH17" s="865"/>
      <c r="MI17" s="865"/>
      <c r="MJ17" s="865"/>
      <c r="MK17" s="865"/>
      <c r="ML17" s="865"/>
      <c r="MM17" s="865"/>
      <c r="MN17" s="865"/>
      <c r="MO17" s="865"/>
      <c r="MP17" s="865"/>
      <c r="MQ17" s="865"/>
      <c r="MR17" s="865"/>
      <c r="MS17" s="865"/>
      <c r="MT17" s="865"/>
      <c r="MU17" s="865"/>
      <c r="MV17" s="865"/>
      <c r="MW17" s="865"/>
      <c r="MX17" s="865"/>
      <c r="MY17" s="865"/>
      <c r="MZ17" s="865"/>
      <c r="NA17" s="865"/>
      <c r="NB17" s="865"/>
      <c r="NC17" s="865"/>
      <c r="ND17" s="865"/>
      <c r="NE17" s="865"/>
      <c r="NF17" s="865"/>
      <c r="NG17" s="865"/>
      <c r="NH17" s="865"/>
      <c r="NI17" s="865"/>
      <c r="NJ17" s="865"/>
      <c r="NK17" s="865"/>
      <c r="NL17" s="865"/>
      <c r="NM17" s="865"/>
      <c r="NN17" s="865"/>
      <c r="NO17" s="865"/>
      <c r="NP17" s="865"/>
      <c r="NQ17" s="865"/>
      <c r="NR17" s="865"/>
      <c r="NS17" s="865"/>
      <c r="NT17" s="865"/>
      <c r="NU17" s="865"/>
      <c r="NV17" s="865"/>
      <c r="NW17" s="865"/>
      <c r="NX17" s="865"/>
      <c r="NY17" s="865"/>
      <c r="NZ17" s="865"/>
      <c r="OA17" s="865"/>
      <c r="OB17" s="865"/>
      <c r="OC17" s="865"/>
      <c r="OD17" s="865"/>
      <c r="OE17" s="865"/>
      <c r="OF17" s="865"/>
      <c r="OG17" s="865"/>
      <c r="OH17" s="865"/>
      <c r="OI17" s="865"/>
      <c r="OJ17" s="865"/>
      <c r="OK17" s="865"/>
      <c r="OL17" s="865"/>
      <c r="OM17" s="865"/>
      <c r="ON17" s="865"/>
      <c r="OO17" s="865"/>
      <c r="OP17" s="865"/>
      <c r="OQ17" s="865"/>
      <c r="OR17" s="865"/>
      <c r="OS17" s="865"/>
      <c r="OT17" s="865"/>
      <c r="OU17" s="865"/>
      <c r="OV17" s="865"/>
      <c r="OW17" s="865"/>
      <c r="OX17" s="865"/>
      <c r="OY17" s="865"/>
      <c r="OZ17" s="865"/>
      <c r="PA17" s="865"/>
      <c r="PB17" s="865"/>
      <c r="PC17" s="865"/>
      <c r="PD17" s="865"/>
      <c r="PE17" s="865"/>
      <c r="PF17" s="865"/>
      <c r="PG17" s="865"/>
      <c r="PH17" s="865"/>
      <c r="PI17" s="865"/>
      <c r="PJ17" s="865"/>
      <c r="PK17" s="865"/>
      <c r="PL17" s="865"/>
      <c r="PM17" s="865"/>
      <c r="PN17" s="865"/>
      <c r="PO17" s="865"/>
    </row>
    <row r="18" spans="1:431" s="165" customFormat="1">
      <c r="A18" s="865"/>
      <c r="B18" s="865"/>
      <c r="C18" s="850"/>
      <c r="D18" s="850"/>
      <c r="E18" s="850"/>
      <c r="F18" s="850"/>
      <c r="G18" s="850"/>
      <c r="H18" s="850"/>
      <c r="I18" s="850"/>
      <c r="J18" s="850"/>
      <c r="K18" s="850"/>
      <c r="L18" s="850"/>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5"/>
      <c r="AS18" s="865"/>
      <c r="AT18" s="865"/>
      <c r="AU18" s="865"/>
      <c r="AV18" s="865"/>
      <c r="AW18" s="865"/>
      <c r="AX18" s="865"/>
      <c r="AY18" s="865"/>
      <c r="AZ18" s="865"/>
      <c r="BA18" s="865"/>
      <c r="BB18" s="865"/>
      <c r="BC18" s="865"/>
      <c r="BD18" s="865"/>
      <c r="BE18" s="865"/>
      <c r="BF18" s="865"/>
      <c r="BG18" s="865"/>
      <c r="BH18" s="865"/>
      <c r="BI18" s="865"/>
      <c r="BJ18" s="865"/>
      <c r="BK18" s="865"/>
      <c r="BL18" s="865"/>
      <c r="BM18" s="865"/>
      <c r="BN18" s="865"/>
      <c r="BO18" s="865"/>
      <c r="BP18" s="865"/>
      <c r="BQ18" s="865"/>
      <c r="BR18" s="865"/>
      <c r="BS18" s="865"/>
      <c r="BT18" s="865"/>
      <c r="BU18" s="865"/>
      <c r="BV18" s="865"/>
      <c r="BW18" s="865"/>
      <c r="BX18" s="865"/>
      <c r="BY18" s="865"/>
      <c r="BZ18" s="865"/>
      <c r="CA18" s="865"/>
      <c r="CB18" s="865"/>
      <c r="CC18" s="865"/>
      <c r="CD18" s="865"/>
      <c r="CE18" s="865"/>
      <c r="CF18" s="865"/>
      <c r="CG18" s="865"/>
      <c r="CH18" s="865"/>
      <c r="CI18" s="865"/>
      <c r="CJ18" s="865"/>
      <c r="CK18" s="865"/>
      <c r="CL18" s="865"/>
      <c r="CM18" s="865"/>
      <c r="CN18" s="865"/>
      <c r="CO18" s="865"/>
      <c r="CP18" s="865"/>
      <c r="CQ18" s="865"/>
      <c r="CR18" s="865"/>
      <c r="CS18" s="865"/>
      <c r="CT18" s="865"/>
      <c r="CU18" s="865"/>
      <c r="CV18" s="865"/>
      <c r="CW18" s="865"/>
      <c r="CX18" s="865"/>
      <c r="CY18" s="865"/>
      <c r="CZ18" s="865"/>
      <c r="DA18" s="865"/>
      <c r="DB18" s="865"/>
      <c r="DC18" s="865"/>
      <c r="DD18" s="865"/>
      <c r="DE18" s="865"/>
      <c r="DF18" s="865"/>
      <c r="DG18" s="865"/>
      <c r="DH18" s="865"/>
      <c r="DI18" s="865"/>
      <c r="DJ18" s="865"/>
      <c r="DK18" s="865"/>
      <c r="DL18" s="865"/>
      <c r="DM18" s="865"/>
      <c r="DN18" s="865"/>
      <c r="DO18" s="865"/>
      <c r="DP18" s="865"/>
      <c r="DQ18" s="865"/>
      <c r="DR18" s="865"/>
      <c r="DS18" s="865"/>
      <c r="DT18" s="865"/>
      <c r="DU18" s="865"/>
      <c r="DV18" s="865"/>
      <c r="DW18" s="865"/>
      <c r="DX18" s="865"/>
      <c r="DY18" s="865"/>
      <c r="DZ18" s="865"/>
      <c r="EA18" s="865"/>
      <c r="EB18" s="865"/>
      <c r="EC18" s="865"/>
      <c r="ED18" s="865"/>
      <c r="EE18" s="865"/>
      <c r="EF18" s="865"/>
      <c r="EG18" s="865"/>
      <c r="EH18" s="865"/>
      <c r="EI18" s="865"/>
      <c r="EJ18" s="865"/>
      <c r="EK18" s="865"/>
      <c r="EL18" s="865"/>
      <c r="EM18" s="865"/>
      <c r="EN18" s="865"/>
      <c r="EO18" s="865"/>
      <c r="EP18" s="865"/>
      <c r="EQ18" s="865"/>
      <c r="ER18" s="865"/>
      <c r="ES18" s="865"/>
      <c r="ET18" s="865"/>
      <c r="EU18" s="865"/>
      <c r="EV18" s="865"/>
      <c r="EW18" s="865"/>
      <c r="EX18" s="865"/>
      <c r="EY18" s="865"/>
      <c r="EZ18" s="865"/>
      <c r="FA18" s="865"/>
      <c r="FB18" s="865"/>
      <c r="FC18" s="865"/>
      <c r="FD18" s="865"/>
      <c r="FE18" s="865"/>
      <c r="FF18" s="865"/>
      <c r="FG18" s="865"/>
      <c r="FH18" s="865"/>
      <c r="FI18" s="865"/>
      <c r="FJ18" s="865"/>
      <c r="FK18" s="865"/>
      <c r="FL18" s="865"/>
      <c r="FM18" s="865"/>
      <c r="FN18" s="865"/>
      <c r="FO18" s="865"/>
      <c r="FP18" s="865"/>
      <c r="FQ18" s="865"/>
      <c r="FR18" s="865"/>
      <c r="FS18" s="865"/>
      <c r="FT18" s="865"/>
      <c r="FU18" s="865"/>
      <c r="FV18" s="865"/>
      <c r="FW18" s="865"/>
      <c r="FX18" s="865"/>
      <c r="FY18" s="865"/>
      <c r="FZ18" s="865"/>
      <c r="GA18" s="865"/>
      <c r="GB18" s="865"/>
      <c r="GC18" s="865"/>
      <c r="GD18" s="865"/>
      <c r="GE18" s="865"/>
      <c r="GF18" s="865"/>
      <c r="GG18" s="865"/>
      <c r="GH18" s="865"/>
      <c r="GI18" s="865"/>
      <c r="GJ18" s="865"/>
      <c r="GK18" s="865"/>
      <c r="GL18" s="865"/>
      <c r="GM18" s="865"/>
      <c r="GN18" s="865"/>
      <c r="GO18" s="865"/>
      <c r="GP18" s="865"/>
      <c r="GQ18" s="865"/>
      <c r="GR18" s="865"/>
      <c r="GS18" s="865"/>
      <c r="GT18" s="865"/>
      <c r="GU18" s="865"/>
      <c r="GV18" s="865"/>
      <c r="GW18" s="865"/>
      <c r="GX18" s="865"/>
      <c r="GY18" s="865"/>
      <c r="GZ18" s="865"/>
      <c r="HA18" s="865"/>
      <c r="HB18" s="865"/>
      <c r="HC18" s="865"/>
      <c r="HD18" s="865"/>
      <c r="HE18" s="865"/>
      <c r="HF18" s="865"/>
      <c r="HG18" s="865"/>
      <c r="HH18" s="865"/>
      <c r="HI18" s="865"/>
      <c r="HJ18" s="865"/>
      <c r="HK18" s="865"/>
      <c r="HL18" s="865"/>
      <c r="HM18" s="865"/>
      <c r="HN18" s="865"/>
      <c r="HO18" s="865"/>
      <c r="HP18" s="865"/>
      <c r="HQ18" s="865"/>
      <c r="HR18" s="865"/>
      <c r="HS18" s="865"/>
      <c r="HT18" s="865"/>
      <c r="HU18" s="865"/>
      <c r="HV18" s="865"/>
      <c r="HW18" s="865"/>
      <c r="HX18" s="865"/>
      <c r="HY18" s="865"/>
      <c r="HZ18" s="865"/>
      <c r="IA18" s="865"/>
      <c r="IB18" s="865"/>
      <c r="IC18" s="865"/>
      <c r="ID18" s="865"/>
      <c r="IE18" s="865"/>
      <c r="IF18" s="865"/>
      <c r="IG18" s="865"/>
      <c r="IH18" s="865"/>
      <c r="II18" s="865"/>
      <c r="IJ18" s="865"/>
      <c r="IK18" s="865"/>
      <c r="IL18" s="865"/>
      <c r="IM18" s="865"/>
      <c r="IN18" s="865"/>
      <c r="IO18" s="865"/>
      <c r="IP18" s="865"/>
      <c r="IQ18" s="865"/>
      <c r="IR18" s="865"/>
      <c r="IS18" s="865"/>
      <c r="IT18" s="865"/>
      <c r="IU18" s="865"/>
      <c r="IV18" s="865"/>
      <c r="IW18" s="865"/>
      <c r="IX18" s="865"/>
      <c r="IY18" s="865"/>
      <c r="IZ18" s="865"/>
      <c r="JA18" s="865"/>
      <c r="JB18" s="865"/>
      <c r="JC18" s="865"/>
      <c r="JD18" s="865"/>
      <c r="JE18" s="865"/>
      <c r="JF18" s="865"/>
      <c r="JG18" s="865"/>
      <c r="JH18" s="865"/>
      <c r="JI18" s="865"/>
      <c r="JJ18" s="865"/>
      <c r="JK18" s="865"/>
      <c r="JL18" s="865"/>
      <c r="JM18" s="865"/>
      <c r="JN18" s="865"/>
      <c r="JO18" s="865"/>
      <c r="JP18" s="865"/>
      <c r="JQ18" s="865"/>
      <c r="JR18" s="865"/>
      <c r="JS18" s="865"/>
      <c r="JT18" s="865"/>
      <c r="JU18" s="865"/>
      <c r="JV18" s="865"/>
      <c r="JW18" s="865"/>
      <c r="JX18" s="865"/>
      <c r="JY18" s="865"/>
      <c r="JZ18" s="865"/>
      <c r="KA18" s="865"/>
      <c r="KB18" s="865"/>
      <c r="KC18" s="865"/>
      <c r="KD18" s="865"/>
      <c r="KE18" s="865"/>
      <c r="KF18" s="865"/>
      <c r="KG18" s="865"/>
      <c r="KH18" s="865"/>
      <c r="KI18" s="865"/>
      <c r="KJ18" s="865"/>
      <c r="KK18" s="865"/>
      <c r="KL18" s="865"/>
      <c r="KM18" s="865"/>
      <c r="KN18" s="865"/>
      <c r="KO18" s="865"/>
      <c r="KP18" s="865"/>
      <c r="KQ18" s="865"/>
      <c r="KR18" s="865"/>
      <c r="KS18" s="865"/>
      <c r="KT18" s="865"/>
      <c r="KU18" s="865"/>
      <c r="KV18" s="865"/>
      <c r="KW18" s="865"/>
      <c r="KX18" s="865"/>
      <c r="KY18" s="865"/>
      <c r="KZ18" s="865"/>
      <c r="LA18" s="865"/>
      <c r="LB18" s="865"/>
      <c r="LC18" s="865"/>
      <c r="LD18" s="865"/>
      <c r="LE18" s="865"/>
      <c r="LF18" s="865"/>
      <c r="LG18" s="865"/>
      <c r="LH18" s="865"/>
      <c r="LI18" s="865"/>
      <c r="LJ18" s="865"/>
      <c r="LK18" s="865"/>
      <c r="LL18" s="865"/>
      <c r="LM18" s="865"/>
      <c r="LN18" s="865"/>
      <c r="LO18" s="865"/>
      <c r="LP18" s="865"/>
      <c r="LQ18" s="865"/>
      <c r="LR18" s="865"/>
      <c r="LS18" s="865"/>
      <c r="LT18" s="865"/>
      <c r="LU18" s="865"/>
      <c r="LV18" s="865"/>
      <c r="LW18" s="865"/>
      <c r="LX18" s="865"/>
      <c r="LY18" s="865"/>
      <c r="LZ18" s="865"/>
      <c r="MA18" s="865"/>
      <c r="MB18" s="865"/>
      <c r="MC18" s="865"/>
      <c r="MD18" s="865"/>
      <c r="ME18" s="865"/>
      <c r="MF18" s="865"/>
      <c r="MG18" s="865"/>
      <c r="MH18" s="865"/>
      <c r="MI18" s="865"/>
      <c r="MJ18" s="865"/>
      <c r="MK18" s="865"/>
      <c r="ML18" s="865"/>
      <c r="MM18" s="865"/>
      <c r="MN18" s="865"/>
      <c r="MO18" s="865"/>
      <c r="MP18" s="865"/>
      <c r="MQ18" s="865"/>
      <c r="MR18" s="865"/>
      <c r="MS18" s="865"/>
      <c r="MT18" s="865"/>
      <c r="MU18" s="865"/>
      <c r="MV18" s="865"/>
      <c r="MW18" s="865"/>
      <c r="MX18" s="865"/>
      <c r="MY18" s="865"/>
      <c r="MZ18" s="865"/>
      <c r="NA18" s="865"/>
      <c r="NB18" s="865"/>
      <c r="NC18" s="865"/>
      <c r="ND18" s="865"/>
      <c r="NE18" s="865"/>
      <c r="NF18" s="865"/>
      <c r="NG18" s="865"/>
      <c r="NH18" s="865"/>
      <c r="NI18" s="865"/>
      <c r="NJ18" s="865"/>
      <c r="NK18" s="865"/>
      <c r="NL18" s="865"/>
      <c r="NM18" s="865"/>
      <c r="NN18" s="865"/>
      <c r="NO18" s="865"/>
      <c r="NP18" s="865"/>
      <c r="NQ18" s="865"/>
      <c r="NR18" s="865"/>
      <c r="NS18" s="865"/>
      <c r="NT18" s="865"/>
      <c r="NU18" s="865"/>
      <c r="NV18" s="865"/>
      <c r="NW18" s="865"/>
      <c r="NX18" s="865"/>
      <c r="NY18" s="865"/>
      <c r="NZ18" s="865"/>
      <c r="OA18" s="865"/>
      <c r="OB18" s="865"/>
      <c r="OC18" s="865"/>
      <c r="OD18" s="865"/>
      <c r="OE18" s="865"/>
      <c r="OF18" s="865"/>
      <c r="OG18" s="865"/>
      <c r="OH18" s="865"/>
      <c r="OI18" s="865"/>
      <c r="OJ18" s="865"/>
      <c r="OK18" s="865"/>
      <c r="OL18" s="865"/>
      <c r="OM18" s="865"/>
      <c r="ON18" s="865"/>
      <c r="OO18" s="865"/>
      <c r="OP18" s="865"/>
      <c r="OQ18" s="865"/>
      <c r="OR18" s="865"/>
      <c r="OS18" s="865"/>
      <c r="OT18" s="865"/>
      <c r="OU18" s="865"/>
      <c r="OV18" s="865"/>
      <c r="OW18" s="865"/>
      <c r="OX18" s="865"/>
      <c r="OY18" s="865"/>
      <c r="OZ18" s="865"/>
      <c r="PA18" s="865"/>
      <c r="PB18" s="865"/>
      <c r="PC18" s="865"/>
      <c r="PD18" s="865"/>
      <c r="PE18" s="865"/>
      <c r="PF18" s="865"/>
      <c r="PG18" s="865"/>
      <c r="PH18" s="865"/>
      <c r="PI18" s="865"/>
      <c r="PJ18" s="865"/>
      <c r="PK18" s="865"/>
      <c r="PL18" s="865"/>
      <c r="PM18" s="865"/>
      <c r="PN18" s="865"/>
      <c r="PO18" s="865"/>
    </row>
    <row r="19" spans="1:431" s="165" customFormat="1">
      <c r="A19" s="865"/>
      <c r="B19" s="865"/>
      <c r="C19" s="850"/>
      <c r="D19" s="850"/>
      <c r="E19" s="850"/>
      <c r="F19" s="850"/>
      <c r="G19" s="850"/>
      <c r="H19" s="850"/>
      <c r="I19" s="850"/>
      <c r="J19" s="850"/>
      <c r="K19" s="850"/>
      <c r="L19" s="850"/>
      <c r="M19" s="865"/>
      <c r="N19" s="865"/>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65"/>
      <c r="AN19" s="865"/>
      <c r="AO19" s="865"/>
      <c r="AP19" s="865"/>
      <c r="AQ19" s="865"/>
      <c r="AR19" s="865"/>
      <c r="AS19" s="865"/>
      <c r="AT19" s="865"/>
      <c r="AU19" s="865"/>
      <c r="AV19" s="865"/>
      <c r="AW19" s="865"/>
      <c r="AX19" s="865"/>
      <c r="AY19" s="865"/>
      <c r="AZ19" s="865"/>
      <c r="BA19" s="865"/>
      <c r="BB19" s="865"/>
      <c r="BC19" s="865"/>
      <c r="BD19" s="865"/>
      <c r="BE19" s="865"/>
      <c r="BF19" s="865"/>
      <c r="BG19" s="865"/>
      <c r="BH19" s="865"/>
      <c r="BI19" s="865"/>
      <c r="BJ19" s="865"/>
      <c r="BK19" s="865"/>
      <c r="BL19" s="865"/>
      <c r="BM19" s="865"/>
      <c r="BN19" s="865"/>
      <c r="BO19" s="865"/>
      <c r="BP19" s="865"/>
      <c r="BQ19" s="865"/>
      <c r="BR19" s="865"/>
      <c r="BS19" s="865"/>
      <c r="BT19" s="865"/>
      <c r="BU19" s="865"/>
      <c r="BV19" s="865"/>
      <c r="BW19" s="865"/>
      <c r="BX19" s="865"/>
      <c r="BY19" s="865"/>
      <c r="BZ19" s="865"/>
      <c r="CA19" s="865"/>
      <c r="CB19" s="865"/>
      <c r="CC19" s="865"/>
      <c r="CD19" s="865"/>
      <c r="CE19" s="865"/>
      <c r="CF19" s="865"/>
      <c r="CG19" s="865"/>
      <c r="CH19" s="865"/>
      <c r="CI19" s="865"/>
      <c r="CJ19" s="865"/>
      <c r="CK19" s="865"/>
      <c r="CL19" s="865"/>
      <c r="CM19" s="865"/>
      <c r="CN19" s="865"/>
      <c r="CO19" s="865"/>
      <c r="CP19" s="865"/>
      <c r="CQ19" s="865"/>
      <c r="CR19" s="865"/>
      <c r="CS19" s="865"/>
      <c r="CT19" s="865"/>
      <c r="CU19" s="865"/>
      <c r="CV19" s="865"/>
      <c r="CW19" s="865"/>
      <c r="CX19" s="865"/>
      <c r="CY19" s="865"/>
      <c r="CZ19" s="865"/>
      <c r="DA19" s="865"/>
      <c r="DB19" s="865"/>
      <c r="DC19" s="865"/>
      <c r="DD19" s="865"/>
      <c r="DE19" s="865"/>
      <c r="DF19" s="865"/>
      <c r="DG19" s="865"/>
      <c r="DH19" s="865"/>
      <c r="DI19" s="865"/>
      <c r="DJ19" s="865"/>
      <c r="DK19" s="865"/>
      <c r="DL19" s="865"/>
      <c r="DM19" s="865"/>
      <c r="DN19" s="865"/>
      <c r="DO19" s="865"/>
      <c r="DP19" s="865"/>
      <c r="DQ19" s="865"/>
      <c r="DR19" s="865"/>
      <c r="DS19" s="865"/>
      <c r="DT19" s="865"/>
      <c r="DU19" s="865"/>
      <c r="DV19" s="865"/>
      <c r="DW19" s="865"/>
      <c r="DX19" s="865"/>
      <c r="DY19" s="865"/>
      <c r="DZ19" s="865"/>
      <c r="EA19" s="865"/>
      <c r="EB19" s="865"/>
      <c r="EC19" s="865"/>
      <c r="ED19" s="865"/>
      <c r="EE19" s="865"/>
      <c r="EF19" s="865"/>
      <c r="EG19" s="865"/>
      <c r="EH19" s="865"/>
      <c r="EI19" s="865"/>
      <c r="EJ19" s="865"/>
      <c r="EK19" s="865"/>
      <c r="EL19" s="865"/>
      <c r="EM19" s="865"/>
      <c r="EN19" s="865"/>
      <c r="EO19" s="865"/>
      <c r="EP19" s="865"/>
      <c r="EQ19" s="865"/>
      <c r="ER19" s="865"/>
      <c r="ES19" s="865"/>
      <c r="ET19" s="865"/>
      <c r="EU19" s="865"/>
      <c r="EV19" s="865"/>
      <c r="EW19" s="865"/>
      <c r="EX19" s="865"/>
      <c r="EY19" s="865"/>
      <c r="EZ19" s="865"/>
      <c r="FA19" s="865"/>
      <c r="FB19" s="865"/>
      <c r="FC19" s="865"/>
      <c r="FD19" s="865"/>
      <c r="FE19" s="865"/>
      <c r="FF19" s="865"/>
      <c r="FG19" s="865"/>
      <c r="FH19" s="865"/>
      <c r="FI19" s="865"/>
      <c r="FJ19" s="865"/>
      <c r="FK19" s="865"/>
      <c r="FL19" s="865"/>
      <c r="FM19" s="865"/>
      <c r="FN19" s="865"/>
      <c r="FO19" s="865"/>
      <c r="FP19" s="865"/>
      <c r="FQ19" s="865"/>
      <c r="FR19" s="865"/>
      <c r="FS19" s="865"/>
      <c r="FT19" s="865"/>
      <c r="FU19" s="865"/>
      <c r="FV19" s="865"/>
      <c r="FW19" s="865"/>
      <c r="FX19" s="865"/>
      <c r="FY19" s="865"/>
      <c r="FZ19" s="865"/>
      <c r="GA19" s="865"/>
      <c r="GB19" s="865"/>
      <c r="GC19" s="865"/>
      <c r="GD19" s="865"/>
      <c r="GE19" s="865"/>
      <c r="GF19" s="865"/>
      <c r="GG19" s="865"/>
      <c r="GH19" s="865"/>
      <c r="GI19" s="865"/>
      <c r="GJ19" s="865"/>
      <c r="GK19" s="865"/>
      <c r="GL19" s="865"/>
      <c r="GM19" s="865"/>
      <c r="GN19" s="865"/>
      <c r="GO19" s="865"/>
      <c r="GP19" s="865"/>
      <c r="GQ19" s="865"/>
      <c r="GR19" s="865"/>
      <c r="GS19" s="865"/>
      <c r="GT19" s="865"/>
      <c r="GU19" s="865"/>
      <c r="GV19" s="865"/>
      <c r="GW19" s="865"/>
      <c r="GX19" s="865"/>
      <c r="GY19" s="865"/>
      <c r="GZ19" s="865"/>
      <c r="HA19" s="865"/>
      <c r="HB19" s="865"/>
      <c r="HC19" s="865"/>
      <c r="HD19" s="865"/>
      <c r="HE19" s="865"/>
      <c r="HF19" s="865"/>
      <c r="HG19" s="865"/>
      <c r="HH19" s="865"/>
      <c r="HI19" s="865"/>
      <c r="HJ19" s="865"/>
      <c r="HK19" s="865"/>
      <c r="HL19" s="865"/>
      <c r="HM19" s="865"/>
      <c r="HN19" s="865"/>
      <c r="HO19" s="865"/>
      <c r="HP19" s="865"/>
      <c r="HQ19" s="865"/>
      <c r="HR19" s="865"/>
      <c r="HS19" s="865"/>
      <c r="HT19" s="865"/>
      <c r="HU19" s="865"/>
      <c r="HV19" s="865"/>
      <c r="HW19" s="865"/>
      <c r="HX19" s="865"/>
      <c r="HY19" s="865"/>
      <c r="HZ19" s="865"/>
      <c r="IA19" s="865"/>
      <c r="IB19" s="865"/>
      <c r="IC19" s="865"/>
      <c r="ID19" s="865"/>
      <c r="IE19" s="865"/>
      <c r="IF19" s="865"/>
      <c r="IG19" s="865"/>
      <c r="IH19" s="865"/>
      <c r="II19" s="865"/>
      <c r="IJ19" s="865"/>
      <c r="IK19" s="865"/>
      <c r="IL19" s="865"/>
      <c r="IM19" s="865"/>
      <c r="IN19" s="865"/>
      <c r="IO19" s="865"/>
      <c r="IP19" s="865"/>
      <c r="IQ19" s="865"/>
      <c r="IR19" s="865"/>
      <c r="IS19" s="865"/>
      <c r="IT19" s="865"/>
      <c r="IU19" s="865"/>
      <c r="IV19" s="865"/>
      <c r="IW19" s="865"/>
      <c r="IX19" s="865"/>
      <c r="IY19" s="865"/>
      <c r="IZ19" s="865"/>
      <c r="JA19" s="865"/>
      <c r="JB19" s="865"/>
      <c r="JC19" s="865"/>
      <c r="JD19" s="865"/>
      <c r="JE19" s="865"/>
      <c r="JF19" s="865"/>
      <c r="JG19" s="865"/>
      <c r="JH19" s="865"/>
      <c r="JI19" s="865"/>
      <c r="JJ19" s="865"/>
      <c r="JK19" s="865"/>
      <c r="JL19" s="865"/>
      <c r="JM19" s="865"/>
      <c r="JN19" s="865"/>
      <c r="JO19" s="865"/>
      <c r="JP19" s="865"/>
      <c r="JQ19" s="865"/>
      <c r="JR19" s="865"/>
      <c r="JS19" s="865"/>
      <c r="JT19" s="865"/>
      <c r="JU19" s="865"/>
      <c r="JV19" s="865"/>
      <c r="JW19" s="865"/>
      <c r="JX19" s="865"/>
      <c r="JY19" s="865"/>
      <c r="JZ19" s="865"/>
      <c r="KA19" s="865"/>
      <c r="KB19" s="865"/>
      <c r="KC19" s="865"/>
      <c r="KD19" s="865"/>
      <c r="KE19" s="865"/>
      <c r="KF19" s="865"/>
      <c r="KG19" s="865"/>
      <c r="KH19" s="865"/>
      <c r="KI19" s="865"/>
      <c r="KJ19" s="865"/>
      <c r="KK19" s="865"/>
      <c r="KL19" s="865"/>
      <c r="KM19" s="865"/>
      <c r="KN19" s="865"/>
      <c r="KO19" s="865"/>
      <c r="KP19" s="865"/>
      <c r="KQ19" s="865"/>
      <c r="KR19" s="865"/>
      <c r="KS19" s="865"/>
      <c r="KT19" s="865"/>
      <c r="KU19" s="865"/>
      <c r="KV19" s="865"/>
      <c r="KW19" s="865"/>
      <c r="KX19" s="865"/>
      <c r="KY19" s="865"/>
      <c r="KZ19" s="865"/>
      <c r="LA19" s="865"/>
      <c r="LB19" s="865"/>
      <c r="LC19" s="865"/>
      <c r="LD19" s="865"/>
      <c r="LE19" s="865"/>
      <c r="LF19" s="865"/>
      <c r="LG19" s="865"/>
      <c r="LH19" s="865"/>
      <c r="LI19" s="865"/>
      <c r="LJ19" s="865"/>
      <c r="LK19" s="865"/>
      <c r="LL19" s="865"/>
      <c r="LM19" s="865"/>
      <c r="LN19" s="865"/>
      <c r="LO19" s="865"/>
      <c r="LP19" s="865"/>
      <c r="LQ19" s="865"/>
      <c r="LR19" s="865"/>
      <c r="LS19" s="865"/>
      <c r="LT19" s="865"/>
      <c r="LU19" s="865"/>
      <c r="LV19" s="865"/>
      <c r="LW19" s="865"/>
      <c r="LX19" s="865"/>
      <c r="LY19" s="865"/>
      <c r="LZ19" s="865"/>
      <c r="MA19" s="865"/>
      <c r="MB19" s="865"/>
      <c r="MC19" s="865"/>
      <c r="MD19" s="865"/>
      <c r="ME19" s="865"/>
      <c r="MF19" s="865"/>
      <c r="MG19" s="865"/>
      <c r="MH19" s="865"/>
      <c r="MI19" s="865"/>
      <c r="MJ19" s="865"/>
      <c r="MK19" s="865"/>
      <c r="ML19" s="865"/>
      <c r="MM19" s="865"/>
      <c r="MN19" s="865"/>
      <c r="MO19" s="865"/>
      <c r="MP19" s="865"/>
      <c r="MQ19" s="865"/>
      <c r="MR19" s="865"/>
      <c r="MS19" s="865"/>
      <c r="MT19" s="865"/>
      <c r="MU19" s="865"/>
      <c r="MV19" s="865"/>
      <c r="MW19" s="865"/>
      <c r="MX19" s="865"/>
      <c r="MY19" s="865"/>
      <c r="MZ19" s="865"/>
      <c r="NA19" s="865"/>
      <c r="NB19" s="865"/>
      <c r="NC19" s="865"/>
      <c r="ND19" s="865"/>
      <c r="NE19" s="865"/>
      <c r="NF19" s="865"/>
      <c r="NG19" s="865"/>
      <c r="NH19" s="865"/>
      <c r="NI19" s="865"/>
      <c r="NJ19" s="865"/>
      <c r="NK19" s="865"/>
      <c r="NL19" s="865"/>
      <c r="NM19" s="865"/>
      <c r="NN19" s="865"/>
      <c r="NO19" s="865"/>
      <c r="NP19" s="865"/>
      <c r="NQ19" s="865"/>
      <c r="NR19" s="865"/>
      <c r="NS19" s="865"/>
      <c r="NT19" s="865"/>
      <c r="NU19" s="865"/>
      <c r="NV19" s="865"/>
      <c r="NW19" s="865"/>
      <c r="NX19" s="865"/>
      <c r="NY19" s="865"/>
      <c r="NZ19" s="865"/>
      <c r="OA19" s="865"/>
      <c r="OB19" s="865"/>
      <c r="OC19" s="865"/>
      <c r="OD19" s="865"/>
      <c r="OE19" s="865"/>
      <c r="OF19" s="865"/>
      <c r="OG19" s="865"/>
      <c r="OH19" s="865"/>
      <c r="OI19" s="865"/>
      <c r="OJ19" s="865"/>
      <c r="OK19" s="865"/>
      <c r="OL19" s="865"/>
      <c r="OM19" s="865"/>
      <c r="ON19" s="865"/>
      <c r="OO19" s="865"/>
      <c r="OP19" s="865"/>
      <c r="OQ19" s="865"/>
      <c r="OR19" s="865"/>
      <c r="OS19" s="865"/>
      <c r="OT19" s="865"/>
      <c r="OU19" s="865"/>
      <c r="OV19" s="865"/>
      <c r="OW19" s="865"/>
      <c r="OX19" s="865"/>
      <c r="OY19" s="865"/>
      <c r="OZ19" s="865"/>
      <c r="PA19" s="865"/>
      <c r="PB19" s="865"/>
      <c r="PC19" s="865"/>
      <c r="PD19" s="865"/>
      <c r="PE19" s="865"/>
      <c r="PF19" s="865"/>
      <c r="PG19" s="865"/>
      <c r="PH19" s="865"/>
      <c r="PI19" s="865"/>
      <c r="PJ19" s="865"/>
      <c r="PK19" s="865"/>
      <c r="PL19" s="865"/>
      <c r="PM19" s="865"/>
      <c r="PN19" s="865"/>
      <c r="PO19" s="865"/>
    </row>
    <row r="20" spans="1:431" s="165" customFormat="1">
      <c r="A20" s="865"/>
      <c r="B20" s="865"/>
      <c r="C20" s="850"/>
      <c r="D20" s="850"/>
      <c r="E20" s="850"/>
      <c r="F20" s="850"/>
      <c r="G20" s="850"/>
      <c r="H20" s="850"/>
      <c r="I20" s="850"/>
      <c r="J20" s="850"/>
      <c r="K20" s="850"/>
      <c r="L20" s="850"/>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5"/>
      <c r="BD20" s="865"/>
      <c r="BE20" s="865"/>
      <c r="BF20" s="865"/>
      <c r="BG20" s="865"/>
      <c r="BH20" s="865"/>
      <c r="BI20" s="865"/>
      <c r="BJ20" s="865"/>
      <c r="BK20" s="865"/>
      <c r="BL20" s="865"/>
      <c r="BM20" s="865"/>
      <c r="BN20" s="865"/>
      <c r="BO20" s="865"/>
      <c r="BP20" s="865"/>
      <c r="BQ20" s="865"/>
      <c r="BR20" s="865"/>
      <c r="BS20" s="865"/>
      <c r="BT20" s="865"/>
      <c r="BU20" s="865"/>
      <c r="BV20" s="865"/>
      <c r="BW20" s="865"/>
      <c r="BX20" s="865"/>
      <c r="BY20" s="865"/>
      <c r="BZ20" s="865"/>
      <c r="CA20" s="865"/>
      <c r="CB20" s="865"/>
      <c r="CC20" s="865"/>
      <c r="CD20" s="865"/>
      <c r="CE20" s="865"/>
      <c r="CF20" s="865"/>
      <c r="CG20" s="865"/>
      <c r="CH20" s="865"/>
      <c r="CI20" s="865"/>
      <c r="CJ20" s="865"/>
      <c r="CK20" s="865"/>
      <c r="CL20" s="865"/>
      <c r="CM20" s="865"/>
      <c r="CN20" s="865"/>
      <c r="CO20" s="865"/>
      <c r="CP20" s="865"/>
      <c r="CQ20" s="865"/>
      <c r="CR20" s="865"/>
      <c r="CS20" s="865"/>
      <c r="CT20" s="865"/>
      <c r="CU20" s="865"/>
      <c r="CV20" s="865"/>
      <c r="CW20" s="865"/>
      <c r="CX20" s="865"/>
      <c r="CY20" s="865"/>
      <c r="CZ20" s="865"/>
      <c r="DA20" s="865"/>
      <c r="DB20" s="865"/>
      <c r="DC20" s="865"/>
      <c r="DD20" s="865"/>
      <c r="DE20" s="865"/>
      <c r="DF20" s="865"/>
      <c r="DG20" s="865"/>
      <c r="DH20" s="865"/>
      <c r="DI20" s="865"/>
      <c r="DJ20" s="865"/>
      <c r="DK20" s="865"/>
      <c r="DL20" s="865"/>
      <c r="DM20" s="865"/>
      <c r="DN20" s="865"/>
      <c r="DO20" s="865"/>
      <c r="DP20" s="865"/>
      <c r="DQ20" s="865"/>
      <c r="DR20" s="865"/>
      <c r="DS20" s="865"/>
      <c r="DT20" s="865"/>
      <c r="DU20" s="865"/>
      <c r="DV20" s="865"/>
      <c r="DW20" s="865"/>
      <c r="DX20" s="865"/>
      <c r="DY20" s="865"/>
      <c r="DZ20" s="865"/>
      <c r="EA20" s="865"/>
      <c r="EB20" s="865"/>
      <c r="EC20" s="865"/>
      <c r="ED20" s="865"/>
      <c r="EE20" s="865"/>
      <c r="EF20" s="865"/>
      <c r="EG20" s="865"/>
      <c r="EH20" s="865"/>
      <c r="EI20" s="865"/>
      <c r="EJ20" s="865"/>
      <c r="EK20" s="865"/>
      <c r="EL20" s="865"/>
      <c r="EM20" s="865"/>
      <c r="EN20" s="865"/>
      <c r="EO20" s="865"/>
      <c r="EP20" s="865"/>
      <c r="EQ20" s="865"/>
      <c r="ER20" s="865"/>
      <c r="ES20" s="865"/>
      <c r="ET20" s="865"/>
      <c r="EU20" s="865"/>
      <c r="EV20" s="865"/>
      <c r="EW20" s="865"/>
      <c r="EX20" s="865"/>
      <c r="EY20" s="865"/>
      <c r="EZ20" s="865"/>
      <c r="FA20" s="865"/>
      <c r="FB20" s="865"/>
      <c r="FC20" s="865"/>
      <c r="FD20" s="865"/>
      <c r="FE20" s="865"/>
      <c r="FF20" s="865"/>
      <c r="FG20" s="865"/>
      <c r="FH20" s="865"/>
      <c r="FI20" s="865"/>
      <c r="FJ20" s="865"/>
      <c r="FK20" s="865"/>
      <c r="FL20" s="865"/>
      <c r="FM20" s="865"/>
      <c r="FN20" s="865"/>
      <c r="FO20" s="865"/>
      <c r="FP20" s="865"/>
      <c r="FQ20" s="865"/>
      <c r="FR20" s="865"/>
      <c r="FS20" s="865"/>
      <c r="FT20" s="865"/>
      <c r="FU20" s="865"/>
      <c r="FV20" s="865"/>
      <c r="FW20" s="865"/>
      <c r="FX20" s="865"/>
      <c r="FY20" s="865"/>
      <c r="FZ20" s="865"/>
      <c r="GA20" s="865"/>
      <c r="GB20" s="865"/>
      <c r="GC20" s="865"/>
      <c r="GD20" s="865"/>
      <c r="GE20" s="865"/>
      <c r="GF20" s="865"/>
      <c r="GG20" s="865"/>
      <c r="GH20" s="865"/>
      <c r="GI20" s="865"/>
      <c r="GJ20" s="865"/>
      <c r="GK20" s="865"/>
      <c r="GL20" s="865"/>
      <c r="GM20" s="865"/>
      <c r="GN20" s="865"/>
      <c r="GO20" s="865"/>
      <c r="GP20" s="865"/>
      <c r="GQ20" s="865"/>
      <c r="GR20" s="865"/>
      <c r="GS20" s="865"/>
      <c r="GT20" s="865"/>
      <c r="GU20" s="865"/>
      <c r="GV20" s="865"/>
      <c r="GW20" s="865"/>
      <c r="GX20" s="865"/>
      <c r="GY20" s="865"/>
      <c r="GZ20" s="865"/>
      <c r="HA20" s="865"/>
      <c r="HB20" s="865"/>
      <c r="HC20" s="865"/>
      <c r="HD20" s="865"/>
      <c r="HE20" s="865"/>
      <c r="HF20" s="865"/>
      <c r="HG20" s="865"/>
      <c r="HH20" s="865"/>
      <c r="HI20" s="865"/>
      <c r="HJ20" s="865"/>
      <c r="HK20" s="865"/>
      <c r="HL20" s="865"/>
      <c r="HM20" s="865"/>
      <c r="HN20" s="865"/>
      <c r="HO20" s="865"/>
      <c r="HP20" s="865"/>
      <c r="HQ20" s="865"/>
      <c r="HR20" s="865"/>
      <c r="HS20" s="865"/>
      <c r="HT20" s="865"/>
      <c r="HU20" s="865"/>
      <c r="HV20" s="865"/>
      <c r="HW20" s="865"/>
      <c r="HX20" s="865"/>
      <c r="HY20" s="865"/>
      <c r="HZ20" s="865"/>
      <c r="IA20" s="865"/>
      <c r="IB20" s="865"/>
      <c r="IC20" s="865"/>
      <c r="ID20" s="865"/>
      <c r="IE20" s="865"/>
      <c r="IF20" s="865"/>
      <c r="IG20" s="865"/>
      <c r="IH20" s="865"/>
      <c r="II20" s="865"/>
      <c r="IJ20" s="865"/>
      <c r="IK20" s="865"/>
      <c r="IL20" s="865"/>
      <c r="IM20" s="865"/>
      <c r="IN20" s="865"/>
      <c r="IO20" s="865"/>
      <c r="IP20" s="865"/>
      <c r="IQ20" s="865"/>
      <c r="IR20" s="865"/>
      <c r="IS20" s="865"/>
      <c r="IT20" s="865"/>
      <c r="IU20" s="865"/>
      <c r="IV20" s="865"/>
      <c r="IW20" s="865"/>
      <c r="IX20" s="865"/>
      <c r="IY20" s="865"/>
      <c r="IZ20" s="865"/>
      <c r="JA20" s="865"/>
      <c r="JB20" s="865"/>
      <c r="JC20" s="865"/>
      <c r="JD20" s="865"/>
      <c r="JE20" s="865"/>
      <c r="JF20" s="865"/>
      <c r="JG20" s="865"/>
      <c r="JH20" s="865"/>
      <c r="JI20" s="865"/>
      <c r="JJ20" s="865"/>
      <c r="JK20" s="865"/>
      <c r="JL20" s="865"/>
      <c r="JM20" s="865"/>
      <c r="JN20" s="865"/>
      <c r="JO20" s="865"/>
      <c r="JP20" s="865"/>
      <c r="JQ20" s="865"/>
      <c r="JR20" s="865"/>
      <c r="JS20" s="865"/>
      <c r="JT20" s="865"/>
      <c r="JU20" s="865"/>
      <c r="JV20" s="865"/>
      <c r="JW20" s="865"/>
      <c r="JX20" s="865"/>
      <c r="JY20" s="865"/>
      <c r="JZ20" s="865"/>
      <c r="KA20" s="865"/>
      <c r="KB20" s="865"/>
      <c r="KC20" s="865"/>
      <c r="KD20" s="865"/>
      <c r="KE20" s="865"/>
      <c r="KF20" s="865"/>
      <c r="KG20" s="865"/>
      <c r="KH20" s="865"/>
      <c r="KI20" s="865"/>
      <c r="KJ20" s="865"/>
      <c r="KK20" s="865"/>
      <c r="KL20" s="865"/>
      <c r="KM20" s="865"/>
      <c r="KN20" s="865"/>
      <c r="KO20" s="865"/>
      <c r="KP20" s="865"/>
      <c r="KQ20" s="865"/>
      <c r="KR20" s="865"/>
      <c r="KS20" s="865"/>
      <c r="KT20" s="865"/>
      <c r="KU20" s="865"/>
      <c r="KV20" s="865"/>
      <c r="KW20" s="865"/>
      <c r="KX20" s="865"/>
      <c r="KY20" s="865"/>
      <c r="KZ20" s="865"/>
      <c r="LA20" s="865"/>
      <c r="LB20" s="865"/>
      <c r="LC20" s="865"/>
      <c r="LD20" s="865"/>
      <c r="LE20" s="865"/>
      <c r="LF20" s="865"/>
      <c r="LG20" s="865"/>
      <c r="LH20" s="865"/>
      <c r="LI20" s="865"/>
      <c r="LJ20" s="865"/>
      <c r="LK20" s="865"/>
      <c r="LL20" s="865"/>
      <c r="LM20" s="865"/>
      <c r="LN20" s="865"/>
      <c r="LO20" s="865"/>
      <c r="LP20" s="865"/>
      <c r="LQ20" s="865"/>
      <c r="LR20" s="865"/>
      <c r="LS20" s="865"/>
      <c r="LT20" s="865"/>
      <c r="LU20" s="865"/>
      <c r="LV20" s="865"/>
      <c r="LW20" s="865"/>
      <c r="LX20" s="865"/>
      <c r="LY20" s="865"/>
      <c r="LZ20" s="865"/>
      <c r="MA20" s="865"/>
      <c r="MB20" s="865"/>
      <c r="MC20" s="865"/>
      <c r="MD20" s="865"/>
      <c r="ME20" s="865"/>
      <c r="MF20" s="865"/>
      <c r="MG20" s="865"/>
      <c r="MH20" s="865"/>
      <c r="MI20" s="865"/>
      <c r="MJ20" s="865"/>
      <c r="MK20" s="865"/>
      <c r="ML20" s="865"/>
      <c r="MM20" s="865"/>
      <c r="MN20" s="865"/>
      <c r="MO20" s="865"/>
      <c r="MP20" s="865"/>
      <c r="MQ20" s="865"/>
      <c r="MR20" s="865"/>
      <c r="MS20" s="865"/>
      <c r="MT20" s="865"/>
      <c r="MU20" s="865"/>
      <c r="MV20" s="865"/>
      <c r="MW20" s="865"/>
      <c r="MX20" s="865"/>
      <c r="MY20" s="865"/>
      <c r="MZ20" s="865"/>
      <c r="NA20" s="865"/>
      <c r="NB20" s="865"/>
      <c r="NC20" s="865"/>
      <c r="ND20" s="865"/>
      <c r="NE20" s="865"/>
      <c r="NF20" s="865"/>
      <c r="NG20" s="865"/>
      <c r="NH20" s="865"/>
      <c r="NI20" s="865"/>
      <c r="NJ20" s="865"/>
      <c r="NK20" s="865"/>
      <c r="NL20" s="865"/>
      <c r="NM20" s="865"/>
      <c r="NN20" s="865"/>
      <c r="NO20" s="865"/>
      <c r="NP20" s="865"/>
      <c r="NQ20" s="865"/>
      <c r="NR20" s="865"/>
      <c r="NS20" s="865"/>
      <c r="NT20" s="865"/>
      <c r="NU20" s="865"/>
      <c r="NV20" s="865"/>
      <c r="NW20" s="865"/>
      <c r="NX20" s="865"/>
      <c r="NY20" s="865"/>
      <c r="NZ20" s="865"/>
      <c r="OA20" s="865"/>
      <c r="OB20" s="865"/>
      <c r="OC20" s="865"/>
      <c r="OD20" s="865"/>
      <c r="OE20" s="865"/>
      <c r="OF20" s="865"/>
      <c r="OG20" s="865"/>
      <c r="OH20" s="865"/>
      <c r="OI20" s="865"/>
      <c r="OJ20" s="865"/>
      <c r="OK20" s="865"/>
      <c r="OL20" s="865"/>
      <c r="OM20" s="865"/>
      <c r="ON20" s="865"/>
      <c r="OO20" s="865"/>
      <c r="OP20" s="865"/>
      <c r="OQ20" s="865"/>
      <c r="OR20" s="865"/>
      <c r="OS20" s="865"/>
      <c r="OT20" s="865"/>
      <c r="OU20" s="865"/>
      <c r="OV20" s="865"/>
      <c r="OW20" s="865"/>
      <c r="OX20" s="865"/>
      <c r="OY20" s="865"/>
      <c r="OZ20" s="865"/>
      <c r="PA20" s="865"/>
      <c r="PB20" s="865"/>
      <c r="PC20" s="865"/>
      <c r="PD20" s="865"/>
      <c r="PE20" s="865"/>
      <c r="PF20" s="865"/>
      <c r="PG20" s="865"/>
      <c r="PH20" s="865"/>
      <c r="PI20" s="865"/>
      <c r="PJ20" s="865"/>
      <c r="PK20" s="865"/>
      <c r="PL20" s="865"/>
      <c r="PM20" s="865"/>
      <c r="PN20" s="865"/>
      <c r="PO20" s="865"/>
    </row>
    <row r="21" spans="1:431" s="165" customFormat="1">
      <c r="A21" s="865"/>
      <c r="B21" s="865"/>
      <c r="C21" s="850"/>
      <c r="D21" s="850"/>
      <c r="E21" s="850"/>
      <c r="F21" s="850"/>
      <c r="G21" s="850"/>
      <c r="H21" s="850"/>
      <c r="I21" s="850"/>
      <c r="J21" s="850"/>
      <c r="K21" s="850"/>
      <c r="L21" s="850"/>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c r="AV21" s="865"/>
      <c r="AW21" s="865"/>
      <c r="AX21" s="865"/>
      <c r="AY21" s="865"/>
      <c r="AZ21" s="865"/>
      <c r="BA21" s="865"/>
      <c r="BB21" s="865"/>
      <c r="BC21" s="865"/>
      <c r="BD21" s="865"/>
      <c r="BE21" s="865"/>
      <c r="BF21" s="865"/>
      <c r="BG21" s="865"/>
      <c r="BH21" s="865"/>
      <c r="BI21" s="865"/>
      <c r="BJ21" s="865"/>
      <c r="BK21" s="865"/>
      <c r="BL21" s="865"/>
      <c r="BM21" s="865"/>
      <c r="BN21" s="865"/>
      <c r="BO21" s="865"/>
      <c r="BP21" s="865"/>
      <c r="BQ21" s="865"/>
      <c r="BR21" s="865"/>
      <c r="BS21" s="865"/>
      <c r="BT21" s="865"/>
      <c r="BU21" s="865"/>
      <c r="BV21" s="865"/>
      <c r="BW21" s="865"/>
      <c r="BX21" s="865"/>
      <c r="BY21" s="865"/>
      <c r="BZ21" s="865"/>
      <c r="CA21" s="865"/>
      <c r="CB21" s="865"/>
      <c r="CC21" s="865"/>
      <c r="CD21" s="865"/>
      <c r="CE21" s="865"/>
      <c r="CF21" s="865"/>
      <c r="CG21" s="865"/>
      <c r="CH21" s="865"/>
      <c r="CI21" s="865"/>
      <c r="CJ21" s="865"/>
      <c r="CK21" s="865"/>
      <c r="CL21" s="865"/>
      <c r="CM21" s="865"/>
      <c r="CN21" s="865"/>
      <c r="CO21" s="865"/>
      <c r="CP21" s="865"/>
      <c r="CQ21" s="865"/>
      <c r="CR21" s="865"/>
      <c r="CS21" s="865"/>
      <c r="CT21" s="865"/>
      <c r="CU21" s="865"/>
      <c r="CV21" s="865"/>
      <c r="CW21" s="865"/>
      <c r="CX21" s="865"/>
      <c r="CY21" s="865"/>
      <c r="CZ21" s="865"/>
      <c r="DA21" s="865"/>
      <c r="DB21" s="865"/>
      <c r="DC21" s="865"/>
      <c r="DD21" s="865"/>
      <c r="DE21" s="865"/>
      <c r="DF21" s="865"/>
      <c r="DG21" s="865"/>
      <c r="DH21" s="865"/>
      <c r="DI21" s="865"/>
      <c r="DJ21" s="865"/>
      <c r="DK21" s="865"/>
      <c r="DL21" s="865"/>
      <c r="DM21" s="865"/>
      <c r="DN21" s="865"/>
      <c r="DO21" s="865"/>
      <c r="DP21" s="865"/>
      <c r="DQ21" s="865"/>
      <c r="DR21" s="865"/>
      <c r="DS21" s="865"/>
      <c r="DT21" s="865"/>
      <c r="DU21" s="865"/>
      <c r="DV21" s="865"/>
      <c r="DW21" s="865"/>
      <c r="DX21" s="865"/>
      <c r="DY21" s="865"/>
      <c r="DZ21" s="865"/>
      <c r="EA21" s="865"/>
      <c r="EB21" s="865"/>
      <c r="EC21" s="865"/>
      <c r="ED21" s="865"/>
      <c r="EE21" s="865"/>
      <c r="EF21" s="865"/>
      <c r="EG21" s="865"/>
      <c r="EH21" s="865"/>
      <c r="EI21" s="865"/>
      <c r="EJ21" s="865"/>
      <c r="EK21" s="865"/>
      <c r="EL21" s="865"/>
      <c r="EM21" s="865"/>
      <c r="EN21" s="865"/>
      <c r="EO21" s="865"/>
      <c r="EP21" s="865"/>
      <c r="EQ21" s="865"/>
      <c r="ER21" s="865"/>
      <c r="ES21" s="865"/>
      <c r="ET21" s="865"/>
      <c r="EU21" s="865"/>
      <c r="EV21" s="865"/>
      <c r="EW21" s="865"/>
      <c r="EX21" s="865"/>
      <c r="EY21" s="865"/>
      <c r="EZ21" s="865"/>
      <c r="FA21" s="865"/>
      <c r="FB21" s="865"/>
      <c r="FC21" s="865"/>
      <c r="FD21" s="865"/>
      <c r="FE21" s="865"/>
      <c r="FF21" s="865"/>
      <c r="FG21" s="865"/>
      <c r="FH21" s="865"/>
      <c r="FI21" s="865"/>
      <c r="FJ21" s="865"/>
      <c r="FK21" s="865"/>
      <c r="FL21" s="865"/>
      <c r="FM21" s="865"/>
      <c r="FN21" s="865"/>
      <c r="FO21" s="865"/>
      <c r="FP21" s="865"/>
      <c r="FQ21" s="865"/>
      <c r="FR21" s="865"/>
      <c r="FS21" s="865"/>
      <c r="FT21" s="865"/>
      <c r="FU21" s="865"/>
      <c r="FV21" s="865"/>
      <c r="FW21" s="865"/>
      <c r="FX21" s="865"/>
      <c r="FY21" s="865"/>
      <c r="FZ21" s="865"/>
      <c r="GA21" s="865"/>
      <c r="GB21" s="865"/>
      <c r="GC21" s="865"/>
      <c r="GD21" s="865"/>
      <c r="GE21" s="865"/>
      <c r="GF21" s="865"/>
      <c r="GG21" s="865"/>
      <c r="GH21" s="865"/>
      <c r="GI21" s="865"/>
      <c r="GJ21" s="865"/>
      <c r="GK21" s="865"/>
      <c r="GL21" s="865"/>
      <c r="GM21" s="865"/>
      <c r="GN21" s="865"/>
      <c r="GO21" s="865"/>
      <c r="GP21" s="865"/>
      <c r="GQ21" s="865"/>
      <c r="GR21" s="865"/>
      <c r="GS21" s="865"/>
      <c r="GT21" s="865"/>
      <c r="GU21" s="865"/>
      <c r="GV21" s="865"/>
      <c r="GW21" s="865"/>
      <c r="GX21" s="865"/>
      <c r="GY21" s="865"/>
      <c r="GZ21" s="865"/>
      <c r="HA21" s="865"/>
      <c r="HB21" s="865"/>
      <c r="HC21" s="865"/>
      <c r="HD21" s="865"/>
      <c r="HE21" s="865"/>
      <c r="HF21" s="865"/>
      <c r="HG21" s="865"/>
      <c r="HH21" s="865"/>
      <c r="HI21" s="865"/>
      <c r="HJ21" s="865"/>
      <c r="HK21" s="865"/>
      <c r="HL21" s="865"/>
      <c r="HM21" s="865"/>
      <c r="HN21" s="865"/>
      <c r="HO21" s="865"/>
      <c r="HP21" s="865"/>
      <c r="HQ21" s="865"/>
      <c r="HR21" s="865"/>
      <c r="HS21" s="865"/>
      <c r="HT21" s="865"/>
      <c r="HU21" s="865"/>
      <c r="HV21" s="865"/>
      <c r="HW21" s="865"/>
      <c r="HX21" s="865"/>
      <c r="HY21" s="865"/>
      <c r="HZ21" s="865"/>
      <c r="IA21" s="865"/>
      <c r="IB21" s="865"/>
      <c r="IC21" s="865"/>
      <c r="ID21" s="865"/>
      <c r="IE21" s="865"/>
      <c r="IF21" s="865"/>
      <c r="IG21" s="865"/>
      <c r="IH21" s="865"/>
      <c r="II21" s="865"/>
      <c r="IJ21" s="865"/>
      <c r="IK21" s="865"/>
      <c r="IL21" s="865"/>
      <c r="IM21" s="865"/>
      <c r="IN21" s="865"/>
      <c r="IO21" s="865"/>
      <c r="IP21" s="865"/>
      <c r="IQ21" s="865"/>
      <c r="IR21" s="865"/>
      <c r="IS21" s="865"/>
      <c r="IT21" s="865"/>
      <c r="IU21" s="865"/>
      <c r="IV21" s="865"/>
      <c r="IW21" s="865"/>
      <c r="IX21" s="865"/>
      <c r="IY21" s="865"/>
      <c r="IZ21" s="865"/>
      <c r="JA21" s="865"/>
      <c r="JB21" s="865"/>
      <c r="JC21" s="865"/>
      <c r="JD21" s="865"/>
      <c r="JE21" s="865"/>
      <c r="JF21" s="865"/>
      <c r="JG21" s="865"/>
      <c r="JH21" s="865"/>
      <c r="JI21" s="865"/>
      <c r="JJ21" s="865"/>
      <c r="JK21" s="865"/>
      <c r="JL21" s="865"/>
      <c r="JM21" s="865"/>
      <c r="JN21" s="865"/>
      <c r="JO21" s="865"/>
      <c r="JP21" s="865"/>
      <c r="JQ21" s="865"/>
      <c r="JR21" s="865"/>
      <c r="JS21" s="865"/>
      <c r="JT21" s="865"/>
      <c r="JU21" s="865"/>
      <c r="JV21" s="865"/>
      <c r="JW21" s="865"/>
      <c r="JX21" s="865"/>
      <c r="JY21" s="865"/>
      <c r="JZ21" s="865"/>
      <c r="KA21" s="865"/>
      <c r="KB21" s="865"/>
      <c r="KC21" s="865"/>
      <c r="KD21" s="865"/>
      <c r="KE21" s="865"/>
      <c r="KF21" s="865"/>
      <c r="KG21" s="865"/>
      <c r="KH21" s="865"/>
      <c r="KI21" s="865"/>
      <c r="KJ21" s="865"/>
      <c r="KK21" s="865"/>
      <c r="KL21" s="865"/>
      <c r="KM21" s="865"/>
      <c r="KN21" s="865"/>
      <c r="KO21" s="865"/>
      <c r="KP21" s="865"/>
      <c r="KQ21" s="865"/>
      <c r="KR21" s="865"/>
      <c r="KS21" s="865"/>
      <c r="KT21" s="865"/>
      <c r="KU21" s="865"/>
      <c r="KV21" s="865"/>
      <c r="KW21" s="865"/>
      <c r="KX21" s="865"/>
      <c r="KY21" s="865"/>
      <c r="KZ21" s="865"/>
      <c r="LA21" s="865"/>
      <c r="LB21" s="865"/>
      <c r="LC21" s="865"/>
      <c r="LD21" s="865"/>
      <c r="LE21" s="865"/>
      <c r="LF21" s="865"/>
      <c r="LG21" s="865"/>
      <c r="LH21" s="865"/>
      <c r="LI21" s="865"/>
      <c r="LJ21" s="865"/>
      <c r="LK21" s="865"/>
      <c r="LL21" s="865"/>
      <c r="LM21" s="865"/>
      <c r="LN21" s="865"/>
      <c r="LO21" s="865"/>
      <c r="LP21" s="865"/>
      <c r="LQ21" s="865"/>
      <c r="LR21" s="865"/>
      <c r="LS21" s="865"/>
      <c r="LT21" s="865"/>
      <c r="LU21" s="865"/>
      <c r="LV21" s="865"/>
      <c r="LW21" s="865"/>
      <c r="LX21" s="865"/>
      <c r="LY21" s="865"/>
      <c r="LZ21" s="865"/>
      <c r="MA21" s="865"/>
      <c r="MB21" s="865"/>
      <c r="MC21" s="865"/>
      <c r="MD21" s="865"/>
      <c r="ME21" s="865"/>
      <c r="MF21" s="865"/>
      <c r="MG21" s="865"/>
      <c r="MH21" s="865"/>
      <c r="MI21" s="865"/>
      <c r="MJ21" s="865"/>
      <c r="MK21" s="865"/>
      <c r="ML21" s="865"/>
      <c r="MM21" s="865"/>
      <c r="MN21" s="865"/>
      <c r="MO21" s="865"/>
      <c r="MP21" s="865"/>
      <c r="MQ21" s="865"/>
      <c r="MR21" s="865"/>
      <c r="MS21" s="865"/>
      <c r="MT21" s="865"/>
      <c r="MU21" s="865"/>
      <c r="MV21" s="865"/>
      <c r="MW21" s="865"/>
      <c r="MX21" s="865"/>
      <c r="MY21" s="865"/>
      <c r="MZ21" s="865"/>
      <c r="NA21" s="865"/>
      <c r="NB21" s="865"/>
      <c r="NC21" s="865"/>
      <c r="ND21" s="865"/>
      <c r="NE21" s="865"/>
      <c r="NF21" s="865"/>
      <c r="NG21" s="865"/>
      <c r="NH21" s="865"/>
      <c r="NI21" s="865"/>
      <c r="NJ21" s="865"/>
      <c r="NK21" s="865"/>
      <c r="NL21" s="865"/>
      <c r="NM21" s="865"/>
      <c r="NN21" s="865"/>
      <c r="NO21" s="865"/>
      <c r="NP21" s="865"/>
      <c r="NQ21" s="865"/>
      <c r="NR21" s="865"/>
      <c r="NS21" s="865"/>
      <c r="NT21" s="865"/>
      <c r="NU21" s="865"/>
      <c r="NV21" s="865"/>
      <c r="NW21" s="865"/>
      <c r="NX21" s="865"/>
      <c r="NY21" s="865"/>
      <c r="NZ21" s="865"/>
      <c r="OA21" s="865"/>
      <c r="OB21" s="865"/>
      <c r="OC21" s="865"/>
      <c r="OD21" s="865"/>
      <c r="OE21" s="865"/>
      <c r="OF21" s="865"/>
      <c r="OG21" s="865"/>
      <c r="OH21" s="865"/>
      <c r="OI21" s="865"/>
      <c r="OJ21" s="865"/>
      <c r="OK21" s="865"/>
      <c r="OL21" s="865"/>
      <c r="OM21" s="865"/>
      <c r="ON21" s="865"/>
      <c r="OO21" s="865"/>
      <c r="OP21" s="865"/>
      <c r="OQ21" s="865"/>
      <c r="OR21" s="865"/>
      <c r="OS21" s="865"/>
      <c r="OT21" s="865"/>
      <c r="OU21" s="865"/>
      <c r="OV21" s="865"/>
      <c r="OW21" s="865"/>
      <c r="OX21" s="865"/>
      <c r="OY21" s="865"/>
      <c r="OZ21" s="865"/>
      <c r="PA21" s="865"/>
      <c r="PB21" s="865"/>
      <c r="PC21" s="865"/>
      <c r="PD21" s="865"/>
      <c r="PE21" s="865"/>
      <c r="PF21" s="865"/>
      <c r="PG21" s="865"/>
      <c r="PH21" s="865"/>
      <c r="PI21" s="865"/>
      <c r="PJ21" s="865"/>
      <c r="PK21" s="865"/>
      <c r="PL21" s="865"/>
      <c r="PM21" s="865"/>
      <c r="PN21" s="865"/>
      <c r="PO21" s="865"/>
    </row>
    <row r="22" spans="1:431" s="165" customFormat="1">
      <c r="A22" s="865"/>
      <c r="B22" s="865"/>
      <c r="C22" s="850"/>
      <c r="D22" s="850"/>
      <c r="E22" s="850"/>
      <c r="F22" s="850"/>
      <c r="G22" s="850"/>
      <c r="H22" s="850"/>
      <c r="I22" s="850"/>
      <c r="J22" s="850"/>
      <c r="K22" s="850"/>
      <c r="L22" s="850"/>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5"/>
      <c r="AS22" s="865"/>
      <c r="AT22" s="865"/>
      <c r="AU22" s="865"/>
      <c r="AV22" s="865"/>
      <c r="AW22" s="865"/>
      <c r="AX22" s="865"/>
      <c r="AY22" s="865"/>
      <c r="AZ22" s="865"/>
      <c r="BA22" s="865"/>
      <c r="BB22" s="865"/>
      <c r="BC22" s="865"/>
      <c r="BD22" s="865"/>
      <c r="BE22" s="865"/>
      <c r="BF22" s="865"/>
      <c r="BG22" s="865"/>
      <c r="BH22" s="865"/>
      <c r="BI22" s="865"/>
      <c r="BJ22" s="865"/>
      <c r="BK22" s="865"/>
      <c r="BL22" s="865"/>
      <c r="BM22" s="865"/>
      <c r="BN22" s="865"/>
      <c r="BO22" s="865"/>
      <c r="BP22" s="865"/>
      <c r="BQ22" s="865"/>
      <c r="BR22" s="865"/>
      <c r="BS22" s="865"/>
      <c r="BT22" s="865"/>
      <c r="BU22" s="865"/>
      <c r="BV22" s="865"/>
      <c r="BW22" s="865"/>
      <c r="BX22" s="865"/>
      <c r="BY22" s="865"/>
      <c r="BZ22" s="865"/>
      <c r="CA22" s="865"/>
      <c r="CB22" s="865"/>
      <c r="CC22" s="865"/>
      <c r="CD22" s="865"/>
      <c r="CE22" s="865"/>
      <c r="CF22" s="865"/>
      <c r="CG22" s="865"/>
      <c r="CH22" s="865"/>
      <c r="CI22" s="865"/>
      <c r="CJ22" s="865"/>
      <c r="CK22" s="865"/>
      <c r="CL22" s="865"/>
      <c r="CM22" s="865"/>
      <c r="CN22" s="865"/>
      <c r="CO22" s="865"/>
      <c r="CP22" s="865"/>
      <c r="CQ22" s="865"/>
      <c r="CR22" s="865"/>
      <c r="CS22" s="865"/>
      <c r="CT22" s="865"/>
      <c r="CU22" s="865"/>
      <c r="CV22" s="865"/>
      <c r="CW22" s="865"/>
      <c r="CX22" s="865"/>
      <c r="CY22" s="865"/>
      <c r="CZ22" s="865"/>
      <c r="DA22" s="865"/>
      <c r="DB22" s="865"/>
      <c r="DC22" s="865"/>
      <c r="DD22" s="865"/>
      <c r="DE22" s="865"/>
      <c r="DF22" s="865"/>
      <c r="DG22" s="865"/>
      <c r="DH22" s="865"/>
      <c r="DI22" s="865"/>
      <c r="DJ22" s="865"/>
      <c r="DK22" s="865"/>
      <c r="DL22" s="865"/>
      <c r="DM22" s="865"/>
      <c r="DN22" s="865"/>
      <c r="DO22" s="865"/>
      <c r="DP22" s="865"/>
      <c r="DQ22" s="865"/>
      <c r="DR22" s="865"/>
      <c r="DS22" s="865"/>
      <c r="DT22" s="865"/>
      <c r="DU22" s="865"/>
      <c r="DV22" s="865"/>
      <c r="DW22" s="865"/>
      <c r="DX22" s="865"/>
      <c r="DY22" s="865"/>
      <c r="DZ22" s="865"/>
      <c r="EA22" s="865"/>
      <c r="EB22" s="865"/>
      <c r="EC22" s="865"/>
      <c r="ED22" s="865"/>
      <c r="EE22" s="865"/>
      <c r="EF22" s="865"/>
      <c r="EG22" s="865"/>
      <c r="EH22" s="865"/>
      <c r="EI22" s="865"/>
      <c r="EJ22" s="865"/>
      <c r="EK22" s="865"/>
      <c r="EL22" s="865"/>
      <c r="EM22" s="865"/>
      <c r="EN22" s="865"/>
      <c r="EO22" s="865"/>
      <c r="EP22" s="865"/>
      <c r="EQ22" s="865"/>
      <c r="ER22" s="865"/>
      <c r="ES22" s="865"/>
      <c r="ET22" s="865"/>
      <c r="EU22" s="865"/>
      <c r="EV22" s="865"/>
      <c r="EW22" s="865"/>
      <c r="EX22" s="865"/>
      <c r="EY22" s="865"/>
      <c r="EZ22" s="865"/>
      <c r="FA22" s="865"/>
      <c r="FB22" s="865"/>
      <c r="FC22" s="865"/>
      <c r="FD22" s="865"/>
      <c r="FE22" s="865"/>
      <c r="FF22" s="865"/>
      <c r="FG22" s="865"/>
      <c r="FH22" s="865"/>
      <c r="FI22" s="865"/>
      <c r="FJ22" s="865"/>
      <c r="FK22" s="865"/>
      <c r="FL22" s="865"/>
      <c r="FM22" s="865"/>
      <c r="FN22" s="865"/>
      <c r="FO22" s="865"/>
      <c r="FP22" s="865"/>
      <c r="FQ22" s="865"/>
      <c r="FR22" s="865"/>
      <c r="FS22" s="865"/>
      <c r="FT22" s="865"/>
      <c r="FU22" s="865"/>
      <c r="FV22" s="865"/>
      <c r="FW22" s="865"/>
      <c r="FX22" s="865"/>
      <c r="FY22" s="865"/>
      <c r="FZ22" s="865"/>
      <c r="GA22" s="865"/>
      <c r="GB22" s="865"/>
      <c r="GC22" s="865"/>
      <c r="GD22" s="865"/>
      <c r="GE22" s="865"/>
      <c r="GF22" s="865"/>
      <c r="GG22" s="865"/>
      <c r="GH22" s="865"/>
      <c r="GI22" s="865"/>
      <c r="GJ22" s="865"/>
      <c r="GK22" s="865"/>
      <c r="GL22" s="865"/>
      <c r="GM22" s="865"/>
      <c r="GN22" s="865"/>
      <c r="GO22" s="865"/>
      <c r="GP22" s="865"/>
      <c r="GQ22" s="865"/>
      <c r="GR22" s="865"/>
      <c r="GS22" s="865"/>
      <c r="GT22" s="865"/>
      <c r="GU22" s="865"/>
      <c r="GV22" s="865"/>
      <c r="GW22" s="865"/>
      <c r="GX22" s="865"/>
      <c r="GY22" s="865"/>
      <c r="GZ22" s="865"/>
      <c r="HA22" s="865"/>
      <c r="HB22" s="865"/>
      <c r="HC22" s="865"/>
      <c r="HD22" s="865"/>
      <c r="HE22" s="865"/>
      <c r="HF22" s="865"/>
      <c r="HG22" s="865"/>
      <c r="HH22" s="865"/>
      <c r="HI22" s="865"/>
      <c r="HJ22" s="865"/>
      <c r="HK22" s="865"/>
      <c r="HL22" s="865"/>
      <c r="HM22" s="865"/>
      <c r="HN22" s="865"/>
      <c r="HO22" s="865"/>
      <c r="HP22" s="865"/>
      <c r="HQ22" s="865"/>
      <c r="HR22" s="865"/>
      <c r="HS22" s="865"/>
      <c r="HT22" s="865"/>
      <c r="HU22" s="865"/>
      <c r="HV22" s="865"/>
      <c r="HW22" s="865"/>
      <c r="HX22" s="865"/>
      <c r="HY22" s="865"/>
      <c r="HZ22" s="865"/>
      <c r="IA22" s="865"/>
      <c r="IB22" s="865"/>
      <c r="IC22" s="865"/>
      <c r="ID22" s="865"/>
      <c r="IE22" s="865"/>
      <c r="IF22" s="865"/>
      <c r="IG22" s="865"/>
      <c r="IH22" s="865"/>
      <c r="II22" s="865"/>
      <c r="IJ22" s="865"/>
      <c r="IK22" s="865"/>
      <c r="IL22" s="865"/>
      <c r="IM22" s="865"/>
      <c r="IN22" s="865"/>
      <c r="IO22" s="865"/>
      <c r="IP22" s="865"/>
      <c r="IQ22" s="865"/>
      <c r="IR22" s="865"/>
      <c r="IS22" s="865"/>
      <c r="IT22" s="865"/>
      <c r="IU22" s="865"/>
      <c r="IV22" s="865"/>
      <c r="IW22" s="865"/>
      <c r="IX22" s="865"/>
      <c r="IY22" s="865"/>
      <c r="IZ22" s="865"/>
      <c r="JA22" s="865"/>
      <c r="JB22" s="865"/>
      <c r="JC22" s="865"/>
      <c r="JD22" s="865"/>
      <c r="JE22" s="865"/>
      <c r="JF22" s="865"/>
      <c r="JG22" s="865"/>
      <c r="JH22" s="865"/>
      <c r="JI22" s="865"/>
      <c r="JJ22" s="865"/>
      <c r="JK22" s="865"/>
      <c r="JL22" s="865"/>
      <c r="JM22" s="865"/>
      <c r="JN22" s="865"/>
      <c r="JO22" s="865"/>
      <c r="JP22" s="865"/>
      <c r="JQ22" s="865"/>
      <c r="JR22" s="865"/>
      <c r="JS22" s="865"/>
      <c r="JT22" s="865"/>
      <c r="JU22" s="865"/>
      <c r="JV22" s="865"/>
      <c r="JW22" s="865"/>
      <c r="JX22" s="865"/>
      <c r="JY22" s="865"/>
      <c r="JZ22" s="865"/>
      <c r="KA22" s="865"/>
      <c r="KB22" s="865"/>
      <c r="KC22" s="865"/>
      <c r="KD22" s="865"/>
      <c r="KE22" s="865"/>
      <c r="KF22" s="865"/>
      <c r="KG22" s="865"/>
      <c r="KH22" s="865"/>
      <c r="KI22" s="865"/>
      <c r="KJ22" s="865"/>
      <c r="KK22" s="865"/>
      <c r="KL22" s="865"/>
      <c r="KM22" s="865"/>
      <c r="KN22" s="865"/>
      <c r="KO22" s="865"/>
      <c r="KP22" s="865"/>
      <c r="KQ22" s="865"/>
      <c r="KR22" s="865"/>
      <c r="KS22" s="865"/>
      <c r="KT22" s="865"/>
      <c r="KU22" s="865"/>
      <c r="KV22" s="865"/>
      <c r="KW22" s="865"/>
      <c r="KX22" s="865"/>
      <c r="KY22" s="865"/>
      <c r="KZ22" s="865"/>
      <c r="LA22" s="865"/>
      <c r="LB22" s="865"/>
      <c r="LC22" s="865"/>
      <c r="LD22" s="865"/>
      <c r="LE22" s="865"/>
      <c r="LF22" s="865"/>
      <c r="LG22" s="865"/>
      <c r="LH22" s="865"/>
      <c r="LI22" s="865"/>
      <c r="LJ22" s="865"/>
      <c r="LK22" s="865"/>
      <c r="LL22" s="865"/>
      <c r="LM22" s="865"/>
      <c r="LN22" s="865"/>
      <c r="LO22" s="865"/>
      <c r="LP22" s="865"/>
      <c r="LQ22" s="865"/>
      <c r="LR22" s="865"/>
      <c r="LS22" s="865"/>
      <c r="LT22" s="865"/>
      <c r="LU22" s="865"/>
      <c r="LV22" s="865"/>
      <c r="LW22" s="865"/>
      <c r="LX22" s="865"/>
      <c r="LY22" s="865"/>
      <c r="LZ22" s="865"/>
      <c r="MA22" s="865"/>
      <c r="MB22" s="865"/>
      <c r="MC22" s="865"/>
      <c r="MD22" s="865"/>
      <c r="ME22" s="865"/>
      <c r="MF22" s="865"/>
      <c r="MG22" s="865"/>
      <c r="MH22" s="865"/>
      <c r="MI22" s="865"/>
      <c r="MJ22" s="865"/>
      <c r="MK22" s="865"/>
      <c r="ML22" s="865"/>
      <c r="MM22" s="865"/>
      <c r="MN22" s="865"/>
      <c r="MO22" s="865"/>
      <c r="MP22" s="865"/>
      <c r="MQ22" s="865"/>
      <c r="MR22" s="865"/>
      <c r="MS22" s="865"/>
      <c r="MT22" s="865"/>
      <c r="MU22" s="865"/>
      <c r="MV22" s="865"/>
      <c r="MW22" s="865"/>
      <c r="MX22" s="865"/>
      <c r="MY22" s="865"/>
      <c r="MZ22" s="865"/>
      <c r="NA22" s="865"/>
      <c r="NB22" s="865"/>
      <c r="NC22" s="865"/>
      <c r="ND22" s="865"/>
      <c r="NE22" s="865"/>
      <c r="NF22" s="865"/>
      <c r="NG22" s="865"/>
      <c r="NH22" s="865"/>
      <c r="NI22" s="865"/>
      <c r="NJ22" s="865"/>
      <c r="NK22" s="865"/>
      <c r="NL22" s="865"/>
      <c r="NM22" s="865"/>
      <c r="NN22" s="865"/>
      <c r="NO22" s="865"/>
      <c r="NP22" s="865"/>
      <c r="NQ22" s="865"/>
      <c r="NR22" s="865"/>
      <c r="NS22" s="865"/>
      <c r="NT22" s="865"/>
      <c r="NU22" s="865"/>
      <c r="NV22" s="865"/>
      <c r="NW22" s="865"/>
      <c r="NX22" s="865"/>
      <c r="NY22" s="865"/>
      <c r="NZ22" s="865"/>
      <c r="OA22" s="865"/>
      <c r="OB22" s="865"/>
      <c r="OC22" s="865"/>
      <c r="OD22" s="865"/>
      <c r="OE22" s="865"/>
      <c r="OF22" s="865"/>
      <c r="OG22" s="865"/>
      <c r="OH22" s="865"/>
      <c r="OI22" s="865"/>
      <c r="OJ22" s="865"/>
      <c r="OK22" s="865"/>
      <c r="OL22" s="865"/>
      <c r="OM22" s="865"/>
      <c r="ON22" s="865"/>
      <c r="OO22" s="865"/>
      <c r="OP22" s="865"/>
      <c r="OQ22" s="865"/>
      <c r="OR22" s="865"/>
      <c r="OS22" s="865"/>
      <c r="OT22" s="865"/>
      <c r="OU22" s="865"/>
      <c r="OV22" s="865"/>
      <c r="OW22" s="865"/>
      <c r="OX22" s="865"/>
      <c r="OY22" s="865"/>
      <c r="OZ22" s="865"/>
      <c r="PA22" s="865"/>
      <c r="PB22" s="865"/>
      <c r="PC22" s="865"/>
      <c r="PD22" s="865"/>
      <c r="PE22" s="865"/>
      <c r="PF22" s="865"/>
      <c r="PG22" s="865"/>
      <c r="PH22" s="865"/>
      <c r="PI22" s="865"/>
      <c r="PJ22" s="865"/>
      <c r="PK22" s="865"/>
      <c r="PL22" s="865"/>
      <c r="PM22" s="865"/>
      <c r="PN22" s="865"/>
      <c r="PO22" s="865"/>
    </row>
    <row r="23" spans="1:431" s="165" customFormat="1">
      <c r="A23" s="865"/>
      <c r="B23" s="865"/>
      <c r="C23" s="850"/>
      <c r="D23" s="850"/>
      <c r="E23" s="850"/>
      <c r="F23" s="850"/>
      <c r="G23" s="850"/>
      <c r="H23" s="850"/>
      <c r="I23" s="850"/>
      <c r="J23" s="850"/>
      <c r="K23" s="850"/>
      <c r="L23" s="850"/>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5"/>
      <c r="AP23" s="865"/>
      <c r="AQ23" s="865"/>
      <c r="AR23" s="865"/>
      <c r="AS23" s="865"/>
      <c r="AT23" s="865"/>
      <c r="AU23" s="865"/>
      <c r="AV23" s="865"/>
      <c r="AW23" s="865"/>
      <c r="AX23" s="865"/>
      <c r="AY23" s="865"/>
      <c r="AZ23" s="865"/>
      <c r="BA23" s="865"/>
      <c r="BB23" s="865"/>
      <c r="BC23" s="865"/>
      <c r="BD23" s="865"/>
      <c r="BE23" s="865"/>
      <c r="BF23" s="865"/>
      <c r="BG23" s="865"/>
      <c r="BH23" s="865"/>
      <c r="BI23" s="865"/>
      <c r="BJ23" s="865"/>
      <c r="BK23" s="865"/>
      <c r="BL23" s="865"/>
      <c r="BM23" s="865"/>
      <c r="BN23" s="865"/>
      <c r="BO23" s="865"/>
      <c r="BP23" s="865"/>
      <c r="BQ23" s="865"/>
      <c r="BR23" s="865"/>
      <c r="BS23" s="865"/>
      <c r="BT23" s="865"/>
      <c r="BU23" s="865"/>
      <c r="BV23" s="865"/>
      <c r="BW23" s="865"/>
      <c r="BX23" s="865"/>
      <c r="BY23" s="865"/>
      <c r="BZ23" s="865"/>
      <c r="CA23" s="865"/>
      <c r="CB23" s="865"/>
      <c r="CC23" s="865"/>
      <c r="CD23" s="865"/>
      <c r="CE23" s="865"/>
      <c r="CF23" s="865"/>
      <c r="CG23" s="865"/>
      <c r="CH23" s="865"/>
      <c r="CI23" s="865"/>
      <c r="CJ23" s="865"/>
      <c r="CK23" s="865"/>
      <c r="CL23" s="865"/>
      <c r="CM23" s="865"/>
      <c r="CN23" s="865"/>
      <c r="CO23" s="865"/>
      <c r="CP23" s="865"/>
      <c r="CQ23" s="865"/>
      <c r="CR23" s="865"/>
      <c r="CS23" s="865"/>
      <c r="CT23" s="865"/>
      <c r="CU23" s="865"/>
      <c r="CV23" s="865"/>
      <c r="CW23" s="865"/>
      <c r="CX23" s="865"/>
      <c r="CY23" s="865"/>
      <c r="CZ23" s="865"/>
      <c r="DA23" s="865"/>
      <c r="DB23" s="865"/>
      <c r="DC23" s="865"/>
      <c r="DD23" s="865"/>
      <c r="DE23" s="865"/>
      <c r="DF23" s="865"/>
      <c r="DG23" s="865"/>
      <c r="DH23" s="865"/>
      <c r="DI23" s="865"/>
      <c r="DJ23" s="865"/>
      <c r="DK23" s="865"/>
      <c r="DL23" s="865"/>
      <c r="DM23" s="865"/>
      <c r="DN23" s="865"/>
      <c r="DO23" s="865"/>
      <c r="DP23" s="865"/>
      <c r="DQ23" s="865"/>
      <c r="DR23" s="865"/>
      <c r="DS23" s="865"/>
      <c r="DT23" s="865"/>
      <c r="DU23" s="865"/>
      <c r="DV23" s="865"/>
      <c r="DW23" s="865"/>
      <c r="DX23" s="865"/>
      <c r="DY23" s="865"/>
      <c r="DZ23" s="865"/>
      <c r="EA23" s="865"/>
      <c r="EB23" s="865"/>
      <c r="EC23" s="865"/>
      <c r="ED23" s="865"/>
      <c r="EE23" s="865"/>
      <c r="EF23" s="865"/>
      <c r="EG23" s="865"/>
      <c r="EH23" s="865"/>
      <c r="EI23" s="865"/>
      <c r="EJ23" s="865"/>
      <c r="EK23" s="865"/>
      <c r="EL23" s="865"/>
      <c r="EM23" s="865"/>
      <c r="EN23" s="865"/>
      <c r="EO23" s="865"/>
      <c r="EP23" s="865"/>
      <c r="EQ23" s="865"/>
      <c r="ER23" s="865"/>
      <c r="ES23" s="865"/>
      <c r="ET23" s="865"/>
      <c r="EU23" s="865"/>
      <c r="EV23" s="865"/>
      <c r="EW23" s="865"/>
      <c r="EX23" s="865"/>
      <c r="EY23" s="865"/>
      <c r="EZ23" s="865"/>
      <c r="FA23" s="865"/>
      <c r="FB23" s="865"/>
      <c r="FC23" s="865"/>
      <c r="FD23" s="865"/>
      <c r="FE23" s="865"/>
      <c r="FF23" s="865"/>
      <c r="FG23" s="865"/>
      <c r="FH23" s="865"/>
      <c r="FI23" s="865"/>
      <c r="FJ23" s="865"/>
      <c r="FK23" s="865"/>
      <c r="FL23" s="865"/>
      <c r="FM23" s="865"/>
      <c r="FN23" s="865"/>
      <c r="FO23" s="865"/>
      <c r="FP23" s="865"/>
      <c r="FQ23" s="865"/>
      <c r="FR23" s="865"/>
      <c r="FS23" s="865"/>
      <c r="FT23" s="865"/>
      <c r="FU23" s="865"/>
      <c r="FV23" s="865"/>
      <c r="FW23" s="865"/>
      <c r="FX23" s="865"/>
      <c r="FY23" s="865"/>
      <c r="FZ23" s="865"/>
      <c r="GA23" s="865"/>
      <c r="GB23" s="865"/>
      <c r="GC23" s="865"/>
      <c r="GD23" s="865"/>
      <c r="GE23" s="865"/>
      <c r="GF23" s="865"/>
      <c r="GG23" s="865"/>
      <c r="GH23" s="865"/>
      <c r="GI23" s="865"/>
      <c r="GJ23" s="865"/>
      <c r="GK23" s="865"/>
      <c r="GL23" s="865"/>
      <c r="GM23" s="865"/>
      <c r="GN23" s="865"/>
      <c r="GO23" s="865"/>
      <c r="GP23" s="865"/>
      <c r="GQ23" s="865"/>
      <c r="GR23" s="865"/>
      <c r="GS23" s="865"/>
      <c r="GT23" s="865"/>
      <c r="GU23" s="865"/>
      <c r="GV23" s="865"/>
      <c r="GW23" s="865"/>
      <c r="GX23" s="865"/>
      <c r="GY23" s="865"/>
      <c r="GZ23" s="865"/>
      <c r="HA23" s="865"/>
      <c r="HB23" s="865"/>
      <c r="HC23" s="865"/>
      <c r="HD23" s="865"/>
      <c r="HE23" s="865"/>
      <c r="HF23" s="865"/>
      <c r="HG23" s="865"/>
      <c r="HH23" s="865"/>
      <c r="HI23" s="865"/>
      <c r="HJ23" s="865"/>
      <c r="HK23" s="865"/>
      <c r="HL23" s="865"/>
      <c r="HM23" s="865"/>
      <c r="HN23" s="865"/>
      <c r="HO23" s="865"/>
      <c r="HP23" s="865"/>
      <c r="HQ23" s="865"/>
      <c r="HR23" s="865"/>
      <c r="HS23" s="865"/>
      <c r="HT23" s="865"/>
      <c r="HU23" s="865"/>
      <c r="HV23" s="865"/>
      <c r="HW23" s="865"/>
      <c r="HX23" s="865"/>
      <c r="HY23" s="865"/>
      <c r="HZ23" s="865"/>
      <c r="IA23" s="865"/>
      <c r="IB23" s="865"/>
      <c r="IC23" s="865"/>
      <c r="ID23" s="865"/>
      <c r="IE23" s="865"/>
      <c r="IF23" s="865"/>
      <c r="IG23" s="865"/>
      <c r="IH23" s="865"/>
      <c r="II23" s="865"/>
      <c r="IJ23" s="865"/>
      <c r="IK23" s="865"/>
      <c r="IL23" s="865"/>
      <c r="IM23" s="865"/>
      <c r="IN23" s="865"/>
      <c r="IO23" s="865"/>
      <c r="IP23" s="865"/>
      <c r="IQ23" s="865"/>
      <c r="IR23" s="865"/>
      <c r="IS23" s="865"/>
      <c r="IT23" s="865"/>
      <c r="IU23" s="865"/>
      <c r="IV23" s="865"/>
      <c r="IW23" s="865"/>
      <c r="IX23" s="865"/>
      <c r="IY23" s="865"/>
      <c r="IZ23" s="865"/>
      <c r="JA23" s="865"/>
      <c r="JB23" s="865"/>
      <c r="JC23" s="865"/>
      <c r="JD23" s="865"/>
      <c r="JE23" s="865"/>
      <c r="JF23" s="865"/>
      <c r="JG23" s="865"/>
      <c r="JH23" s="865"/>
      <c r="JI23" s="865"/>
      <c r="JJ23" s="865"/>
      <c r="JK23" s="865"/>
      <c r="JL23" s="865"/>
      <c r="JM23" s="865"/>
      <c r="JN23" s="865"/>
      <c r="JO23" s="865"/>
      <c r="JP23" s="865"/>
      <c r="JQ23" s="865"/>
      <c r="JR23" s="865"/>
      <c r="JS23" s="865"/>
      <c r="JT23" s="865"/>
      <c r="JU23" s="865"/>
      <c r="JV23" s="865"/>
      <c r="JW23" s="865"/>
      <c r="JX23" s="865"/>
      <c r="JY23" s="865"/>
      <c r="JZ23" s="865"/>
      <c r="KA23" s="865"/>
      <c r="KB23" s="865"/>
      <c r="KC23" s="865"/>
      <c r="KD23" s="865"/>
      <c r="KE23" s="865"/>
      <c r="KF23" s="865"/>
      <c r="KG23" s="865"/>
      <c r="KH23" s="865"/>
      <c r="KI23" s="865"/>
      <c r="KJ23" s="865"/>
      <c r="KK23" s="865"/>
      <c r="KL23" s="865"/>
      <c r="KM23" s="865"/>
      <c r="KN23" s="865"/>
      <c r="KO23" s="865"/>
      <c r="KP23" s="865"/>
      <c r="KQ23" s="865"/>
      <c r="KR23" s="865"/>
      <c r="KS23" s="865"/>
      <c r="KT23" s="865"/>
      <c r="KU23" s="865"/>
      <c r="KV23" s="865"/>
      <c r="KW23" s="865"/>
      <c r="KX23" s="865"/>
      <c r="KY23" s="865"/>
      <c r="KZ23" s="865"/>
      <c r="LA23" s="865"/>
      <c r="LB23" s="865"/>
      <c r="LC23" s="865"/>
      <c r="LD23" s="865"/>
      <c r="LE23" s="865"/>
      <c r="LF23" s="865"/>
      <c r="LG23" s="865"/>
      <c r="LH23" s="865"/>
      <c r="LI23" s="865"/>
      <c r="LJ23" s="865"/>
      <c r="LK23" s="865"/>
      <c r="LL23" s="865"/>
      <c r="LM23" s="865"/>
      <c r="LN23" s="865"/>
      <c r="LO23" s="865"/>
      <c r="LP23" s="865"/>
      <c r="LQ23" s="865"/>
      <c r="LR23" s="865"/>
      <c r="LS23" s="865"/>
      <c r="LT23" s="865"/>
      <c r="LU23" s="865"/>
      <c r="LV23" s="865"/>
      <c r="LW23" s="865"/>
      <c r="LX23" s="865"/>
      <c r="LY23" s="865"/>
      <c r="LZ23" s="865"/>
      <c r="MA23" s="865"/>
      <c r="MB23" s="865"/>
      <c r="MC23" s="865"/>
      <c r="MD23" s="865"/>
      <c r="ME23" s="865"/>
      <c r="MF23" s="865"/>
      <c r="MG23" s="865"/>
      <c r="MH23" s="865"/>
      <c r="MI23" s="865"/>
      <c r="MJ23" s="865"/>
      <c r="MK23" s="865"/>
      <c r="ML23" s="865"/>
      <c r="MM23" s="865"/>
      <c r="MN23" s="865"/>
      <c r="MO23" s="865"/>
      <c r="MP23" s="865"/>
      <c r="MQ23" s="865"/>
      <c r="MR23" s="865"/>
      <c r="MS23" s="865"/>
      <c r="MT23" s="865"/>
      <c r="MU23" s="865"/>
      <c r="MV23" s="865"/>
      <c r="MW23" s="865"/>
      <c r="MX23" s="865"/>
      <c r="MY23" s="865"/>
      <c r="MZ23" s="865"/>
      <c r="NA23" s="865"/>
      <c r="NB23" s="865"/>
      <c r="NC23" s="865"/>
      <c r="ND23" s="865"/>
      <c r="NE23" s="865"/>
      <c r="NF23" s="865"/>
      <c r="NG23" s="865"/>
      <c r="NH23" s="865"/>
      <c r="NI23" s="865"/>
      <c r="NJ23" s="865"/>
      <c r="NK23" s="865"/>
      <c r="NL23" s="865"/>
      <c r="NM23" s="865"/>
      <c r="NN23" s="865"/>
      <c r="NO23" s="865"/>
      <c r="NP23" s="865"/>
      <c r="NQ23" s="865"/>
      <c r="NR23" s="865"/>
      <c r="NS23" s="865"/>
      <c r="NT23" s="865"/>
      <c r="NU23" s="865"/>
      <c r="NV23" s="865"/>
      <c r="NW23" s="865"/>
      <c r="NX23" s="865"/>
      <c r="NY23" s="865"/>
      <c r="NZ23" s="865"/>
      <c r="OA23" s="865"/>
      <c r="OB23" s="865"/>
      <c r="OC23" s="865"/>
      <c r="OD23" s="865"/>
      <c r="OE23" s="865"/>
      <c r="OF23" s="865"/>
      <c r="OG23" s="865"/>
      <c r="OH23" s="865"/>
      <c r="OI23" s="865"/>
      <c r="OJ23" s="865"/>
      <c r="OK23" s="865"/>
      <c r="OL23" s="865"/>
      <c r="OM23" s="865"/>
      <c r="ON23" s="865"/>
      <c r="OO23" s="865"/>
      <c r="OP23" s="865"/>
      <c r="OQ23" s="865"/>
      <c r="OR23" s="865"/>
      <c r="OS23" s="865"/>
      <c r="OT23" s="865"/>
      <c r="OU23" s="865"/>
      <c r="OV23" s="865"/>
      <c r="OW23" s="865"/>
      <c r="OX23" s="865"/>
      <c r="OY23" s="865"/>
      <c r="OZ23" s="865"/>
      <c r="PA23" s="865"/>
      <c r="PB23" s="865"/>
      <c r="PC23" s="865"/>
      <c r="PD23" s="865"/>
      <c r="PE23" s="865"/>
      <c r="PF23" s="865"/>
      <c r="PG23" s="865"/>
      <c r="PH23" s="865"/>
      <c r="PI23" s="865"/>
      <c r="PJ23" s="865"/>
      <c r="PK23" s="865"/>
      <c r="PL23" s="865"/>
      <c r="PM23" s="865"/>
      <c r="PN23" s="865"/>
      <c r="PO23" s="865"/>
    </row>
    <row r="24" spans="1:431" s="165" customFormat="1">
      <c r="A24" s="865"/>
      <c r="B24" s="865"/>
      <c r="C24" s="850"/>
      <c r="D24" s="850"/>
      <c r="E24" s="850"/>
      <c r="F24" s="850"/>
      <c r="G24" s="850"/>
      <c r="H24" s="850"/>
      <c r="I24" s="850"/>
      <c r="J24" s="850"/>
      <c r="K24" s="850"/>
      <c r="L24" s="850"/>
      <c r="M24" s="865"/>
      <c r="N24" s="865"/>
      <c r="O24" s="865"/>
      <c r="P24" s="865"/>
      <c r="Q24" s="865"/>
      <c r="R24" s="865"/>
      <c r="S24" s="865"/>
      <c r="T24" s="865"/>
      <c r="U24" s="865"/>
      <c r="V24" s="865"/>
      <c r="W24" s="865"/>
      <c r="X24" s="865"/>
      <c r="Y24" s="865"/>
      <c r="Z24" s="865"/>
      <c r="AA24" s="865"/>
      <c r="AB24" s="865"/>
      <c r="AC24" s="865"/>
      <c r="AD24" s="865"/>
      <c r="AE24" s="865"/>
      <c r="AF24" s="865"/>
      <c r="AG24" s="865"/>
      <c r="AH24" s="865"/>
      <c r="AI24" s="865"/>
      <c r="AJ24" s="865"/>
      <c r="AK24" s="865"/>
      <c r="AL24" s="865"/>
      <c r="AM24" s="865"/>
      <c r="AN24" s="865"/>
      <c r="AO24" s="865"/>
      <c r="AP24" s="865"/>
      <c r="AQ24" s="865"/>
      <c r="AR24" s="865"/>
      <c r="AS24" s="865"/>
      <c r="AT24" s="865"/>
      <c r="AU24" s="865"/>
      <c r="AV24" s="865"/>
      <c r="AW24" s="865"/>
      <c r="AX24" s="865"/>
      <c r="AY24" s="865"/>
      <c r="AZ24" s="865"/>
      <c r="BA24" s="865"/>
      <c r="BB24" s="865"/>
      <c r="BC24" s="865"/>
      <c r="BD24" s="865"/>
      <c r="BE24" s="865"/>
      <c r="BF24" s="865"/>
      <c r="BG24" s="865"/>
      <c r="BH24" s="865"/>
      <c r="BI24" s="865"/>
      <c r="BJ24" s="865"/>
      <c r="BK24" s="865"/>
      <c r="BL24" s="865"/>
      <c r="BM24" s="865"/>
      <c r="BN24" s="865"/>
      <c r="BO24" s="865"/>
      <c r="BP24" s="865"/>
      <c r="BQ24" s="865"/>
      <c r="BR24" s="865"/>
      <c r="BS24" s="865"/>
      <c r="BT24" s="865"/>
      <c r="BU24" s="865"/>
      <c r="BV24" s="865"/>
      <c r="BW24" s="865"/>
      <c r="BX24" s="865"/>
      <c r="BY24" s="865"/>
      <c r="BZ24" s="865"/>
      <c r="CA24" s="865"/>
      <c r="CB24" s="865"/>
      <c r="CC24" s="865"/>
      <c r="CD24" s="865"/>
      <c r="CE24" s="865"/>
      <c r="CF24" s="865"/>
      <c r="CG24" s="865"/>
      <c r="CH24" s="865"/>
      <c r="CI24" s="865"/>
      <c r="CJ24" s="865"/>
      <c r="CK24" s="865"/>
      <c r="CL24" s="865"/>
      <c r="CM24" s="865"/>
      <c r="CN24" s="865"/>
      <c r="CO24" s="865"/>
      <c r="CP24" s="865"/>
      <c r="CQ24" s="865"/>
      <c r="CR24" s="865"/>
      <c r="CS24" s="865"/>
      <c r="CT24" s="865"/>
      <c r="CU24" s="865"/>
      <c r="CV24" s="865"/>
      <c r="CW24" s="865"/>
      <c r="CX24" s="865"/>
      <c r="CY24" s="865"/>
      <c r="CZ24" s="865"/>
      <c r="DA24" s="865"/>
      <c r="DB24" s="865"/>
      <c r="DC24" s="865"/>
      <c r="DD24" s="865"/>
      <c r="DE24" s="865"/>
      <c r="DF24" s="865"/>
      <c r="DG24" s="865"/>
      <c r="DH24" s="865"/>
      <c r="DI24" s="865"/>
      <c r="DJ24" s="865"/>
      <c r="DK24" s="865"/>
      <c r="DL24" s="865"/>
      <c r="DM24" s="865"/>
      <c r="DN24" s="865"/>
      <c r="DO24" s="865"/>
      <c r="DP24" s="865"/>
      <c r="DQ24" s="865"/>
      <c r="DR24" s="865"/>
      <c r="DS24" s="865"/>
      <c r="DT24" s="865"/>
      <c r="DU24" s="865"/>
      <c r="DV24" s="865"/>
      <c r="DW24" s="865"/>
      <c r="DX24" s="865"/>
      <c r="DY24" s="865"/>
      <c r="DZ24" s="865"/>
      <c r="EA24" s="865"/>
      <c r="EB24" s="865"/>
      <c r="EC24" s="865"/>
      <c r="ED24" s="865"/>
      <c r="EE24" s="865"/>
      <c r="EF24" s="865"/>
      <c r="EG24" s="865"/>
      <c r="EH24" s="865"/>
      <c r="EI24" s="865"/>
      <c r="EJ24" s="865"/>
      <c r="EK24" s="865"/>
      <c r="EL24" s="865"/>
      <c r="EM24" s="865"/>
      <c r="EN24" s="865"/>
      <c r="EO24" s="865"/>
      <c r="EP24" s="865"/>
      <c r="EQ24" s="865"/>
      <c r="ER24" s="865"/>
      <c r="ES24" s="865"/>
      <c r="ET24" s="865"/>
      <c r="EU24" s="865"/>
      <c r="EV24" s="865"/>
      <c r="EW24" s="865"/>
      <c r="EX24" s="865"/>
      <c r="EY24" s="865"/>
      <c r="EZ24" s="865"/>
      <c r="FA24" s="865"/>
      <c r="FB24" s="865"/>
      <c r="FC24" s="865"/>
      <c r="FD24" s="865"/>
      <c r="FE24" s="865"/>
      <c r="FF24" s="865"/>
      <c r="FG24" s="865"/>
      <c r="FH24" s="865"/>
      <c r="FI24" s="865"/>
      <c r="FJ24" s="865"/>
      <c r="FK24" s="865"/>
      <c r="FL24" s="865"/>
      <c r="FM24" s="865"/>
      <c r="FN24" s="865"/>
      <c r="FO24" s="865"/>
      <c r="FP24" s="865"/>
      <c r="FQ24" s="865"/>
      <c r="FR24" s="865"/>
      <c r="FS24" s="865"/>
      <c r="FT24" s="865"/>
      <c r="FU24" s="865"/>
      <c r="FV24" s="865"/>
      <c r="FW24" s="865"/>
      <c r="FX24" s="865"/>
      <c r="FY24" s="865"/>
      <c r="FZ24" s="865"/>
      <c r="GA24" s="865"/>
      <c r="GB24" s="865"/>
      <c r="GC24" s="865"/>
      <c r="GD24" s="865"/>
      <c r="GE24" s="865"/>
      <c r="GF24" s="865"/>
      <c r="GG24" s="865"/>
      <c r="GH24" s="865"/>
      <c r="GI24" s="865"/>
      <c r="GJ24" s="865"/>
      <c r="GK24" s="865"/>
      <c r="GL24" s="865"/>
      <c r="GM24" s="865"/>
      <c r="GN24" s="865"/>
      <c r="GO24" s="865"/>
      <c r="GP24" s="865"/>
      <c r="GQ24" s="865"/>
      <c r="GR24" s="865"/>
      <c r="GS24" s="865"/>
      <c r="GT24" s="865"/>
      <c r="GU24" s="865"/>
      <c r="GV24" s="865"/>
      <c r="GW24" s="865"/>
      <c r="GX24" s="865"/>
      <c r="GY24" s="865"/>
      <c r="GZ24" s="865"/>
      <c r="HA24" s="865"/>
      <c r="HB24" s="865"/>
      <c r="HC24" s="865"/>
      <c r="HD24" s="865"/>
      <c r="HE24" s="865"/>
      <c r="HF24" s="865"/>
      <c r="HG24" s="865"/>
      <c r="HH24" s="865"/>
      <c r="HI24" s="865"/>
      <c r="HJ24" s="865"/>
      <c r="HK24" s="865"/>
      <c r="HL24" s="865"/>
      <c r="HM24" s="865"/>
      <c r="HN24" s="865"/>
      <c r="HO24" s="865"/>
      <c r="HP24" s="865"/>
      <c r="HQ24" s="865"/>
      <c r="HR24" s="865"/>
      <c r="HS24" s="865"/>
      <c r="HT24" s="865"/>
      <c r="HU24" s="865"/>
      <c r="HV24" s="865"/>
      <c r="HW24" s="865"/>
      <c r="HX24" s="865"/>
      <c r="HY24" s="865"/>
      <c r="HZ24" s="865"/>
      <c r="IA24" s="865"/>
      <c r="IB24" s="865"/>
      <c r="IC24" s="865"/>
      <c r="ID24" s="865"/>
      <c r="IE24" s="865"/>
      <c r="IF24" s="865"/>
      <c r="IG24" s="865"/>
      <c r="IH24" s="865"/>
      <c r="II24" s="865"/>
      <c r="IJ24" s="865"/>
      <c r="IK24" s="865"/>
      <c r="IL24" s="865"/>
      <c r="IM24" s="865"/>
      <c r="IN24" s="865"/>
      <c r="IO24" s="865"/>
      <c r="IP24" s="865"/>
      <c r="IQ24" s="865"/>
      <c r="IR24" s="865"/>
      <c r="IS24" s="865"/>
      <c r="IT24" s="865"/>
      <c r="IU24" s="865"/>
      <c r="IV24" s="865"/>
      <c r="IW24" s="865"/>
      <c r="IX24" s="865"/>
      <c r="IY24" s="865"/>
      <c r="IZ24" s="865"/>
      <c r="JA24" s="865"/>
      <c r="JB24" s="865"/>
      <c r="JC24" s="865"/>
      <c r="JD24" s="865"/>
      <c r="JE24" s="865"/>
      <c r="JF24" s="865"/>
      <c r="JG24" s="865"/>
      <c r="JH24" s="865"/>
      <c r="JI24" s="865"/>
      <c r="JJ24" s="865"/>
      <c r="JK24" s="865"/>
      <c r="JL24" s="865"/>
      <c r="JM24" s="865"/>
      <c r="JN24" s="865"/>
      <c r="JO24" s="865"/>
      <c r="JP24" s="865"/>
      <c r="JQ24" s="865"/>
      <c r="JR24" s="865"/>
      <c r="JS24" s="865"/>
      <c r="JT24" s="865"/>
      <c r="JU24" s="865"/>
      <c r="JV24" s="865"/>
      <c r="JW24" s="865"/>
      <c r="JX24" s="865"/>
      <c r="JY24" s="865"/>
      <c r="JZ24" s="865"/>
      <c r="KA24" s="865"/>
      <c r="KB24" s="865"/>
      <c r="KC24" s="865"/>
      <c r="KD24" s="865"/>
      <c r="KE24" s="865"/>
      <c r="KF24" s="865"/>
      <c r="KG24" s="865"/>
      <c r="KH24" s="865"/>
      <c r="KI24" s="865"/>
      <c r="KJ24" s="865"/>
      <c r="KK24" s="865"/>
      <c r="KL24" s="865"/>
      <c r="KM24" s="865"/>
      <c r="KN24" s="865"/>
      <c r="KO24" s="865"/>
      <c r="KP24" s="865"/>
      <c r="KQ24" s="865"/>
      <c r="KR24" s="865"/>
      <c r="KS24" s="865"/>
      <c r="KT24" s="865"/>
      <c r="KU24" s="865"/>
      <c r="KV24" s="865"/>
      <c r="KW24" s="865"/>
      <c r="KX24" s="865"/>
      <c r="KY24" s="865"/>
      <c r="KZ24" s="865"/>
      <c r="LA24" s="865"/>
      <c r="LB24" s="865"/>
      <c r="LC24" s="865"/>
      <c r="LD24" s="865"/>
      <c r="LE24" s="865"/>
      <c r="LF24" s="865"/>
      <c r="LG24" s="865"/>
      <c r="LH24" s="865"/>
      <c r="LI24" s="865"/>
      <c r="LJ24" s="865"/>
      <c r="LK24" s="865"/>
      <c r="LL24" s="865"/>
      <c r="LM24" s="865"/>
      <c r="LN24" s="865"/>
      <c r="LO24" s="865"/>
      <c r="LP24" s="865"/>
      <c r="LQ24" s="865"/>
      <c r="LR24" s="865"/>
      <c r="LS24" s="865"/>
      <c r="LT24" s="865"/>
      <c r="LU24" s="865"/>
      <c r="LV24" s="865"/>
      <c r="LW24" s="865"/>
      <c r="LX24" s="865"/>
      <c r="LY24" s="865"/>
      <c r="LZ24" s="865"/>
      <c r="MA24" s="865"/>
      <c r="MB24" s="865"/>
      <c r="MC24" s="865"/>
      <c r="MD24" s="865"/>
      <c r="ME24" s="865"/>
      <c r="MF24" s="865"/>
      <c r="MG24" s="865"/>
      <c r="MH24" s="865"/>
      <c r="MI24" s="865"/>
      <c r="MJ24" s="865"/>
      <c r="MK24" s="865"/>
      <c r="ML24" s="865"/>
      <c r="MM24" s="865"/>
      <c r="MN24" s="865"/>
      <c r="MO24" s="865"/>
      <c r="MP24" s="865"/>
      <c r="MQ24" s="865"/>
      <c r="MR24" s="865"/>
      <c r="MS24" s="865"/>
      <c r="MT24" s="865"/>
      <c r="MU24" s="865"/>
      <c r="MV24" s="865"/>
      <c r="MW24" s="865"/>
      <c r="MX24" s="865"/>
      <c r="MY24" s="865"/>
      <c r="MZ24" s="865"/>
      <c r="NA24" s="865"/>
      <c r="NB24" s="865"/>
      <c r="NC24" s="865"/>
      <c r="ND24" s="865"/>
      <c r="NE24" s="865"/>
      <c r="NF24" s="865"/>
      <c r="NG24" s="865"/>
      <c r="NH24" s="865"/>
      <c r="NI24" s="865"/>
      <c r="NJ24" s="865"/>
      <c r="NK24" s="865"/>
      <c r="NL24" s="865"/>
      <c r="NM24" s="865"/>
      <c r="NN24" s="865"/>
      <c r="NO24" s="865"/>
      <c r="NP24" s="865"/>
      <c r="NQ24" s="865"/>
      <c r="NR24" s="865"/>
      <c r="NS24" s="865"/>
      <c r="NT24" s="865"/>
      <c r="NU24" s="865"/>
      <c r="NV24" s="865"/>
      <c r="NW24" s="865"/>
      <c r="NX24" s="865"/>
      <c r="NY24" s="865"/>
      <c r="NZ24" s="865"/>
      <c r="OA24" s="865"/>
      <c r="OB24" s="865"/>
      <c r="OC24" s="865"/>
      <c r="OD24" s="865"/>
      <c r="OE24" s="865"/>
      <c r="OF24" s="865"/>
      <c r="OG24" s="865"/>
      <c r="OH24" s="865"/>
      <c r="OI24" s="865"/>
      <c r="OJ24" s="865"/>
      <c r="OK24" s="865"/>
      <c r="OL24" s="865"/>
      <c r="OM24" s="865"/>
      <c r="ON24" s="865"/>
      <c r="OO24" s="865"/>
      <c r="OP24" s="865"/>
      <c r="OQ24" s="865"/>
      <c r="OR24" s="865"/>
      <c r="OS24" s="865"/>
      <c r="OT24" s="865"/>
      <c r="OU24" s="865"/>
      <c r="OV24" s="865"/>
      <c r="OW24" s="865"/>
      <c r="OX24" s="865"/>
      <c r="OY24" s="865"/>
      <c r="OZ24" s="865"/>
      <c r="PA24" s="865"/>
      <c r="PB24" s="865"/>
      <c r="PC24" s="865"/>
      <c r="PD24" s="865"/>
      <c r="PE24" s="865"/>
      <c r="PF24" s="865"/>
      <c r="PG24" s="865"/>
      <c r="PH24" s="865"/>
      <c r="PI24" s="865"/>
      <c r="PJ24" s="865"/>
      <c r="PK24" s="865"/>
      <c r="PL24" s="865"/>
      <c r="PM24" s="865"/>
      <c r="PN24" s="865"/>
      <c r="PO24" s="865"/>
    </row>
    <row r="25" spans="1:431" s="165" customFormat="1">
      <c r="A25" s="865"/>
      <c r="B25" s="865"/>
      <c r="C25" s="850"/>
      <c r="D25" s="850"/>
      <c r="E25" s="850"/>
      <c r="F25" s="850"/>
      <c r="G25" s="850"/>
      <c r="H25" s="850"/>
      <c r="I25" s="850"/>
      <c r="J25" s="850"/>
      <c r="K25" s="850"/>
      <c r="L25" s="850"/>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5"/>
      <c r="AL25" s="865"/>
      <c r="AM25" s="865"/>
      <c r="AN25" s="865"/>
      <c r="AO25" s="865"/>
      <c r="AP25" s="865"/>
      <c r="AQ25" s="865"/>
      <c r="AR25" s="865"/>
      <c r="AS25" s="865"/>
      <c r="AT25" s="865"/>
      <c r="AU25" s="865"/>
      <c r="AV25" s="865"/>
      <c r="AW25" s="865"/>
      <c r="AX25" s="865"/>
      <c r="AY25" s="865"/>
      <c r="AZ25" s="865"/>
      <c r="BA25" s="865"/>
      <c r="BB25" s="865"/>
      <c r="BC25" s="865"/>
      <c r="BD25" s="865"/>
      <c r="BE25" s="865"/>
      <c r="BF25" s="865"/>
      <c r="BG25" s="865"/>
      <c r="BH25" s="865"/>
      <c r="BI25" s="865"/>
      <c r="BJ25" s="865"/>
      <c r="BK25" s="865"/>
      <c r="BL25" s="865"/>
      <c r="BM25" s="865"/>
      <c r="BN25" s="865"/>
      <c r="BO25" s="865"/>
      <c r="BP25" s="865"/>
      <c r="BQ25" s="865"/>
      <c r="BR25" s="865"/>
      <c r="BS25" s="865"/>
      <c r="BT25" s="865"/>
      <c r="BU25" s="865"/>
      <c r="BV25" s="865"/>
      <c r="BW25" s="865"/>
      <c r="BX25" s="865"/>
      <c r="BY25" s="865"/>
      <c r="BZ25" s="865"/>
      <c r="CA25" s="865"/>
      <c r="CB25" s="865"/>
      <c r="CC25" s="865"/>
      <c r="CD25" s="865"/>
      <c r="CE25" s="865"/>
      <c r="CF25" s="865"/>
      <c r="CG25" s="865"/>
      <c r="CH25" s="865"/>
      <c r="CI25" s="865"/>
      <c r="CJ25" s="865"/>
      <c r="CK25" s="865"/>
      <c r="CL25" s="865"/>
      <c r="CM25" s="865"/>
      <c r="CN25" s="865"/>
      <c r="CO25" s="865"/>
      <c r="CP25" s="865"/>
      <c r="CQ25" s="865"/>
      <c r="CR25" s="865"/>
      <c r="CS25" s="865"/>
      <c r="CT25" s="865"/>
      <c r="CU25" s="865"/>
      <c r="CV25" s="865"/>
      <c r="CW25" s="865"/>
      <c r="CX25" s="865"/>
      <c r="CY25" s="865"/>
      <c r="CZ25" s="865"/>
      <c r="DA25" s="865"/>
      <c r="DB25" s="865"/>
      <c r="DC25" s="865"/>
      <c r="DD25" s="865"/>
      <c r="DE25" s="865"/>
      <c r="DF25" s="865"/>
      <c r="DG25" s="865"/>
      <c r="DH25" s="865"/>
      <c r="DI25" s="865"/>
      <c r="DJ25" s="865"/>
      <c r="DK25" s="865"/>
      <c r="DL25" s="865"/>
      <c r="DM25" s="865"/>
      <c r="DN25" s="865"/>
      <c r="DO25" s="865"/>
      <c r="DP25" s="865"/>
      <c r="DQ25" s="865"/>
      <c r="DR25" s="865"/>
      <c r="DS25" s="865"/>
      <c r="DT25" s="865"/>
      <c r="DU25" s="865"/>
      <c r="DV25" s="865"/>
      <c r="DW25" s="865"/>
      <c r="DX25" s="865"/>
      <c r="DY25" s="865"/>
      <c r="DZ25" s="865"/>
      <c r="EA25" s="865"/>
      <c r="EB25" s="865"/>
      <c r="EC25" s="865"/>
      <c r="ED25" s="865"/>
      <c r="EE25" s="865"/>
      <c r="EF25" s="865"/>
      <c r="EG25" s="865"/>
      <c r="EH25" s="865"/>
      <c r="EI25" s="865"/>
      <c r="EJ25" s="865"/>
      <c r="EK25" s="865"/>
      <c r="EL25" s="865"/>
      <c r="EM25" s="865"/>
      <c r="EN25" s="865"/>
      <c r="EO25" s="865"/>
      <c r="EP25" s="865"/>
      <c r="EQ25" s="865"/>
      <c r="ER25" s="865"/>
      <c r="ES25" s="865"/>
      <c r="ET25" s="865"/>
      <c r="EU25" s="865"/>
      <c r="EV25" s="865"/>
      <c r="EW25" s="865"/>
      <c r="EX25" s="865"/>
      <c r="EY25" s="865"/>
      <c r="EZ25" s="865"/>
      <c r="FA25" s="865"/>
      <c r="FB25" s="865"/>
      <c r="FC25" s="865"/>
      <c r="FD25" s="865"/>
      <c r="FE25" s="865"/>
      <c r="FF25" s="865"/>
      <c r="FG25" s="865"/>
      <c r="FH25" s="865"/>
      <c r="FI25" s="865"/>
      <c r="FJ25" s="865"/>
      <c r="FK25" s="865"/>
      <c r="FL25" s="865"/>
      <c r="FM25" s="865"/>
      <c r="FN25" s="865"/>
      <c r="FO25" s="865"/>
      <c r="FP25" s="865"/>
      <c r="FQ25" s="865"/>
      <c r="FR25" s="865"/>
      <c r="FS25" s="865"/>
      <c r="FT25" s="865"/>
      <c r="FU25" s="865"/>
      <c r="FV25" s="865"/>
      <c r="FW25" s="865"/>
      <c r="FX25" s="865"/>
      <c r="FY25" s="865"/>
      <c r="FZ25" s="865"/>
      <c r="GA25" s="865"/>
      <c r="GB25" s="865"/>
      <c r="GC25" s="865"/>
      <c r="GD25" s="865"/>
      <c r="GE25" s="865"/>
      <c r="GF25" s="865"/>
      <c r="GG25" s="865"/>
      <c r="GH25" s="865"/>
      <c r="GI25" s="865"/>
      <c r="GJ25" s="865"/>
      <c r="GK25" s="865"/>
      <c r="GL25" s="865"/>
      <c r="GM25" s="865"/>
      <c r="GN25" s="865"/>
      <c r="GO25" s="865"/>
      <c r="GP25" s="865"/>
      <c r="GQ25" s="865"/>
      <c r="GR25" s="865"/>
      <c r="GS25" s="865"/>
      <c r="GT25" s="865"/>
      <c r="GU25" s="865"/>
      <c r="GV25" s="865"/>
      <c r="GW25" s="865"/>
      <c r="GX25" s="865"/>
      <c r="GY25" s="865"/>
      <c r="GZ25" s="865"/>
      <c r="HA25" s="865"/>
      <c r="HB25" s="865"/>
      <c r="HC25" s="865"/>
      <c r="HD25" s="865"/>
      <c r="HE25" s="865"/>
      <c r="HF25" s="865"/>
      <c r="HG25" s="865"/>
      <c r="HH25" s="865"/>
      <c r="HI25" s="865"/>
      <c r="HJ25" s="865"/>
      <c r="HK25" s="865"/>
      <c r="HL25" s="865"/>
      <c r="HM25" s="865"/>
      <c r="HN25" s="865"/>
      <c r="HO25" s="865"/>
      <c r="HP25" s="865"/>
      <c r="HQ25" s="865"/>
      <c r="HR25" s="865"/>
      <c r="HS25" s="865"/>
      <c r="HT25" s="865"/>
      <c r="HU25" s="865"/>
      <c r="HV25" s="865"/>
      <c r="HW25" s="865"/>
      <c r="HX25" s="865"/>
      <c r="HY25" s="865"/>
      <c r="HZ25" s="865"/>
      <c r="IA25" s="865"/>
      <c r="IB25" s="865"/>
      <c r="IC25" s="865"/>
      <c r="ID25" s="865"/>
      <c r="IE25" s="865"/>
      <c r="IF25" s="865"/>
      <c r="IG25" s="865"/>
      <c r="IH25" s="865"/>
      <c r="II25" s="865"/>
      <c r="IJ25" s="865"/>
      <c r="IK25" s="865"/>
      <c r="IL25" s="865"/>
      <c r="IM25" s="865"/>
      <c r="IN25" s="865"/>
      <c r="IO25" s="865"/>
      <c r="IP25" s="865"/>
      <c r="IQ25" s="865"/>
      <c r="IR25" s="865"/>
      <c r="IS25" s="865"/>
      <c r="IT25" s="865"/>
      <c r="IU25" s="865"/>
      <c r="IV25" s="865"/>
      <c r="IW25" s="865"/>
      <c r="IX25" s="865"/>
      <c r="IY25" s="865"/>
      <c r="IZ25" s="865"/>
      <c r="JA25" s="865"/>
      <c r="JB25" s="865"/>
      <c r="JC25" s="865"/>
      <c r="JD25" s="865"/>
      <c r="JE25" s="865"/>
      <c r="JF25" s="865"/>
      <c r="JG25" s="865"/>
      <c r="JH25" s="865"/>
      <c r="JI25" s="865"/>
      <c r="JJ25" s="865"/>
      <c r="JK25" s="865"/>
      <c r="JL25" s="865"/>
      <c r="JM25" s="865"/>
      <c r="JN25" s="865"/>
      <c r="JO25" s="865"/>
      <c r="JP25" s="865"/>
      <c r="JQ25" s="865"/>
      <c r="JR25" s="865"/>
      <c r="JS25" s="865"/>
      <c r="JT25" s="865"/>
      <c r="JU25" s="865"/>
      <c r="JV25" s="865"/>
      <c r="JW25" s="865"/>
      <c r="JX25" s="865"/>
      <c r="JY25" s="865"/>
      <c r="JZ25" s="865"/>
      <c r="KA25" s="865"/>
      <c r="KB25" s="865"/>
      <c r="KC25" s="865"/>
      <c r="KD25" s="865"/>
      <c r="KE25" s="865"/>
      <c r="KF25" s="865"/>
      <c r="KG25" s="865"/>
      <c r="KH25" s="865"/>
      <c r="KI25" s="865"/>
      <c r="KJ25" s="865"/>
      <c r="KK25" s="865"/>
      <c r="KL25" s="865"/>
      <c r="KM25" s="865"/>
      <c r="KN25" s="865"/>
      <c r="KO25" s="865"/>
      <c r="KP25" s="865"/>
      <c r="KQ25" s="865"/>
      <c r="KR25" s="865"/>
      <c r="KS25" s="865"/>
      <c r="KT25" s="865"/>
      <c r="KU25" s="865"/>
      <c r="KV25" s="865"/>
      <c r="KW25" s="865"/>
      <c r="KX25" s="865"/>
      <c r="KY25" s="865"/>
      <c r="KZ25" s="865"/>
      <c r="LA25" s="865"/>
      <c r="LB25" s="865"/>
      <c r="LC25" s="865"/>
      <c r="LD25" s="865"/>
      <c r="LE25" s="865"/>
      <c r="LF25" s="865"/>
      <c r="LG25" s="865"/>
      <c r="LH25" s="865"/>
      <c r="LI25" s="865"/>
      <c r="LJ25" s="865"/>
      <c r="LK25" s="865"/>
      <c r="LL25" s="865"/>
      <c r="LM25" s="865"/>
      <c r="LN25" s="865"/>
      <c r="LO25" s="865"/>
      <c r="LP25" s="865"/>
      <c r="LQ25" s="865"/>
      <c r="LR25" s="865"/>
      <c r="LS25" s="865"/>
      <c r="LT25" s="865"/>
      <c r="LU25" s="865"/>
      <c r="LV25" s="865"/>
      <c r="LW25" s="865"/>
      <c r="LX25" s="865"/>
      <c r="LY25" s="865"/>
      <c r="LZ25" s="865"/>
      <c r="MA25" s="865"/>
      <c r="MB25" s="865"/>
      <c r="MC25" s="865"/>
      <c r="MD25" s="865"/>
      <c r="ME25" s="865"/>
      <c r="MF25" s="865"/>
      <c r="MG25" s="865"/>
      <c r="MH25" s="865"/>
      <c r="MI25" s="865"/>
      <c r="MJ25" s="865"/>
      <c r="MK25" s="865"/>
      <c r="ML25" s="865"/>
      <c r="MM25" s="865"/>
      <c r="MN25" s="865"/>
      <c r="MO25" s="865"/>
      <c r="MP25" s="865"/>
      <c r="MQ25" s="865"/>
      <c r="MR25" s="865"/>
      <c r="MS25" s="865"/>
      <c r="MT25" s="865"/>
      <c r="MU25" s="865"/>
      <c r="MV25" s="865"/>
      <c r="MW25" s="865"/>
      <c r="MX25" s="865"/>
      <c r="MY25" s="865"/>
      <c r="MZ25" s="865"/>
      <c r="NA25" s="865"/>
      <c r="NB25" s="865"/>
      <c r="NC25" s="865"/>
      <c r="ND25" s="865"/>
      <c r="NE25" s="865"/>
      <c r="NF25" s="865"/>
      <c r="NG25" s="865"/>
      <c r="NH25" s="865"/>
      <c r="NI25" s="865"/>
      <c r="NJ25" s="865"/>
      <c r="NK25" s="865"/>
      <c r="NL25" s="865"/>
      <c r="NM25" s="865"/>
      <c r="NN25" s="865"/>
      <c r="NO25" s="865"/>
      <c r="NP25" s="865"/>
      <c r="NQ25" s="865"/>
      <c r="NR25" s="865"/>
      <c r="NS25" s="865"/>
      <c r="NT25" s="865"/>
      <c r="NU25" s="865"/>
      <c r="NV25" s="865"/>
      <c r="NW25" s="865"/>
      <c r="NX25" s="865"/>
      <c r="NY25" s="865"/>
      <c r="NZ25" s="865"/>
      <c r="OA25" s="865"/>
      <c r="OB25" s="865"/>
      <c r="OC25" s="865"/>
      <c r="OD25" s="865"/>
      <c r="OE25" s="865"/>
      <c r="OF25" s="865"/>
      <c r="OG25" s="865"/>
      <c r="OH25" s="865"/>
      <c r="OI25" s="865"/>
      <c r="OJ25" s="865"/>
      <c r="OK25" s="865"/>
      <c r="OL25" s="865"/>
      <c r="OM25" s="865"/>
      <c r="ON25" s="865"/>
      <c r="OO25" s="865"/>
      <c r="OP25" s="865"/>
      <c r="OQ25" s="865"/>
      <c r="OR25" s="865"/>
      <c r="OS25" s="865"/>
      <c r="OT25" s="865"/>
      <c r="OU25" s="865"/>
      <c r="OV25" s="865"/>
      <c r="OW25" s="865"/>
      <c r="OX25" s="865"/>
      <c r="OY25" s="865"/>
      <c r="OZ25" s="865"/>
      <c r="PA25" s="865"/>
      <c r="PB25" s="865"/>
      <c r="PC25" s="865"/>
      <c r="PD25" s="865"/>
      <c r="PE25" s="865"/>
      <c r="PF25" s="865"/>
      <c r="PG25" s="865"/>
      <c r="PH25" s="865"/>
      <c r="PI25" s="865"/>
      <c r="PJ25" s="865"/>
      <c r="PK25" s="865"/>
      <c r="PL25" s="865"/>
      <c r="PM25" s="865"/>
      <c r="PN25" s="865"/>
      <c r="PO25" s="865"/>
    </row>
    <row r="26" spans="1:431" s="165" customFormat="1">
      <c r="A26" s="865"/>
      <c r="B26" s="865"/>
      <c r="C26" s="850"/>
      <c r="D26" s="850"/>
      <c r="E26" s="850"/>
      <c r="F26" s="850"/>
      <c r="G26" s="850"/>
      <c r="H26" s="850"/>
      <c r="I26" s="850"/>
      <c r="J26" s="850"/>
      <c r="K26" s="850"/>
      <c r="L26" s="850"/>
      <c r="M26" s="865"/>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5"/>
      <c r="AL26" s="865"/>
      <c r="AM26" s="865"/>
      <c r="AN26" s="865"/>
      <c r="AO26" s="865"/>
      <c r="AP26" s="865"/>
      <c r="AQ26" s="865"/>
      <c r="AR26" s="865"/>
      <c r="AS26" s="865"/>
      <c r="AT26" s="865"/>
      <c r="AU26" s="865"/>
      <c r="AV26" s="865"/>
      <c r="AW26" s="865"/>
      <c r="AX26" s="865"/>
      <c r="AY26" s="865"/>
      <c r="AZ26" s="865"/>
      <c r="BA26" s="865"/>
      <c r="BB26" s="865"/>
      <c r="BC26" s="865"/>
      <c r="BD26" s="865"/>
      <c r="BE26" s="865"/>
      <c r="BF26" s="865"/>
      <c r="BG26" s="865"/>
      <c r="BH26" s="865"/>
      <c r="BI26" s="865"/>
      <c r="BJ26" s="865"/>
      <c r="BK26" s="865"/>
      <c r="BL26" s="865"/>
      <c r="BM26" s="865"/>
      <c r="BN26" s="865"/>
      <c r="BO26" s="865"/>
      <c r="BP26" s="865"/>
      <c r="BQ26" s="865"/>
      <c r="BR26" s="865"/>
      <c r="BS26" s="865"/>
      <c r="BT26" s="865"/>
      <c r="BU26" s="865"/>
      <c r="BV26" s="865"/>
      <c r="BW26" s="865"/>
      <c r="BX26" s="865"/>
      <c r="BY26" s="865"/>
      <c r="BZ26" s="865"/>
      <c r="CA26" s="865"/>
      <c r="CB26" s="865"/>
      <c r="CC26" s="865"/>
      <c r="CD26" s="865"/>
      <c r="CE26" s="865"/>
      <c r="CF26" s="865"/>
      <c r="CG26" s="865"/>
      <c r="CH26" s="865"/>
      <c r="CI26" s="865"/>
      <c r="CJ26" s="865"/>
      <c r="CK26" s="865"/>
      <c r="CL26" s="865"/>
      <c r="CM26" s="865"/>
      <c r="CN26" s="865"/>
      <c r="CO26" s="865"/>
      <c r="CP26" s="865"/>
      <c r="CQ26" s="865"/>
      <c r="CR26" s="865"/>
      <c r="CS26" s="865"/>
      <c r="CT26" s="865"/>
      <c r="CU26" s="865"/>
      <c r="CV26" s="865"/>
      <c r="CW26" s="865"/>
      <c r="CX26" s="865"/>
      <c r="CY26" s="865"/>
      <c r="CZ26" s="865"/>
      <c r="DA26" s="865"/>
      <c r="DB26" s="865"/>
      <c r="DC26" s="865"/>
      <c r="DD26" s="865"/>
      <c r="DE26" s="865"/>
      <c r="DF26" s="865"/>
      <c r="DG26" s="865"/>
      <c r="DH26" s="865"/>
      <c r="DI26" s="865"/>
      <c r="DJ26" s="865"/>
      <c r="DK26" s="865"/>
      <c r="DL26" s="865"/>
      <c r="DM26" s="865"/>
      <c r="DN26" s="865"/>
      <c r="DO26" s="865"/>
      <c r="DP26" s="865"/>
      <c r="DQ26" s="865"/>
      <c r="DR26" s="865"/>
      <c r="DS26" s="865"/>
      <c r="DT26" s="865"/>
      <c r="DU26" s="865"/>
      <c r="DV26" s="865"/>
      <c r="DW26" s="865"/>
      <c r="DX26" s="865"/>
      <c r="DY26" s="865"/>
      <c r="DZ26" s="865"/>
      <c r="EA26" s="865"/>
      <c r="EB26" s="865"/>
      <c r="EC26" s="865"/>
      <c r="ED26" s="865"/>
      <c r="EE26" s="865"/>
      <c r="EF26" s="865"/>
      <c r="EG26" s="865"/>
      <c r="EH26" s="865"/>
      <c r="EI26" s="865"/>
      <c r="EJ26" s="865"/>
      <c r="EK26" s="865"/>
      <c r="EL26" s="865"/>
      <c r="EM26" s="865"/>
      <c r="EN26" s="865"/>
      <c r="EO26" s="865"/>
      <c r="EP26" s="865"/>
      <c r="EQ26" s="865"/>
      <c r="ER26" s="865"/>
      <c r="ES26" s="865"/>
      <c r="ET26" s="865"/>
      <c r="EU26" s="865"/>
      <c r="EV26" s="865"/>
      <c r="EW26" s="865"/>
      <c r="EX26" s="865"/>
      <c r="EY26" s="865"/>
      <c r="EZ26" s="865"/>
      <c r="FA26" s="865"/>
      <c r="FB26" s="865"/>
      <c r="FC26" s="865"/>
      <c r="FD26" s="865"/>
      <c r="FE26" s="865"/>
      <c r="FF26" s="865"/>
      <c r="FG26" s="865"/>
      <c r="FH26" s="865"/>
      <c r="FI26" s="865"/>
      <c r="FJ26" s="865"/>
      <c r="FK26" s="865"/>
      <c r="FL26" s="865"/>
      <c r="FM26" s="865"/>
      <c r="FN26" s="865"/>
      <c r="FO26" s="865"/>
      <c r="FP26" s="865"/>
      <c r="FQ26" s="865"/>
      <c r="FR26" s="865"/>
      <c r="FS26" s="865"/>
      <c r="FT26" s="865"/>
      <c r="FU26" s="865"/>
      <c r="FV26" s="865"/>
      <c r="FW26" s="865"/>
      <c r="FX26" s="865"/>
      <c r="FY26" s="865"/>
      <c r="FZ26" s="865"/>
      <c r="GA26" s="865"/>
      <c r="GB26" s="865"/>
      <c r="GC26" s="865"/>
      <c r="GD26" s="865"/>
      <c r="GE26" s="865"/>
      <c r="GF26" s="865"/>
      <c r="GG26" s="865"/>
      <c r="GH26" s="865"/>
      <c r="GI26" s="865"/>
      <c r="GJ26" s="865"/>
      <c r="GK26" s="865"/>
      <c r="GL26" s="865"/>
      <c r="GM26" s="865"/>
      <c r="GN26" s="865"/>
      <c r="GO26" s="865"/>
      <c r="GP26" s="865"/>
      <c r="GQ26" s="865"/>
      <c r="GR26" s="865"/>
      <c r="GS26" s="865"/>
      <c r="GT26" s="865"/>
      <c r="GU26" s="865"/>
      <c r="GV26" s="865"/>
      <c r="GW26" s="865"/>
      <c r="GX26" s="865"/>
      <c r="GY26" s="865"/>
      <c r="GZ26" s="865"/>
      <c r="HA26" s="865"/>
      <c r="HB26" s="865"/>
      <c r="HC26" s="865"/>
      <c r="HD26" s="865"/>
      <c r="HE26" s="865"/>
      <c r="HF26" s="865"/>
      <c r="HG26" s="865"/>
      <c r="HH26" s="865"/>
      <c r="HI26" s="865"/>
      <c r="HJ26" s="865"/>
      <c r="HK26" s="865"/>
      <c r="HL26" s="865"/>
      <c r="HM26" s="865"/>
      <c r="HN26" s="865"/>
      <c r="HO26" s="865"/>
      <c r="HP26" s="865"/>
      <c r="HQ26" s="865"/>
      <c r="HR26" s="865"/>
      <c r="HS26" s="865"/>
      <c r="HT26" s="865"/>
      <c r="HU26" s="865"/>
      <c r="HV26" s="865"/>
      <c r="HW26" s="865"/>
      <c r="HX26" s="865"/>
      <c r="HY26" s="865"/>
      <c r="HZ26" s="865"/>
      <c r="IA26" s="865"/>
      <c r="IB26" s="865"/>
      <c r="IC26" s="865"/>
      <c r="ID26" s="865"/>
      <c r="IE26" s="865"/>
      <c r="IF26" s="865"/>
      <c r="IG26" s="865"/>
      <c r="IH26" s="865"/>
      <c r="II26" s="865"/>
      <c r="IJ26" s="865"/>
      <c r="IK26" s="865"/>
      <c r="IL26" s="865"/>
      <c r="IM26" s="865"/>
      <c r="IN26" s="865"/>
      <c r="IO26" s="865"/>
      <c r="IP26" s="865"/>
      <c r="IQ26" s="865"/>
      <c r="IR26" s="865"/>
      <c r="IS26" s="865"/>
      <c r="IT26" s="865"/>
      <c r="IU26" s="865"/>
      <c r="IV26" s="865"/>
      <c r="IW26" s="865"/>
      <c r="IX26" s="865"/>
      <c r="IY26" s="865"/>
      <c r="IZ26" s="865"/>
      <c r="JA26" s="865"/>
      <c r="JB26" s="865"/>
      <c r="JC26" s="865"/>
      <c r="JD26" s="865"/>
      <c r="JE26" s="865"/>
      <c r="JF26" s="865"/>
      <c r="JG26" s="865"/>
      <c r="JH26" s="865"/>
      <c r="JI26" s="865"/>
      <c r="JJ26" s="865"/>
      <c r="JK26" s="865"/>
      <c r="JL26" s="865"/>
      <c r="JM26" s="865"/>
      <c r="JN26" s="865"/>
      <c r="JO26" s="865"/>
      <c r="JP26" s="865"/>
      <c r="JQ26" s="865"/>
      <c r="JR26" s="865"/>
      <c r="JS26" s="865"/>
      <c r="JT26" s="865"/>
      <c r="JU26" s="865"/>
      <c r="JV26" s="865"/>
      <c r="JW26" s="865"/>
      <c r="JX26" s="865"/>
      <c r="JY26" s="865"/>
      <c r="JZ26" s="865"/>
      <c r="KA26" s="865"/>
      <c r="KB26" s="865"/>
      <c r="KC26" s="865"/>
      <c r="KD26" s="865"/>
      <c r="KE26" s="865"/>
      <c r="KF26" s="865"/>
      <c r="KG26" s="865"/>
      <c r="KH26" s="865"/>
      <c r="KI26" s="865"/>
      <c r="KJ26" s="865"/>
      <c r="KK26" s="865"/>
      <c r="KL26" s="865"/>
      <c r="KM26" s="865"/>
      <c r="KN26" s="865"/>
      <c r="KO26" s="865"/>
      <c r="KP26" s="865"/>
      <c r="KQ26" s="865"/>
      <c r="KR26" s="865"/>
      <c r="KS26" s="865"/>
      <c r="KT26" s="865"/>
      <c r="KU26" s="865"/>
      <c r="KV26" s="865"/>
      <c r="KW26" s="865"/>
      <c r="KX26" s="865"/>
      <c r="KY26" s="865"/>
      <c r="KZ26" s="865"/>
      <c r="LA26" s="865"/>
      <c r="LB26" s="865"/>
      <c r="LC26" s="865"/>
      <c r="LD26" s="865"/>
      <c r="LE26" s="865"/>
      <c r="LF26" s="865"/>
      <c r="LG26" s="865"/>
      <c r="LH26" s="865"/>
      <c r="LI26" s="865"/>
      <c r="LJ26" s="865"/>
      <c r="LK26" s="865"/>
      <c r="LL26" s="865"/>
      <c r="LM26" s="865"/>
      <c r="LN26" s="865"/>
      <c r="LO26" s="865"/>
      <c r="LP26" s="865"/>
      <c r="LQ26" s="865"/>
      <c r="LR26" s="865"/>
      <c r="LS26" s="865"/>
      <c r="LT26" s="865"/>
      <c r="LU26" s="865"/>
      <c r="LV26" s="865"/>
      <c r="LW26" s="865"/>
      <c r="LX26" s="865"/>
      <c r="LY26" s="865"/>
      <c r="LZ26" s="865"/>
      <c r="MA26" s="865"/>
      <c r="MB26" s="865"/>
      <c r="MC26" s="865"/>
      <c r="MD26" s="865"/>
      <c r="ME26" s="865"/>
      <c r="MF26" s="865"/>
      <c r="MG26" s="865"/>
      <c r="MH26" s="865"/>
      <c r="MI26" s="865"/>
      <c r="MJ26" s="865"/>
      <c r="MK26" s="865"/>
      <c r="ML26" s="865"/>
      <c r="MM26" s="865"/>
      <c r="MN26" s="865"/>
      <c r="MO26" s="865"/>
      <c r="MP26" s="865"/>
      <c r="MQ26" s="865"/>
      <c r="MR26" s="865"/>
      <c r="MS26" s="865"/>
      <c r="MT26" s="865"/>
      <c r="MU26" s="865"/>
      <c r="MV26" s="865"/>
      <c r="MW26" s="865"/>
      <c r="MX26" s="865"/>
      <c r="MY26" s="865"/>
      <c r="MZ26" s="865"/>
      <c r="NA26" s="865"/>
      <c r="NB26" s="865"/>
      <c r="NC26" s="865"/>
      <c r="ND26" s="865"/>
      <c r="NE26" s="865"/>
      <c r="NF26" s="865"/>
      <c r="NG26" s="865"/>
      <c r="NH26" s="865"/>
      <c r="NI26" s="865"/>
      <c r="NJ26" s="865"/>
      <c r="NK26" s="865"/>
      <c r="NL26" s="865"/>
      <c r="NM26" s="865"/>
      <c r="NN26" s="865"/>
      <c r="NO26" s="865"/>
      <c r="NP26" s="865"/>
      <c r="NQ26" s="865"/>
      <c r="NR26" s="865"/>
      <c r="NS26" s="865"/>
      <c r="NT26" s="865"/>
      <c r="NU26" s="865"/>
      <c r="NV26" s="865"/>
      <c r="NW26" s="865"/>
      <c r="NX26" s="865"/>
      <c r="NY26" s="865"/>
      <c r="NZ26" s="865"/>
      <c r="OA26" s="865"/>
      <c r="OB26" s="865"/>
      <c r="OC26" s="865"/>
      <c r="OD26" s="865"/>
      <c r="OE26" s="865"/>
      <c r="OF26" s="865"/>
      <c r="OG26" s="865"/>
      <c r="OH26" s="865"/>
      <c r="OI26" s="865"/>
      <c r="OJ26" s="865"/>
      <c r="OK26" s="865"/>
      <c r="OL26" s="865"/>
      <c r="OM26" s="865"/>
      <c r="ON26" s="865"/>
      <c r="OO26" s="865"/>
      <c r="OP26" s="865"/>
      <c r="OQ26" s="865"/>
      <c r="OR26" s="865"/>
      <c r="OS26" s="865"/>
      <c r="OT26" s="865"/>
      <c r="OU26" s="865"/>
      <c r="OV26" s="865"/>
      <c r="OW26" s="865"/>
      <c r="OX26" s="865"/>
      <c r="OY26" s="865"/>
      <c r="OZ26" s="865"/>
      <c r="PA26" s="865"/>
      <c r="PB26" s="865"/>
      <c r="PC26" s="865"/>
      <c r="PD26" s="865"/>
      <c r="PE26" s="865"/>
      <c r="PF26" s="865"/>
      <c r="PG26" s="865"/>
      <c r="PH26" s="865"/>
      <c r="PI26" s="865"/>
      <c r="PJ26" s="865"/>
      <c r="PK26" s="865"/>
      <c r="PL26" s="865"/>
      <c r="PM26" s="865"/>
      <c r="PN26" s="865"/>
      <c r="PO26" s="865"/>
    </row>
    <row r="27" spans="1:431" s="165" customFormat="1">
      <c r="A27" s="865"/>
      <c r="B27" s="865"/>
      <c r="C27" s="850"/>
      <c r="D27" s="850"/>
      <c r="E27" s="850"/>
      <c r="F27" s="850"/>
      <c r="G27" s="850"/>
      <c r="H27" s="850"/>
      <c r="I27" s="850"/>
      <c r="J27" s="850"/>
      <c r="K27" s="850"/>
      <c r="L27" s="850"/>
      <c r="M27" s="865"/>
      <c r="N27" s="865"/>
      <c r="O27" s="865"/>
      <c r="P27" s="865"/>
      <c r="Q27" s="865"/>
      <c r="R27" s="865"/>
      <c r="S27" s="865"/>
      <c r="T27" s="865"/>
      <c r="U27" s="865"/>
      <c r="V27" s="865"/>
      <c r="W27" s="865"/>
      <c r="X27" s="865"/>
      <c r="Y27" s="865"/>
      <c r="Z27" s="865"/>
      <c r="AA27" s="865"/>
      <c r="AB27" s="865"/>
      <c r="AC27" s="865"/>
      <c r="AD27" s="865"/>
      <c r="AE27" s="865"/>
      <c r="AF27" s="865"/>
      <c r="AG27" s="865"/>
      <c r="AH27" s="865"/>
      <c r="AI27" s="865"/>
      <c r="AJ27" s="865"/>
      <c r="AK27" s="865"/>
      <c r="AL27" s="865"/>
      <c r="AM27" s="865"/>
      <c r="AN27" s="865"/>
      <c r="AO27" s="865"/>
      <c r="AP27" s="865"/>
      <c r="AQ27" s="865"/>
      <c r="AR27" s="865"/>
      <c r="AS27" s="865"/>
      <c r="AT27" s="865"/>
      <c r="AU27" s="865"/>
      <c r="AV27" s="865"/>
      <c r="AW27" s="865"/>
      <c r="AX27" s="865"/>
      <c r="AY27" s="865"/>
      <c r="AZ27" s="865"/>
      <c r="BA27" s="865"/>
      <c r="BB27" s="865"/>
      <c r="BC27" s="865"/>
      <c r="BD27" s="865"/>
      <c r="BE27" s="865"/>
      <c r="BF27" s="865"/>
      <c r="BG27" s="865"/>
      <c r="BH27" s="865"/>
      <c r="BI27" s="865"/>
      <c r="BJ27" s="865"/>
      <c r="BK27" s="865"/>
      <c r="BL27" s="865"/>
      <c r="BM27" s="865"/>
      <c r="BN27" s="865"/>
      <c r="BO27" s="865"/>
      <c r="BP27" s="865"/>
      <c r="BQ27" s="865"/>
      <c r="BR27" s="865"/>
      <c r="BS27" s="865"/>
      <c r="BT27" s="865"/>
      <c r="BU27" s="865"/>
      <c r="BV27" s="865"/>
      <c r="BW27" s="865"/>
      <c r="BX27" s="865"/>
      <c r="BY27" s="865"/>
      <c r="BZ27" s="865"/>
      <c r="CA27" s="865"/>
      <c r="CB27" s="865"/>
      <c r="CC27" s="865"/>
      <c r="CD27" s="865"/>
      <c r="CE27" s="865"/>
      <c r="CF27" s="865"/>
      <c r="CG27" s="865"/>
      <c r="CH27" s="865"/>
      <c r="CI27" s="865"/>
      <c r="CJ27" s="865"/>
      <c r="CK27" s="865"/>
      <c r="CL27" s="865"/>
      <c r="CM27" s="865"/>
      <c r="CN27" s="865"/>
      <c r="CO27" s="865"/>
      <c r="CP27" s="865"/>
      <c r="CQ27" s="865"/>
      <c r="CR27" s="865"/>
      <c r="CS27" s="865"/>
      <c r="CT27" s="865"/>
      <c r="CU27" s="865"/>
      <c r="CV27" s="865"/>
      <c r="CW27" s="865"/>
      <c r="CX27" s="865"/>
      <c r="CY27" s="865"/>
      <c r="CZ27" s="865"/>
      <c r="DA27" s="865"/>
      <c r="DB27" s="865"/>
      <c r="DC27" s="865"/>
      <c r="DD27" s="865"/>
      <c r="DE27" s="865"/>
      <c r="DF27" s="865"/>
      <c r="DG27" s="865"/>
      <c r="DH27" s="865"/>
      <c r="DI27" s="865"/>
      <c r="DJ27" s="865"/>
      <c r="DK27" s="865"/>
      <c r="DL27" s="865"/>
      <c r="DM27" s="865"/>
      <c r="DN27" s="865"/>
      <c r="DO27" s="865"/>
      <c r="DP27" s="865"/>
      <c r="DQ27" s="865"/>
      <c r="DR27" s="865"/>
      <c r="DS27" s="865"/>
      <c r="DT27" s="865"/>
      <c r="DU27" s="865"/>
      <c r="DV27" s="865"/>
      <c r="DW27" s="865"/>
      <c r="DX27" s="865"/>
      <c r="DY27" s="865"/>
      <c r="DZ27" s="865"/>
      <c r="EA27" s="865"/>
      <c r="EB27" s="865"/>
      <c r="EC27" s="865"/>
      <c r="ED27" s="865"/>
      <c r="EE27" s="865"/>
      <c r="EF27" s="865"/>
      <c r="EG27" s="865"/>
      <c r="EH27" s="865"/>
      <c r="EI27" s="865"/>
      <c r="EJ27" s="865"/>
      <c r="EK27" s="865"/>
      <c r="EL27" s="865"/>
      <c r="EM27" s="865"/>
      <c r="EN27" s="865"/>
      <c r="EO27" s="865"/>
      <c r="EP27" s="865"/>
      <c r="EQ27" s="865"/>
      <c r="ER27" s="865"/>
      <c r="ES27" s="865"/>
      <c r="ET27" s="865"/>
      <c r="EU27" s="865"/>
      <c r="EV27" s="865"/>
      <c r="EW27" s="865"/>
      <c r="EX27" s="865"/>
      <c r="EY27" s="865"/>
      <c r="EZ27" s="865"/>
      <c r="FA27" s="865"/>
      <c r="FB27" s="865"/>
      <c r="FC27" s="865"/>
      <c r="FD27" s="865"/>
      <c r="FE27" s="865"/>
      <c r="FF27" s="865"/>
      <c r="FG27" s="865"/>
      <c r="FH27" s="865"/>
      <c r="FI27" s="865"/>
      <c r="FJ27" s="865"/>
      <c r="FK27" s="865"/>
      <c r="FL27" s="865"/>
      <c r="FM27" s="865"/>
      <c r="FN27" s="865"/>
      <c r="FO27" s="865"/>
      <c r="FP27" s="865"/>
      <c r="FQ27" s="865"/>
      <c r="FR27" s="865"/>
      <c r="FS27" s="865"/>
      <c r="FT27" s="865"/>
      <c r="FU27" s="865"/>
      <c r="FV27" s="865"/>
      <c r="FW27" s="865"/>
      <c r="FX27" s="865"/>
      <c r="FY27" s="865"/>
      <c r="FZ27" s="865"/>
      <c r="GA27" s="865"/>
      <c r="GB27" s="865"/>
      <c r="GC27" s="865"/>
      <c r="GD27" s="865"/>
      <c r="GE27" s="865"/>
      <c r="GF27" s="865"/>
      <c r="GG27" s="865"/>
      <c r="GH27" s="865"/>
      <c r="GI27" s="865"/>
      <c r="GJ27" s="865"/>
      <c r="GK27" s="865"/>
      <c r="GL27" s="865"/>
      <c r="GM27" s="865"/>
      <c r="GN27" s="865"/>
      <c r="GO27" s="865"/>
      <c r="GP27" s="865"/>
      <c r="GQ27" s="865"/>
      <c r="GR27" s="865"/>
      <c r="GS27" s="865"/>
      <c r="GT27" s="865"/>
      <c r="GU27" s="865"/>
      <c r="GV27" s="865"/>
      <c r="GW27" s="865"/>
      <c r="GX27" s="865"/>
      <c r="GY27" s="865"/>
      <c r="GZ27" s="865"/>
      <c r="HA27" s="865"/>
      <c r="HB27" s="865"/>
      <c r="HC27" s="865"/>
      <c r="HD27" s="865"/>
      <c r="HE27" s="865"/>
      <c r="HF27" s="865"/>
      <c r="HG27" s="865"/>
      <c r="HH27" s="865"/>
      <c r="HI27" s="865"/>
      <c r="HJ27" s="865"/>
      <c r="HK27" s="865"/>
      <c r="HL27" s="865"/>
      <c r="HM27" s="865"/>
      <c r="HN27" s="865"/>
      <c r="HO27" s="865"/>
      <c r="HP27" s="865"/>
      <c r="HQ27" s="865"/>
      <c r="HR27" s="865"/>
      <c r="HS27" s="865"/>
      <c r="HT27" s="865"/>
      <c r="HU27" s="865"/>
      <c r="HV27" s="865"/>
      <c r="HW27" s="865"/>
      <c r="HX27" s="865"/>
      <c r="HY27" s="865"/>
      <c r="HZ27" s="865"/>
      <c r="IA27" s="865"/>
      <c r="IB27" s="865"/>
      <c r="IC27" s="865"/>
      <c r="ID27" s="865"/>
      <c r="IE27" s="865"/>
      <c r="IF27" s="865"/>
      <c r="IG27" s="865"/>
      <c r="IH27" s="865"/>
      <c r="II27" s="865"/>
      <c r="IJ27" s="865"/>
      <c r="IK27" s="865"/>
      <c r="IL27" s="865"/>
      <c r="IM27" s="865"/>
      <c r="IN27" s="865"/>
      <c r="IO27" s="865"/>
      <c r="IP27" s="865"/>
      <c r="IQ27" s="865"/>
      <c r="IR27" s="865"/>
      <c r="IS27" s="865"/>
      <c r="IT27" s="865"/>
      <c r="IU27" s="865"/>
      <c r="IV27" s="865"/>
      <c r="IW27" s="865"/>
      <c r="IX27" s="865"/>
      <c r="IY27" s="865"/>
      <c r="IZ27" s="865"/>
      <c r="JA27" s="865"/>
      <c r="JB27" s="865"/>
      <c r="JC27" s="865"/>
      <c r="JD27" s="865"/>
      <c r="JE27" s="865"/>
      <c r="JF27" s="865"/>
      <c r="JG27" s="865"/>
      <c r="JH27" s="865"/>
      <c r="JI27" s="865"/>
      <c r="JJ27" s="865"/>
      <c r="JK27" s="865"/>
      <c r="JL27" s="865"/>
      <c r="JM27" s="865"/>
      <c r="JN27" s="865"/>
      <c r="JO27" s="865"/>
      <c r="JP27" s="865"/>
      <c r="JQ27" s="865"/>
      <c r="JR27" s="865"/>
      <c r="JS27" s="865"/>
      <c r="JT27" s="865"/>
      <c r="JU27" s="865"/>
      <c r="JV27" s="865"/>
      <c r="JW27" s="865"/>
      <c r="JX27" s="865"/>
      <c r="JY27" s="865"/>
      <c r="JZ27" s="865"/>
      <c r="KA27" s="865"/>
      <c r="KB27" s="865"/>
      <c r="KC27" s="865"/>
      <c r="KD27" s="865"/>
      <c r="KE27" s="865"/>
      <c r="KF27" s="865"/>
      <c r="KG27" s="865"/>
      <c r="KH27" s="865"/>
      <c r="KI27" s="865"/>
      <c r="KJ27" s="865"/>
      <c r="KK27" s="865"/>
      <c r="KL27" s="865"/>
      <c r="KM27" s="865"/>
      <c r="KN27" s="865"/>
      <c r="KO27" s="865"/>
      <c r="KP27" s="865"/>
      <c r="KQ27" s="865"/>
      <c r="KR27" s="865"/>
      <c r="KS27" s="865"/>
      <c r="KT27" s="865"/>
      <c r="KU27" s="865"/>
      <c r="KV27" s="865"/>
      <c r="KW27" s="865"/>
      <c r="KX27" s="865"/>
      <c r="KY27" s="865"/>
      <c r="KZ27" s="865"/>
      <c r="LA27" s="865"/>
      <c r="LB27" s="865"/>
      <c r="LC27" s="865"/>
      <c r="LD27" s="865"/>
      <c r="LE27" s="865"/>
      <c r="LF27" s="865"/>
      <c r="LG27" s="865"/>
      <c r="LH27" s="865"/>
      <c r="LI27" s="865"/>
      <c r="LJ27" s="865"/>
      <c r="LK27" s="865"/>
      <c r="LL27" s="865"/>
      <c r="LM27" s="865"/>
      <c r="LN27" s="865"/>
      <c r="LO27" s="865"/>
      <c r="LP27" s="865"/>
      <c r="LQ27" s="865"/>
      <c r="LR27" s="865"/>
      <c r="LS27" s="865"/>
      <c r="LT27" s="865"/>
      <c r="LU27" s="865"/>
      <c r="LV27" s="865"/>
      <c r="LW27" s="865"/>
      <c r="LX27" s="865"/>
      <c r="LY27" s="865"/>
      <c r="LZ27" s="865"/>
      <c r="MA27" s="865"/>
      <c r="MB27" s="865"/>
      <c r="MC27" s="865"/>
      <c r="MD27" s="865"/>
      <c r="ME27" s="865"/>
      <c r="MF27" s="865"/>
      <c r="MG27" s="865"/>
      <c r="MH27" s="865"/>
      <c r="MI27" s="865"/>
      <c r="MJ27" s="865"/>
      <c r="MK27" s="865"/>
      <c r="ML27" s="865"/>
      <c r="MM27" s="865"/>
      <c r="MN27" s="865"/>
      <c r="MO27" s="865"/>
      <c r="MP27" s="865"/>
      <c r="MQ27" s="865"/>
      <c r="MR27" s="865"/>
      <c r="MS27" s="865"/>
      <c r="MT27" s="865"/>
      <c r="MU27" s="865"/>
      <c r="MV27" s="865"/>
      <c r="MW27" s="865"/>
      <c r="MX27" s="865"/>
      <c r="MY27" s="865"/>
      <c r="MZ27" s="865"/>
      <c r="NA27" s="865"/>
      <c r="NB27" s="865"/>
      <c r="NC27" s="865"/>
      <c r="ND27" s="865"/>
      <c r="NE27" s="865"/>
      <c r="NF27" s="865"/>
      <c r="NG27" s="865"/>
      <c r="NH27" s="865"/>
      <c r="NI27" s="865"/>
      <c r="NJ27" s="865"/>
      <c r="NK27" s="865"/>
      <c r="NL27" s="865"/>
      <c r="NM27" s="865"/>
      <c r="NN27" s="865"/>
      <c r="NO27" s="865"/>
      <c r="NP27" s="865"/>
      <c r="NQ27" s="865"/>
      <c r="NR27" s="865"/>
      <c r="NS27" s="865"/>
      <c r="NT27" s="865"/>
      <c r="NU27" s="865"/>
      <c r="NV27" s="865"/>
      <c r="NW27" s="865"/>
      <c r="NX27" s="865"/>
      <c r="NY27" s="865"/>
      <c r="NZ27" s="865"/>
      <c r="OA27" s="865"/>
      <c r="OB27" s="865"/>
      <c r="OC27" s="865"/>
      <c r="OD27" s="865"/>
      <c r="OE27" s="865"/>
      <c r="OF27" s="865"/>
      <c r="OG27" s="865"/>
      <c r="OH27" s="865"/>
      <c r="OI27" s="865"/>
      <c r="OJ27" s="865"/>
      <c r="OK27" s="865"/>
      <c r="OL27" s="865"/>
      <c r="OM27" s="865"/>
      <c r="ON27" s="865"/>
      <c r="OO27" s="865"/>
      <c r="OP27" s="865"/>
      <c r="OQ27" s="865"/>
      <c r="OR27" s="865"/>
      <c r="OS27" s="865"/>
      <c r="OT27" s="865"/>
      <c r="OU27" s="865"/>
      <c r="OV27" s="865"/>
      <c r="OW27" s="865"/>
      <c r="OX27" s="865"/>
      <c r="OY27" s="865"/>
      <c r="OZ27" s="865"/>
      <c r="PA27" s="865"/>
      <c r="PB27" s="865"/>
      <c r="PC27" s="865"/>
      <c r="PD27" s="865"/>
      <c r="PE27" s="865"/>
      <c r="PF27" s="865"/>
      <c r="PG27" s="865"/>
      <c r="PH27" s="865"/>
      <c r="PI27" s="865"/>
      <c r="PJ27" s="865"/>
      <c r="PK27" s="865"/>
      <c r="PL27" s="865"/>
      <c r="PM27" s="865"/>
      <c r="PN27" s="865"/>
      <c r="PO27" s="865"/>
    </row>
    <row r="28" spans="1:431" s="165" customFormat="1">
      <c r="A28" s="865"/>
      <c r="B28" s="865"/>
      <c r="C28" s="850"/>
      <c r="D28" s="850"/>
      <c r="E28" s="850"/>
      <c r="F28" s="850"/>
      <c r="G28" s="850"/>
      <c r="H28" s="850"/>
      <c r="I28" s="850"/>
      <c r="J28" s="850"/>
      <c r="K28" s="850"/>
      <c r="L28" s="850"/>
      <c r="M28" s="865"/>
      <c r="N28" s="865"/>
      <c r="O28" s="865"/>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5"/>
      <c r="AR28" s="865"/>
      <c r="AS28" s="865"/>
      <c r="AT28" s="865"/>
      <c r="AU28" s="865"/>
      <c r="AV28" s="865"/>
      <c r="AW28" s="865"/>
      <c r="AX28" s="865"/>
      <c r="AY28" s="865"/>
      <c r="AZ28" s="865"/>
      <c r="BA28" s="865"/>
      <c r="BB28" s="865"/>
      <c r="BC28" s="865"/>
      <c r="BD28" s="865"/>
      <c r="BE28" s="865"/>
      <c r="BF28" s="865"/>
      <c r="BG28" s="865"/>
      <c r="BH28" s="865"/>
      <c r="BI28" s="865"/>
      <c r="BJ28" s="865"/>
      <c r="BK28" s="865"/>
      <c r="BL28" s="865"/>
      <c r="BM28" s="865"/>
      <c r="BN28" s="865"/>
      <c r="BO28" s="865"/>
      <c r="BP28" s="865"/>
      <c r="BQ28" s="865"/>
      <c r="BR28" s="865"/>
      <c r="BS28" s="865"/>
      <c r="BT28" s="865"/>
      <c r="BU28" s="865"/>
      <c r="BV28" s="865"/>
      <c r="BW28" s="865"/>
      <c r="BX28" s="865"/>
      <c r="BY28" s="865"/>
      <c r="BZ28" s="865"/>
      <c r="CA28" s="865"/>
      <c r="CB28" s="865"/>
      <c r="CC28" s="865"/>
      <c r="CD28" s="865"/>
      <c r="CE28" s="865"/>
      <c r="CF28" s="865"/>
      <c r="CG28" s="865"/>
      <c r="CH28" s="865"/>
      <c r="CI28" s="865"/>
      <c r="CJ28" s="865"/>
      <c r="CK28" s="865"/>
      <c r="CL28" s="865"/>
      <c r="CM28" s="865"/>
      <c r="CN28" s="865"/>
      <c r="CO28" s="865"/>
      <c r="CP28" s="865"/>
      <c r="CQ28" s="865"/>
      <c r="CR28" s="865"/>
      <c r="CS28" s="865"/>
      <c r="CT28" s="865"/>
      <c r="CU28" s="865"/>
      <c r="CV28" s="865"/>
      <c r="CW28" s="865"/>
      <c r="CX28" s="865"/>
      <c r="CY28" s="865"/>
      <c r="CZ28" s="865"/>
      <c r="DA28" s="865"/>
      <c r="DB28" s="865"/>
      <c r="DC28" s="865"/>
      <c r="DD28" s="865"/>
      <c r="DE28" s="865"/>
      <c r="DF28" s="865"/>
      <c r="DG28" s="865"/>
      <c r="DH28" s="865"/>
      <c r="DI28" s="865"/>
      <c r="DJ28" s="865"/>
      <c r="DK28" s="865"/>
      <c r="DL28" s="865"/>
      <c r="DM28" s="865"/>
      <c r="DN28" s="865"/>
      <c r="DO28" s="865"/>
      <c r="DP28" s="865"/>
      <c r="DQ28" s="865"/>
      <c r="DR28" s="865"/>
      <c r="DS28" s="865"/>
      <c r="DT28" s="865"/>
      <c r="DU28" s="865"/>
      <c r="DV28" s="865"/>
      <c r="DW28" s="865"/>
      <c r="DX28" s="865"/>
      <c r="DY28" s="865"/>
      <c r="DZ28" s="865"/>
      <c r="EA28" s="865"/>
      <c r="EB28" s="865"/>
      <c r="EC28" s="865"/>
      <c r="ED28" s="865"/>
      <c r="EE28" s="865"/>
      <c r="EF28" s="865"/>
      <c r="EG28" s="865"/>
      <c r="EH28" s="865"/>
      <c r="EI28" s="865"/>
      <c r="EJ28" s="865"/>
      <c r="EK28" s="865"/>
      <c r="EL28" s="865"/>
      <c r="EM28" s="865"/>
      <c r="EN28" s="865"/>
      <c r="EO28" s="865"/>
      <c r="EP28" s="865"/>
      <c r="EQ28" s="865"/>
      <c r="ER28" s="865"/>
      <c r="ES28" s="865"/>
      <c r="ET28" s="865"/>
      <c r="EU28" s="865"/>
      <c r="EV28" s="865"/>
      <c r="EW28" s="865"/>
      <c r="EX28" s="865"/>
      <c r="EY28" s="865"/>
      <c r="EZ28" s="865"/>
      <c r="FA28" s="865"/>
      <c r="FB28" s="865"/>
      <c r="FC28" s="865"/>
      <c r="FD28" s="865"/>
      <c r="FE28" s="865"/>
      <c r="FF28" s="865"/>
      <c r="FG28" s="865"/>
      <c r="FH28" s="865"/>
      <c r="FI28" s="865"/>
      <c r="FJ28" s="865"/>
      <c r="FK28" s="865"/>
      <c r="FL28" s="865"/>
      <c r="FM28" s="865"/>
      <c r="FN28" s="865"/>
      <c r="FO28" s="865"/>
      <c r="FP28" s="865"/>
      <c r="FQ28" s="865"/>
      <c r="FR28" s="865"/>
      <c r="FS28" s="865"/>
      <c r="FT28" s="865"/>
      <c r="FU28" s="865"/>
      <c r="FV28" s="865"/>
      <c r="FW28" s="865"/>
      <c r="FX28" s="865"/>
      <c r="FY28" s="865"/>
      <c r="FZ28" s="865"/>
      <c r="GA28" s="865"/>
      <c r="GB28" s="865"/>
      <c r="GC28" s="865"/>
      <c r="GD28" s="865"/>
      <c r="GE28" s="865"/>
      <c r="GF28" s="865"/>
      <c r="GG28" s="865"/>
      <c r="GH28" s="865"/>
      <c r="GI28" s="865"/>
      <c r="GJ28" s="865"/>
      <c r="GK28" s="865"/>
      <c r="GL28" s="865"/>
      <c r="GM28" s="865"/>
      <c r="GN28" s="865"/>
      <c r="GO28" s="865"/>
      <c r="GP28" s="865"/>
      <c r="GQ28" s="865"/>
      <c r="GR28" s="865"/>
      <c r="GS28" s="865"/>
      <c r="GT28" s="865"/>
      <c r="GU28" s="865"/>
      <c r="GV28" s="865"/>
      <c r="GW28" s="865"/>
      <c r="GX28" s="865"/>
      <c r="GY28" s="865"/>
      <c r="GZ28" s="865"/>
      <c r="HA28" s="865"/>
      <c r="HB28" s="865"/>
      <c r="HC28" s="865"/>
      <c r="HD28" s="865"/>
      <c r="HE28" s="865"/>
      <c r="HF28" s="865"/>
      <c r="HG28" s="865"/>
      <c r="HH28" s="865"/>
      <c r="HI28" s="865"/>
      <c r="HJ28" s="865"/>
      <c r="HK28" s="865"/>
      <c r="HL28" s="865"/>
      <c r="HM28" s="865"/>
      <c r="HN28" s="865"/>
      <c r="HO28" s="865"/>
      <c r="HP28" s="865"/>
      <c r="HQ28" s="865"/>
      <c r="HR28" s="865"/>
      <c r="HS28" s="865"/>
      <c r="HT28" s="865"/>
      <c r="HU28" s="865"/>
      <c r="HV28" s="865"/>
      <c r="HW28" s="865"/>
      <c r="HX28" s="865"/>
      <c r="HY28" s="865"/>
      <c r="HZ28" s="865"/>
      <c r="IA28" s="865"/>
      <c r="IB28" s="865"/>
      <c r="IC28" s="865"/>
      <c r="ID28" s="865"/>
      <c r="IE28" s="865"/>
      <c r="IF28" s="865"/>
      <c r="IG28" s="865"/>
      <c r="IH28" s="865"/>
      <c r="II28" s="865"/>
      <c r="IJ28" s="865"/>
      <c r="IK28" s="865"/>
      <c r="IL28" s="865"/>
      <c r="IM28" s="865"/>
      <c r="IN28" s="865"/>
      <c r="IO28" s="865"/>
      <c r="IP28" s="865"/>
      <c r="IQ28" s="865"/>
      <c r="IR28" s="865"/>
      <c r="IS28" s="865"/>
      <c r="IT28" s="865"/>
      <c r="IU28" s="865"/>
      <c r="IV28" s="865"/>
      <c r="IW28" s="865"/>
      <c r="IX28" s="865"/>
      <c r="IY28" s="865"/>
      <c r="IZ28" s="865"/>
      <c r="JA28" s="865"/>
      <c r="JB28" s="865"/>
      <c r="JC28" s="865"/>
      <c r="JD28" s="865"/>
      <c r="JE28" s="865"/>
      <c r="JF28" s="865"/>
      <c r="JG28" s="865"/>
      <c r="JH28" s="865"/>
      <c r="JI28" s="865"/>
      <c r="JJ28" s="865"/>
      <c r="JK28" s="865"/>
      <c r="JL28" s="865"/>
      <c r="JM28" s="865"/>
      <c r="JN28" s="865"/>
      <c r="JO28" s="865"/>
      <c r="JP28" s="865"/>
      <c r="JQ28" s="865"/>
      <c r="JR28" s="865"/>
      <c r="JS28" s="865"/>
      <c r="JT28" s="865"/>
      <c r="JU28" s="865"/>
      <c r="JV28" s="865"/>
      <c r="JW28" s="865"/>
      <c r="JX28" s="865"/>
      <c r="JY28" s="865"/>
      <c r="JZ28" s="865"/>
      <c r="KA28" s="865"/>
      <c r="KB28" s="865"/>
      <c r="KC28" s="865"/>
      <c r="KD28" s="865"/>
      <c r="KE28" s="865"/>
      <c r="KF28" s="865"/>
      <c r="KG28" s="865"/>
      <c r="KH28" s="865"/>
      <c r="KI28" s="865"/>
      <c r="KJ28" s="865"/>
      <c r="KK28" s="865"/>
      <c r="KL28" s="865"/>
      <c r="KM28" s="865"/>
      <c r="KN28" s="865"/>
      <c r="KO28" s="865"/>
      <c r="KP28" s="865"/>
      <c r="KQ28" s="865"/>
      <c r="KR28" s="865"/>
      <c r="KS28" s="865"/>
      <c r="KT28" s="865"/>
      <c r="KU28" s="865"/>
      <c r="KV28" s="865"/>
      <c r="KW28" s="865"/>
      <c r="KX28" s="865"/>
      <c r="KY28" s="865"/>
      <c r="KZ28" s="865"/>
      <c r="LA28" s="865"/>
      <c r="LB28" s="865"/>
      <c r="LC28" s="865"/>
      <c r="LD28" s="865"/>
      <c r="LE28" s="865"/>
      <c r="LF28" s="865"/>
      <c r="LG28" s="865"/>
      <c r="LH28" s="865"/>
      <c r="LI28" s="865"/>
      <c r="LJ28" s="865"/>
      <c r="LK28" s="865"/>
      <c r="LL28" s="865"/>
      <c r="LM28" s="865"/>
      <c r="LN28" s="865"/>
      <c r="LO28" s="865"/>
      <c r="LP28" s="865"/>
      <c r="LQ28" s="865"/>
      <c r="LR28" s="865"/>
      <c r="LS28" s="865"/>
      <c r="LT28" s="865"/>
      <c r="LU28" s="865"/>
      <c r="LV28" s="865"/>
      <c r="LW28" s="865"/>
      <c r="LX28" s="865"/>
      <c r="LY28" s="865"/>
      <c r="LZ28" s="865"/>
      <c r="MA28" s="865"/>
      <c r="MB28" s="865"/>
      <c r="MC28" s="865"/>
      <c r="MD28" s="865"/>
      <c r="ME28" s="865"/>
      <c r="MF28" s="865"/>
      <c r="MG28" s="865"/>
      <c r="MH28" s="865"/>
      <c r="MI28" s="865"/>
      <c r="MJ28" s="865"/>
      <c r="MK28" s="865"/>
      <c r="ML28" s="865"/>
      <c r="MM28" s="865"/>
      <c r="MN28" s="865"/>
      <c r="MO28" s="865"/>
      <c r="MP28" s="865"/>
      <c r="MQ28" s="865"/>
      <c r="MR28" s="865"/>
      <c r="MS28" s="865"/>
      <c r="MT28" s="865"/>
      <c r="MU28" s="865"/>
      <c r="MV28" s="865"/>
      <c r="MW28" s="865"/>
      <c r="MX28" s="865"/>
      <c r="MY28" s="865"/>
      <c r="MZ28" s="865"/>
      <c r="NA28" s="865"/>
      <c r="NB28" s="865"/>
      <c r="NC28" s="865"/>
      <c r="ND28" s="865"/>
      <c r="NE28" s="865"/>
      <c r="NF28" s="865"/>
      <c r="NG28" s="865"/>
      <c r="NH28" s="865"/>
      <c r="NI28" s="865"/>
      <c r="NJ28" s="865"/>
      <c r="NK28" s="865"/>
      <c r="NL28" s="865"/>
      <c r="NM28" s="865"/>
      <c r="NN28" s="865"/>
      <c r="NO28" s="865"/>
      <c r="NP28" s="865"/>
      <c r="NQ28" s="865"/>
      <c r="NR28" s="865"/>
      <c r="NS28" s="865"/>
      <c r="NT28" s="865"/>
      <c r="NU28" s="865"/>
      <c r="NV28" s="865"/>
      <c r="NW28" s="865"/>
      <c r="NX28" s="865"/>
      <c r="NY28" s="865"/>
      <c r="NZ28" s="865"/>
      <c r="OA28" s="865"/>
      <c r="OB28" s="865"/>
      <c r="OC28" s="865"/>
      <c r="OD28" s="865"/>
      <c r="OE28" s="865"/>
      <c r="OF28" s="865"/>
      <c r="OG28" s="865"/>
      <c r="OH28" s="865"/>
      <c r="OI28" s="865"/>
      <c r="OJ28" s="865"/>
      <c r="OK28" s="865"/>
      <c r="OL28" s="865"/>
      <c r="OM28" s="865"/>
      <c r="ON28" s="865"/>
      <c r="OO28" s="865"/>
      <c r="OP28" s="865"/>
      <c r="OQ28" s="865"/>
      <c r="OR28" s="865"/>
      <c r="OS28" s="865"/>
      <c r="OT28" s="865"/>
      <c r="OU28" s="865"/>
      <c r="OV28" s="865"/>
      <c r="OW28" s="865"/>
      <c r="OX28" s="865"/>
      <c r="OY28" s="865"/>
      <c r="OZ28" s="865"/>
      <c r="PA28" s="865"/>
      <c r="PB28" s="865"/>
      <c r="PC28" s="865"/>
      <c r="PD28" s="865"/>
      <c r="PE28" s="865"/>
      <c r="PF28" s="865"/>
      <c r="PG28" s="865"/>
      <c r="PH28" s="865"/>
      <c r="PI28" s="865"/>
      <c r="PJ28" s="865"/>
      <c r="PK28" s="865"/>
      <c r="PL28" s="865"/>
      <c r="PM28" s="865"/>
      <c r="PN28" s="865"/>
      <c r="PO28" s="865"/>
    </row>
    <row r="29" spans="1:431" s="165" customFormat="1">
      <c r="A29" s="865"/>
      <c r="B29" s="865"/>
      <c r="C29" s="850"/>
      <c r="D29" s="850"/>
      <c r="E29" s="850"/>
      <c r="F29" s="850"/>
      <c r="G29" s="850"/>
      <c r="H29" s="850"/>
      <c r="I29" s="850"/>
      <c r="J29" s="850"/>
      <c r="K29" s="850"/>
      <c r="L29" s="850"/>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65"/>
      <c r="AR29" s="865"/>
      <c r="AS29" s="865"/>
      <c r="AT29" s="865"/>
      <c r="AU29" s="865"/>
      <c r="AV29" s="865"/>
      <c r="AW29" s="865"/>
      <c r="AX29" s="865"/>
      <c r="AY29" s="865"/>
      <c r="AZ29" s="865"/>
      <c r="BA29" s="865"/>
      <c r="BB29" s="865"/>
      <c r="BC29" s="865"/>
      <c r="BD29" s="865"/>
      <c r="BE29" s="865"/>
      <c r="BF29" s="865"/>
      <c r="BG29" s="865"/>
      <c r="BH29" s="865"/>
      <c r="BI29" s="865"/>
      <c r="BJ29" s="865"/>
      <c r="BK29" s="865"/>
      <c r="BL29" s="865"/>
      <c r="BM29" s="865"/>
      <c r="BN29" s="865"/>
      <c r="BO29" s="865"/>
      <c r="BP29" s="865"/>
      <c r="BQ29" s="865"/>
      <c r="BR29" s="865"/>
      <c r="BS29" s="865"/>
      <c r="BT29" s="865"/>
      <c r="BU29" s="865"/>
      <c r="BV29" s="865"/>
      <c r="BW29" s="865"/>
      <c r="BX29" s="865"/>
      <c r="BY29" s="865"/>
      <c r="BZ29" s="865"/>
      <c r="CA29" s="865"/>
      <c r="CB29" s="865"/>
      <c r="CC29" s="865"/>
      <c r="CD29" s="865"/>
      <c r="CE29" s="865"/>
      <c r="CF29" s="865"/>
      <c r="CG29" s="865"/>
      <c r="CH29" s="865"/>
      <c r="CI29" s="865"/>
      <c r="CJ29" s="865"/>
      <c r="CK29" s="865"/>
      <c r="CL29" s="865"/>
      <c r="CM29" s="865"/>
      <c r="CN29" s="865"/>
      <c r="CO29" s="865"/>
      <c r="CP29" s="865"/>
      <c r="CQ29" s="865"/>
      <c r="CR29" s="865"/>
      <c r="CS29" s="865"/>
      <c r="CT29" s="865"/>
      <c r="CU29" s="865"/>
      <c r="CV29" s="865"/>
      <c r="CW29" s="865"/>
      <c r="CX29" s="865"/>
      <c r="CY29" s="865"/>
      <c r="CZ29" s="865"/>
      <c r="DA29" s="865"/>
      <c r="DB29" s="865"/>
      <c r="DC29" s="865"/>
      <c r="DD29" s="865"/>
      <c r="DE29" s="865"/>
      <c r="DF29" s="865"/>
      <c r="DG29" s="865"/>
      <c r="DH29" s="865"/>
      <c r="DI29" s="865"/>
      <c r="DJ29" s="865"/>
      <c r="DK29" s="865"/>
      <c r="DL29" s="865"/>
      <c r="DM29" s="865"/>
      <c r="DN29" s="865"/>
      <c r="DO29" s="865"/>
      <c r="DP29" s="865"/>
      <c r="DQ29" s="865"/>
      <c r="DR29" s="865"/>
      <c r="DS29" s="865"/>
      <c r="DT29" s="865"/>
      <c r="DU29" s="865"/>
      <c r="DV29" s="865"/>
      <c r="DW29" s="865"/>
      <c r="DX29" s="865"/>
      <c r="DY29" s="865"/>
      <c r="DZ29" s="865"/>
      <c r="EA29" s="865"/>
      <c r="EB29" s="865"/>
      <c r="EC29" s="865"/>
      <c r="ED29" s="865"/>
      <c r="EE29" s="865"/>
      <c r="EF29" s="865"/>
      <c r="EG29" s="865"/>
      <c r="EH29" s="865"/>
      <c r="EI29" s="865"/>
      <c r="EJ29" s="865"/>
      <c r="EK29" s="865"/>
      <c r="EL29" s="865"/>
      <c r="EM29" s="865"/>
      <c r="EN29" s="865"/>
      <c r="EO29" s="865"/>
      <c r="EP29" s="865"/>
      <c r="EQ29" s="865"/>
      <c r="ER29" s="865"/>
      <c r="ES29" s="865"/>
      <c r="ET29" s="865"/>
      <c r="EU29" s="865"/>
      <c r="EV29" s="865"/>
      <c r="EW29" s="865"/>
      <c r="EX29" s="865"/>
      <c r="EY29" s="865"/>
      <c r="EZ29" s="865"/>
      <c r="FA29" s="865"/>
      <c r="FB29" s="865"/>
      <c r="FC29" s="865"/>
      <c r="FD29" s="865"/>
      <c r="FE29" s="865"/>
      <c r="FF29" s="865"/>
      <c r="FG29" s="865"/>
      <c r="FH29" s="865"/>
      <c r="FI29" s="865"/>
      <c r="FJ29" s="865"/>
      <c r="FK29" s="865"/>
      <c r="FL29" s="865"/>
      <c r="FM29" s="865"/>
      <c r="FN29" s="865"/>
      <c r="FO29" s="865"/>
      <c r="FP29" s="865"/>
      <c r="FQ29" s="865"/>
      <c r="FR29" s="865"/>
      <c r="FS29" s="865"/>
      <c r="FT29" s="865"/>
      <c r="FU29" s="865"/>
      <c r="FV29" s="865"/>
      <c r="FW29" s="865"/>
      <c r="FX29" s="865"/>
      <c r="FY29" s="865"/>
      <c r="FZ29" s="865"/>
      <c r="GA29" s="865"/>
      <c r="GB29" s="865"/>
      <c r="GC29" s="865"/>
      <c r="GD29" s="865"/>
      <c r="GE29" s="865"/>
      <c r="GF29" s="865"/>
      <c r="GG29" s="865"/>
      <c r="GH29" s="865"/>
      <c r="GI29" s="865"/>
      <c r="GJ29" s="865"/>
      <c r="GK29" s="865"/>
      <c r="GL29" s="865"/>
      <c r="GM29" s="865"/>
      <c r="GN29" s="865"/>
      <c r="GO29" s="865"/>
      <c r="GP29" s="865"/>
      <c r="GQ29" s="865"/>
      <c r="GR29" s="865"/>
      <c r="GS29" s="865"/>
      <c r="GT29" s="865"/>
      <c r="GU29" s="865"/>
      <c r="GV29" s="865"/>
      <c r="GW29" s="865"/>
      <c r="GX29" s="865"/>
      <c r="GY29" s="865"/>
      <c r="GZ29" s="865"/>
      <c r="HA29" s="865"/>
      <c r="HB29" s="865"/>
      <c r="HC29" s="865"/>
      <c r="HD29" s="865"/>
      <c r="HE29" s="865"/>
      <c r="HF29" s="865"/>
      <c r="HG29" s="865"/>
      <c r="HH29" s="865"/>
      <c r="HI29" s="865"/>
      <c r="HJ29" s="865"/>
      <c r="HK29" s="865"/>
      <c r="HL29" s="865"/>
      <c r="HM29" s="865"/>
      <c r="HN29" s="865"/>
      <c r="HO29" s="865"/>
      <c r="HP29" s="865"/>
      <c r="HQ29" s="865"/>
      <c r="HR29" s="865"/>
      <c r="HS29" s="865"/>
      <c r="HT29" s="865"/>
      <c r="HU29" s="865"/>
      <c r="HV29" s="865"/>
      <c r="HW29" s="865"/>
      <c r="HX29" s="865"/>
      <c r="HY29" s="865"/>
      <c r="HZ29" s="865"/>
      <c r="IA29" s="865"/>
      <c r="IB29" s="865"/>
      <c r="IC29" s="865"/>
      <c r="ID29" s="865"/>
      <c r="IE29" s="865"/>
      <c r="IF29" s="865"/>
      <c r="IG29" s="865"/>
      <c r="IH29" s="865"/>
      <c r="II29" s="865"/>
      <c r="IJ29" s="865"/>
      <c r="IK29" s="865"/>
      <c r="IL29" s="865"/>
      <c r="IM29" s="865"/>
      <c r="IN29" s="865"/>
      <c r="IO29" s="865"/>
      <c r="IP29" s="865"/>
      <c r="IQ29" s="865"/>
      <c r="IR29" s="865"/>
      <c r="IS29" s="865"/>
      <c r="IT29" s="865"/>
      <c r="IU29" s="865"/>
      <c r="IV29" s="865"/>
      <c r="IW29" s="865"/>
      <c r="IX29" s="865"/>
      <c r="IY29" s="865"/>
      <c r="IZ29" s="865"/>
      <c r="JA29" s="865"/>
      <c r="JB29" s="865"/>
      <c r="JC29" s="865"/>
      <c r="JD29" s="865"/>
      <c r="JE29" s="865"/>
      <c r="JF29" s="865"/>
      <c r="JG29" s="865"/>
      <c r="JH29" s="865"/>
      <c r="JI29" s="865"/>
      <c r="JJ29" s="865"/>
      <c r="JK29" s="865"/>
      <c r="JL29" s="865"/>
      <c r="JM29" s="865"/>
      <c r="JN29" s="865"/>
      <c r="JO29" s="865"/>
      <c r="JP29" s="865"/>
      <c r="JQ29" s="865"/>
      <c r="JR29" s="865"/>
      <c r="JS29" s="865"/>
      <c r="JT29" s="865"/>
      <c r="JU29" s="865"/>
      <c r="JV29" s="865"/>
      <c r="JW29" s="865"/>
      <c r="JX29" s="865"/>
      <c r="JY29" s="865"/>
      <c r="JZ29" s="865"/>
      <c r="KA29" s="865"/>
      <c r="KB29" s="865"/>
      <c r="KC29" s="865"/>
      <c r="KD29" s="865"/>
      <c r="KE29" s="865"/>
      <c r="KF29" s="865"/>
      <c r="KG29" s="865"/>
      <c r="KH29" s="865"/>
      <c r="KI29" s="865"/>
      <c r="KJ29" s="865"/>
      <c r="KK29" s="865"/>
      <c r="KL29" s="865"/>
      <c r="KM29" s="865"/>
      <c r="KN29" s="865"/>
      <c r="KO29" s="865"/>
      <c r="KP29" s="865"/>
      <c r="KQ29" s="865"/>
      <c r="KR29" s="865"/>
      <c r="KS29" s="865"/>
      <c r="KT29" s="865"/>
      <c r="KU29" s="865"/>
      <c r="KV29" s="865"/>
      <c r="KW29" s="865"/>
      <c r="KX29" s="865"/>
      <c r="KY29" s="865"/>
      <c r="KZ29" s="865"/>
      <c r="LA29" s="865"/>
      <c r="LB29" s="865"/>
      <c r="LC29" s="865"/>
      <c r="LD29" s="865"/>
      <c r="LE29" s="865"/>
      <c r="LF29" s="865"/>
      <c r="LG29" s="865"/>
      <c r="LH29" s="865"/>
      <c r="LI29" s="865"/>
      <c r="LJ29" s="865"/>
      <c r="LK29" s="865"/>
      <c r="LL29" s="865"/>
      <c r="LM29" s="865"/>
      <c r="LN29" s="865"/>
      <c r="LO29" s="865"/>
      <c r="LP29" s="865"/>
      <c r="LQ29" s="865"/>
      <c r="LR29" s="865"/>
      <c r="LS29" s="865"/>
      <c r="LT29" s="865"/>
      <c r="LU29" s="865"/>
      <c r="LV29" s="865"/>
      <c r="LW29" s="865"/>
      <c r="LX29" s="865"/>
      <c r="LY29" s="865"/>
      <c r="LZ29" s="865"/>
      <c r="MA29" s="865"/>
      <c r="MB29" s="865"/>
      <c r="MC29" s="865"/>
      <c r="MD29" s="865"/>
      <c r="ME29" s="865"/>
      <c r="MF29" s="865"/>
      <c r="MG29" s="865"/>
      <c r="MH29" s="865"/>
      <c r="MI29" s="865"/>
      <c r="MJ29" s="865"/>
      <c r="MK29" s="865"/>
      <c r="ML29" s="865"/>
      <c r="MM29" s="865"/>
      <c r="MN29" s="865"/>
      <c r="MO29" s="865"/>
      <c r="MP29" s="865"/>
      <c r="MQ29" s="865"/>
      <c r="MR29" s="865"/>
      <c r="MS29" s="865"/>
      <c r="MT29" s="865"/>
      <c r="MU29" s="865"/>
      <c r="MV29" s="865"/>
      <c r="MW29" s="865"/>
      <c r="MX29" s="865"/>
      <c r="MY29" s="865"/>
      <c r="MZ29" s="865"/>
      <c r="NA29" s="865"/>
      <c r="NB29" s="865"/>
      <c r="NC29" s="865"/>
      <c r="ND29" s="865"/>
      <c r="NE29" s="865"/>
      <c r="NF29" s="865"/>
      <c r="NG29" s="865"/>
      <c r="NH29" s="865"/>
      <c r="NI29" s="865"/>
      <c r="NJ29" s="865"/>
      <c r="NK29" s="865"/>
      <c r="NL29" s="865"/>
      <c r="NM29" s="865"/>
      <c r="NN29" s="865"/>
      <c r="NO29" s="865"/>
      <c r="NP29" s="865"/>
      <c r="NQ29" s="865"/>
      <c r="NR29" s="865"/>
      <c r="NS29" s="865"/>
      <c r="NT29" s="865"/>
      <c r="NU29" s="865"/>
      <c r="NV29" s="865"/>
      <c r="NW29" s="865"/>
      <c r="NX29" s="865"/>
      <c r="NY29" s="865"/>
      <c r="NZ29" s="865"/>
      <c r="OA29" s="865"/>
      <c r="OB29" s="865"/>
      <c r="OC29" s="865"/>
      <c r="OD29" s="865"/>
      <c r="OE29" s="865"/>
      <c r="OF29" s="865"/>
      <c r="OG29" s="865"/>
      <c r="OH29" s="865"/>
      <c r="OI29" s="865"/>
      <c r="OJ29" s="865"/>
      <c r="OK29" s="865"/>
      <c r="OL29" s="865"/>
      <c r="OM29" s="865"/>
      <c r="ON29" s="865"/>
      <c r="OO29" s="865"/>
      <c r="OP29" s="865"/>
      <c r="OQ29" s="865"/>
      <c r="OR29" s="865"/>
      <c r="OS29" s="865"/>
      <c r="OT29" s="865"/>
      <c r="OU29" s="865"/>
      <c r="OV29" s="865"/>
      <c r="OW29" s="865"/>
      <c r="OX29" s="865"/>
      <c r="OY29" s="865"/>
      <c r="OZ29" s="865"/>
      <c r="PA29" s="865"/>
      <c r="PB29" s="865"/>
      <c r="PC29" s="865"/>
      <c r="PD29" s="865"/>
      <c r="PE29" s="865"/>
      <c r="PF29" s="865"/>
      <c r="PG29" s="865"/>
      <c r="PH29" s="865"/>
      <c r="PI29" s="865"/>
      <c r="PJ29" s="865"/>
      <c r="PK29" s="865"/>
      <c r="PL29" s="865"/>
      <c r="PM29" s="865"/>
      <c r="PN29" s="865"/>
      <c r="PO29" s="865"/>
    </row>
    <row r="30" spans="1:431" s="165" customFormat="1">
      <c r="A30" s="865"/>
      <c r="B30" s="865"/>
      <c r="C30" s="850"/>
      <c r="D30" s="850"/>
      <c r="E30" s="850"/>
      <c r="F30" s="850"/>
      <c r="G30" s="850"/>
      <c r="H30" s="850"/>
      <c r="I30" s="850"/>
      <c r="J30" s="850"/>
      <c r="K30" s="850"/>
      <c r="L30" s="850"/>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865"/>
      <c r="AP30" s="865"/>
      <c r="AQ30" s="865"/>
      <c r="AR30" s="865"/>
      <c r="AS30" s="865"/>
      <c r="AT30" s="865"/>
      <c r="AU30" s="865"/>
      <c r="AV30" s="865"/>
      <c r="AW30" s="865"/>
      <c r="AX30" s="865"/>
      <c r="AY30" s="865"/>
      <c r="AZ30" s="865"/>
      <c r="BA30" s="865"/>
      <c r="BB30" s="865"/>
      <c r="BC30" s="865"/>
      <c r="BD30" s="865"/>
      <c r="BE30" s="865"/>
      <c r="BF30" s="865"/>
      <c r="BG30" s="865"/>
      <c r="BH30" s="865"/>
      <c r="BI30" s="865"/>
      <c r="BJ30" s="865"/>
      <c r="BK30" s="865"/>
      <c r="BL30" s="865"/>
      <c r="BM30" s="865"/>
      <c r="BN30" s="865"/>
      <c r="BO30" s="865"/>
      <c r="BP30" s="865"/>
      <c r="BQ30" s="865"/>
      <c r="BR30" s="865"/>
      <c r="BS30" s="865"/>
      <c r="BT30" s="865"/>
      <c r="BU30" s="865"/>
      <c r="BV30" s="865"/>
      <c r="BW30" s="865"/>
      <c r="BX30" s="865"/>
      <c r="BY30" s="865"/>
      <c r="BZ30" s="865"/>
      <c r="CA30" s="865"/>
      <c r="CB30" s="865"/>
      <c r="CC30" s="865"/>
      <c r="CD30" s="865"/>
      <c r="CE30" s="865"/>
      <c r="CF30" s="865"/>
      <c r="CG30" s="865"/>
      <c r="CH30" s="865"/>
      <c r="CI30" s="865"/>
      <c r="CJ30" s="865"/>
      <c r="CK30" s="865"/>
      <c r="CL30" s="865"/>
      <c r="CM30" s="865"/>
      <c r="CN30" s="865"/>
      <c r="CO30" s="865"/>
      <c r="CP30" s="865"/>
      <c r="CQ30" s="865"/>
      <c r="CR30" s="865"/>
      <c r="CS30" s="865"/>
      <c r="CT30" s="865"/>
      <c r="CU30" s="865"/>
      <c r="CV30" s="865"/>
      <c r="CW30" s="865"/>
      <c r="CX30" s="865"/>
      <c r="CY30" s="865"/>
      <c r="CZ30" s="865"/>
      <c r="DA30" s="865"/>
      <c r="DB30" s="865"/>
      <c r="DC30" s="865"/>
      <c r="DD30" s="865"/>
      <c r="DE30" s="865"/>
      <c r="DF30" s="865"/>
      <c r="DG30" s="865"/>
      <c r="DH30" s="865"/>
      <c r="DI30" s="865"/>
      <c r="DJ30" s="865"/>
      <c r="DK30" s="865"/>
      <c r="DL30" s="865"/>
      <c r="DM30" s="865"/>
      <c r="DN30" s="865"/>
      <c r="DO30" s="865"/>
      <c r="DP30" s="865"/>
      <c r="DQ30" s="865"/>
      <c r="DR30" s="865"/>
      <c r="DS30" s="865"/>
      <c r="DT30" s="865"/>
      <c r="DU30" s="865"/>
      <c r="DV30" s="865"/>
      <c r="DW30" s="865"/>
      <c r="DX30" s="865"/>
      <c r="DY30" s="865"/>
      <c r="DZ30" s="865"/>
      <c r="EA30" s="865"/>
      <c r="EB30" s="865"/>
      <c r="EC30" s="865"/>
      <c r="ED30" s="865"/>
      <c r="EE30" s="865"/>
      <c r="EF30" s="865"/>
      <c r="EG30" s="865"/>
      <c r="EH30" s="865"/>
      <c r="EI30" s="865"/>
      <c r="EJ30" s="865"/>
      <c r="EK30" s="865"/>
      <c r="EL30" s="865"/>
      <c r="EM30" s="865"/>
      <c r="EN30" s="865"/>
      <c r="EO30" s="865"/>
      <c r="EP30" s="865"/>
      <c r="EQ30" s="865"/>
      <c r="ER30" s="865"/>
      <c r="ES30" s="865"/>
      <c r="ET30" s="865"/>
      <c r="EU30" s="865"/>
      <c r="EV30" s="865"/>
      <c r="EW30" s="865"/>
      <c r="EX30" s="865"/>
      <c r="EY30" s="865"/>
      <c r="EZ30" s="865"/>
      <c r="FA30" s="865"/>
      <c r="FB30" s="865"/>
      <c r="FC30" s="865"/>
      <c r="FD30" s="865"/>
      <c r="FE30" s="865"/>
      <c r="FF30" s="865"/>
      <c r="FG30" s="865"/>
      <c r="FH30" s="865"/>
      <c r="FI30" s="865"/>
      <c r="FJ30" s="865"/>
      <c r="FK30" s="865"/>
      <c r="FL30" s="865"/>
      <c r="FM30" s="865"/>
      <c r="FN30" s="865"/>
      <c r="FO30" s="865"/>
      <c r="FP30" s="865"/>
      <c r="FQ30" s="865"/>
      <c r="FR30" s="865"/>
      <c r="FS30" s="865"/>
      <c r="FT30" s="865"/>
      <c r="FU30" s="865"/>
      <c r="FV30" s="865"/>
      <c r="FW30" s="865"/>
      <c r="FX30" s="865"/>
      <c r="FY30" s="865"/>
      <c r="FZ30" s="865"/>
      <c r="GA30" s="865"/>
      <c r="GB30" s="865"/>
      <c r="GC30" s="865"/>
      <c r="GD30" s="865"/>
      <c r="GE30" s="865"/>
      <c r="GF30" s="865"/>
      <c r="GG30" s="865"/>
      <c r="GH30" s="865"/>
      <c r="GI30" s="865"/>
      <c r="GJ30" s="865"/>
      <c r="GK30" s="865"/>
      <c r="GL30" s="865"/>
      <c r="GM30" s="865"/>
      <c r="GN30" s="865"/>
      <c r="GO30" s="865"/>
      <c r="GP30" s="865"/>
      <c r="GQ30" s="865"/>
      <c r="GR30" s="865"/>
      <c r="GS30" s="865"/>
      <c r="GT30" s="865"/>
      <c r="GU30" s="865"/>
      <c r="GV30" s="865"/>
      <c r="GW30" s="865"/>
      <c r="GX30" s="865"/>
      <c r="GY30" s="865"/>
      <c r="GZ30" s="865"/>
      <c r="HA30" s="865"/>
      <c r="HB30" s="865"/>
      <c r="HC30" s="865"/>
      <c r="HD30" s="865"/>
      <c r="HE30" s="865"/>
      <c r="HF30" s="865"/>
      <c r="HG30" s="865"/>
      <c r="HH30" s="865"/>
      <c r="HI30" s="865"/>
      <c r="HJ30" s="865"/>
      <c r="HK30" s="865"/>
      <c r="HL30" s="865"/>
      <c r="HM30" s="865"/>
      <c r="HN30" s="865"/>
      <c r="HO30" s="865"/>
      <c r="HP30" s="865"/>
      <c r="HQ30" s="865"/>
      <c r="HR30" s="865"/>
      <c r="HS30" s="865"/>
      <c r="HT30" s="865"/>
      <c r="HU30" s="865"/>
      <c r="HV30" s="865"/>
      <c r="HW30" s="865"/>
      <c r="HX30" s="865"/>
      <c r="HY30" s="865"/>
      <c r="HZ30" s="865"/>
      <c r="IA30" s="865"/>
      <c r="IB30" s="865"/>
      <c r="IC30" s="865"/>
      <c r="ID30" s="865"/>
      <c r="IE30" s="865"/>
      <c r="IF30" s="865"/>
      <c r="IG30" s="865"/>
      <c r="IH30" s="865"/>
      <c r="II30" s="865"/>
      <c r="IJ30" s="865"/>
      <c r="IK30" s="865"/>
      <c r="IL30" s="865"/>
      <c r="IM30" s="865"/>
      <c r="IN30" s="865"/>
      <c r="IO30" s="865"/>
      <c r="IP30" s="865"/>
      <c r="IQ30" s="865"/>
      <c r="IR30" s="865"/>
      <c r="IS30" s="865"/>
      <c r="IT30" s="865"/>
      <c r="IU30" s="865"/>
      <c r="IV30" s="865"/>
      <c r="IW30" s="865"/>
      <c r="IX30" s="865"/>
      <c r="IY30" s="865"/>
      <c r="IZ30" s="865"/>
      <c r="JA30" s="865"/>
      <c r="JB30" s="865"/>
      <c r="JC30" s="865"/>
      <c r="JD30" s="865"/>
      <c r="JE30" s="865"/>
      <c r="JF30" s="865"/>
      <c r="JG30" s="865"/>
      <c r="JH30" s="865"/>
      <c r="JI30" s="865"/>
      <c r="JJ30" s="865"/>
      <c r="JK30" s="865"/>
      <c r="JL30" s="865"/>
      <c r="JM30" s="865"/>
      <c r="JN30" s="865"/>
      <c r="JO30" s="865"/>
      <c r="JP30" s="865"/>
      <c r="JQ30" s="865"/>
      <c r="JR30" s="865"/>
      <c r="JS30" s="865"/>
      <c r="JT30" s="865"/>
      <c r="JU30" s="865"/>
      <c r="JV30" s="865"/>
      <c r="JW30" s="865"/>
      <c r="JX30" s="865"/>
      <c r="JY30" s="865"/>
      <c r="JZ30" s="865"/>
      <c r="KA30" s="865"/>
      <c r="KB30" s="865"/>
      <c r="KC30" s="865"/>
      <c r="KD30" s="865"/>
      <c r="KE30" s="865"/>
      <c r="KF30" s="865"/>
      <c r="KG30" s="865"/>
      <c r="KH30" s="865"/>
      <c r="KI30" s="865"/>
      <c r="KJ30" s="865"/>
      <c r="KK30" s="865"/>
      <c r="KL30" s="865"/>
      <c r="KM30" s="865"/>
      <c r="KN30" s="865"/>
      <c r="KO30" s="865"/>
      <c r="KP30" s="865"/>
      <c r="KQ30" s="865"/>
      <c r="KR30" s="865"/>
      <c r="KS30" s="865"/>
      <c r="KT30" s="865"/>
      <c r="KU30" s="865"/>
      <c r="KV30" s="865"/>
      <c r="KW30" s="865"/>
      <c r="KX30" s="865"/>
      <c r="KY30" s="865"/>
      <c r="KZ30" s="865"/>
      <c r="LA30" s="865"/>
      <c r="LB30" s="865"/>
      <c r="LC30" s="865"/>
      <c r="LD30" s="865"/>
      <c r="LE30" s="865"/>
      <c r="LF30" s="865"/>
      <c r="LG30" s="865"/>
      <c r="LH30" s="865"/>
      <c r="LI30" s="865"/>
      <c r="LJ30" s="865"/>
      <c r="LK30" s="865"/>
      <c r="LL30" s="865"/>
      <c r="LM30" s="865"/>
      <c r="LN30" s="865"/>
      <c r="LO30" s="865"/>
      <c r="LP30" s="865"/>
      <c r="LQ30" s="865"/>
      <c r="LR30" s="865"/>
      <c r="LS30" s="865"/>
      <c r="LT30" s="865"/>
      <c r="LU30" s="865"/>
      <c r="LV30" s="865"/>
      <c r="LW30" s="865"/>
      <c r="LX30" s="865"/>
      <c r="LY30" s="865"/>
      <c r="LZ30" s="865"/>
      <c r="MA30" s="865"/>
      <c r="MB30" s="865"/>
      <c r="MC30" s="865"/>
      <c r="MD30" s="865"/>
      <c r="ME30" s="865"/>
      <c r="MF30" s="865"/>
      <c r="MG30" s="865"/>
      <c r="MH30" s="865"/>
      <c r="MI30" s="865"/>
      <c r="MJ30" s="865"/>
      <c r="MK30" s="865"/>
      <c r="ML30" s="865"/>
      <c r="MM30" s="865"/>
      <c r="MN30" s="865"/>
      <c r="MO30" s="865"/>
      <c r="MP30" s="865"/>
      <c r="MQ30" s="865"/>
      <c r="MR30" s="865"/>
      <c r="MS30" s="865"/>
      <c r="MT30" s="865"/>
      <c r="MU30" s="865"/>
      <c r="MV30" s="865"/>
      <c r="MW30" s="865"/>
      <c r="MX30" s="865"/>
      <c r="MY30" s="865"/>
      <c r="MZ30" s="865"/>
      <c r="NA30" s="865"/>
      <c r="NB30" s="865"/>
      <c r="NC30" s="865"/>
      <c r="ND30" s="865"/>
      <c r="NE30" s="865"/>
      <c r="NF30" s="865"/>
      <c r="NG30" s="865"/>
      <c r="NH30" s="865"/>
      <c r="NI30" s="865"/>
      <c r="NJ30" s="865"/>
      <c r="NK30" s="865"/>
      <c r="NL30" s="865"/>
      <c r="NM30" s="865"/>
      <c r="NN30" s="865"/>
      <c r="NO30" s="865"/>
      <c r="NP30" s="865"/>
      <c r="NQ30" s="865"/>
      <c r="NR30" s="865"/>
      <c r="NS30" s="865"/>
      <c r="NT30" s="865"/>
      <c r="NU30" s="865"/>
      <c r="NV30" s="865"/>
      <c r="NW30" s="865"/>
      <c r="NX30" s="865"/>
      <c r="NY30" s="865"/>
      <c r="NZ30" s="865"/>
      <c r="OA30" s="865"/>
      <c r="OB30" s="865"/>
      <c r="OC30" s="865"/>
      <c r="OD30" s="865"/>
      <c r="OE30" s="865"/>
      <c r="OF30" s="865"/>
      <c r="OG30" s="865"/>
      <c r="OH30" s="865"/>
      <c r="OI30" s="865"/>
      <c r="OJ30" s="865"/>
      <c r="OK30" s="865"/>
      <c r="OL30" s="865"/>
      <c r="OM30" s="865"/>
      <c r="ON30" s="865"/>
      <c r="OO30" s="865"/>
      <c r="OP30" s="865"/>
      <c r="OQ30" s="865"/>
      <c r="OR30" s="865"/>
      <c r="OS30" s="865"/>
      <c r="OT30" s="865"/>
      <c r="OU30" s="865"/>
      <c r="OV30" s="865"/>
      <c r="OW30" s="865"/>
      <c r="OX30" s="865"/>
      <c r="OY30" s="865"/>
      <c r="OZ30" s="865"/>
      <c r="PA30" s="865"/>
      <c r="PB30" s="865"/>
      <c r="PC30" s="865"/>
      <c r="PD30" s="865"/>
      <c r="PE30" s="865"/>
      <c r="PF30" s="865"/>
      <c r="PG30" s="865"/>
      <c r="PH30" s="865"/>
      <c r="PI30" s="865"/>
      <c r="PJ30" s="865"/>
      <c r="PK30" s="865"/>
      <c r="PL30" s="865"/>
      <c r="PM30" s="865"/>
      <c r="PN30" s="865"/>
      <c r="PO30" s="865"/>
    </row>
    <row r="31" spans="1:431" s="165" customFormat="1">
      <c r="A31" s="865"/>
      <c r="B31" s="865"/>
      <c r="C31" s="850"/>
      <c r="D31" s="850"/>
      <c r="E31" s="850"/>
      <c r="F31" s="850"/>
      <c r="G31" s="850"/>
      <c r="H31" s="850"/>
      <c r="I31" s="850"/>
      <c r="J31" s="850"/>
      <c r="K31" s="850"/>
      <c r="L31" s="850"/>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5"/>
      <c r="AM31" s="865"/>
      <c r="AN31" s="865"/>
      <c r="AO31" s="865"/>
      <c r="AP31" s="865"/>
      <c r="AQ31" s="865"/>
      <c r="AR31" s="865"/>
      <c r="AS31" s="865"/>
      <c r="AT31" s="865"/>
      <c r="AU31" s="865"/>
      <c r="AV31" s="865"/>
      <c r="AW31" s="865"/>
      <c r="AX31" s="865"/>
      <c r="AY31" s="865"/>
      <c r="AZ31" s="865"/>
      <c r="BA31" s="865"/>
      <c r="BB31" s="865"/>
      <c r="BC31" s="865"/>
      <c r="BD31" s="865"/>
      <c r="BE31" s="865"/>
      <c r="BF31" s="865"/>
      <c r="BG31" s="865"/>
      <c r="BH31" s="865"/>
      <c r="BI31" s="865"/>
      <c r="BJ31" s="865"/>
      <c r="BK31" s="865"/>
      <c r="BL31" s="865"/>
      <c r="BM31" s="865"/>
      <c r="BN31" s="865"/>
      <c r="BO31" s="865"/>
      <c r="BP31" s="865"/>
      <c r="BQ31" s="865"/>
      <c r="BR31" s="865"/>
      <c r="BS31" s="865"/>
      <c r="BT31" s="865"/>
      <c r="BU31" s="865"/>
      <c r="BV31" s="865"/>
      <c r="BW31" s="865"/>
      <c r="BX31" s="865"/>
      <c r="BY31" s="865"/>
      <c r="BZ31" s="865"/>
      <c r="CA31" s="865"/>
      <c r="CB31" s="865"/>
      <c r="CC31" s="865"/>
      <c r="CD31" s="865"/>
      <c r="CE31" s="865"/>
      <c r="CF31" s="865"/>
      <c r="CG31" s="865"/>
      <c r="CH31" s="865"/>
      <c r="CI31" s="865"/>
      <c r="CJ31" s="865"/>
      <c r="CK31" s="865"/>
      <c r="CL31" s="865"/>
      <c r="CM31" s="865"/>
      <c r="CN31" s="865"/>
      <c r="CO31" s="865"/>
      <c r="CP31" s="865"/>
      <c r="CQ31" s="865"/>
      <c r="CR31" s="865"/>
      <c r="CS31" s="865"/>
      <c r="CT31" s="865"/>
      <c r="CU31" s="865"/>
      <c r="CV31" s="865"/>
      <c r="CW31" s="865"/>
      <c r="CX31" s="865"/>
      <c r="CY31" s="865"/>
      <c r="CZ31" s="865"/>
      <c r="DA31" s="865"/>
      <c r="DB31" s="865"/>
      <c r="DC31" s="865"/>
      <c r="DD31" s="865"/>
      <c r="DE31" s="865"/>
      <c r="DF31" s="865"/>
      <c r="DG31" s="865"/>
      <c r="DH31" s="865"/>
      <c r="DI31" s="865"/>
      <c r="DJ31" s="865"/>
      <c r="DK31" s="865"/>
      <c r="DL31" s="865"/>
      <c r="DM31" s="865"/>
      <c r="DN31" s="865"/>
      <c r="DO31" s="865"/>
      <c r="DP31" s="865"/>
      <c r="DQ31" s="865"/>
      <c r="DR31" s="865"/>
      <c r="DS31" s="865"/>
      <c r="DT31" s="865"/>
      <c r="DU31" s="865"/>
      <c r="DV31" s="865"/>
      <c r="DW31" s="865"/>
      <c r="DX31" s="865"/>
      <c r="DY31" s="865"/>
      <c r="DZ31" s="865"/>
      <c r="EA31" s="865"/>
      <c r="EB31" s="865"/>
      <c r="EC31" s="865"/>
      <c r="ED31" s="865"/>
      <c r="EE31" s="865"/>
      <c r="EF31" s="865"/>
      <c r="EG31" s="865"/>
      <c r="EH31" s="865"/>
      <c r="EI31" s="865"/>
      <c r="EJ31" s="865"/>
      <c r="EK31" s="865"/>
      <c r="EL31" s="865"/>
      <c r="EM31" s="865"/>
      <c r="EN31" s="865"/>
      <c r="EO31" s="865"/>
      <c r="EP31" s="865"/>
      <c r="EQ31" s="865"/>
      <c r="ER31" s="865"/>
      <c r="ES31" s="865"/>
      <c r="ET31" s="865"/>
      <c r="EU31" s="865"/>
      <c r="EV31" s="865"/>
      <c r="EW31" s="865"/>
      <c r="EX31" s="865"/>
      <c r="EY31" s="865"/>
      <c r="EZ31" s="865"/>
      <c r="FA31" s="865"/>
      <c r="FB31" s="865"/>
      <c r="FC31" s="865"/>
      <c r="FD31" s="865"/>
      <c r="FE31" s="865"/>
      <c r="FF31" s="865"/>
      <c r="FG31" s="865"/>
      <c r="FH31" s="865"/>
      <c r="FI31" s="865"/>
      <c r="FJ31" s="865"/>
      <c r="FK31" s="865"/>
      <c r="FL31" s="865"/>
      <c r="FM31" s="865"/>
      <c r="FN31" s="865"/>
      <c r="FO31" s="865"/>
      <c r="FP31" s="865"/>
      <c r="FQ31" s="865"/>
      <c r="FR31" s="865"/>
      <c r="FS31" s="865"/>
      <c r="FT31" s="865"/>
      <c r="FU31" s="865"/>
      <c r="FV31" s="865"/>
      <c r="FW31" s="865"/>
      <c r="FX31" s="865"/>
      <c r="FY31" s="865"/>
      <c r="FZ31" s="865"/>
      <c r="GA31" s="865"/>
      <c r="GB31" s="865"/>
      <c r="GC31" s="865"/>
      <c r="GD31" s="865"/>
      <c r="GE31" s="865"/>
      <c r="GF31" s="865"/>
      <c r="GG31" s="865"/>
      <c r="GH31" s="865"/>
      <c r="GI31" s="865"/>
      <c r="GJ31" s="865"/>
      <c r="GK31" s="865"/>
      <c r="GL31" s="865"/>
      <c r="GM31" s="865"/>
      <c r="GN31" s="865"/>
      <c r="GO31" s="865"/>
      <c r="GP31" s="865"/>
      <c r="GQ31" s="865"/>
      <c r="GR31" s="865"/>
      <c r="GS31" s="865"/>
      <c r="GT31" s="865"/>
      <c r="GU31" s="865"/>
      <c r="GV31" s="865"/>
      <c r="GW31" s="865"/>
      <c r="GX31" s="865"/>
      <c r="GY31" s="865"/>
      <c r="GZ31" s="865"/>
      <c r="HA31" s="865"/>
      <c r="HB31" s="865"/>
      <c r="HC31" s="865"/>
      <c r="HD31" s="865"/>
      <c r="HE31" s="865"/>
      <c r="HF31" s="865"/>
      <c r="HG31" s="865"/>
      <c r="HH31" s="865"/>
      <c r="HI31" s="865"/>
      <c r="HJ31" s="865"/>
      <c r="HK31" s="865"/>
      <c r="HL31" s="865"/>
      <c r="HM31" s="865"/>
      <c r="HN31" s="865"/>
      <c r="HO31" s="865"/>
      <c r="HP31" s="865"/>
      <c r="HQ31" s="865"/>
      <c r="HR31" s="865"/>
      <c r="HS31" s="865"/>
      <c r="HT31" s="865"/>
      <c r="HU31" s="865"/>
      <c r="HV31" s="865"/>
      <c r="HW31" s="865"/>
      <c r="HX31" s="865"/>
      <c r="HY31" s="865"/>
      <c r="HZ31" s="865"/>
      <c r="IA31" s="865"/>
      <c r="IB31" s="865"/>
      <c r="IC31" s="865"/>
      <c r="ID31" s="865"/>
      <c r="IE31" s="865"/>
      <c r="IF31" s="865"/>
      <c r="IG31" s="865"/>
      <c r="IH31" s="865"/>
      <c r="II31" s="865"/>
      <c r="IJ31" s="865"/>
      <c r="IK31" s="865"/>
      <c r="IL31" s="865"/>
      <c r="IM31" s="865"/>
      <c r="IN31" s="865"/>
      <c r="IO31" s="865"/>
      <c r="IP31" s="865"/>
      <c r="IQ31" s="865"/>
      <c r="IR31" s="865"/>
      <c r="IS31" s="865"/>
      <c r="IT31" s="865"/>
      <c r="IU31" s="865"/>
      <c r="IV31" s="865"/>
      <c r="IW31" s="865"/>
      <c r="IX31" s="865"/>
      <c r="IY31" s="865"/>
      <c r="IZ31" s="865"/>
      <c r="JA31" s="865"/>
      <c r="JB31" s="865"/>
      <c r="JC31" s="865"/>
      <c r="JD31" s="865"/>
      <c r="JE31" s="865"/>
      <c r="JF31" s="865"/>
      <c r="JG31" s="865"/>
      <c r="JH31" s="865"/>
      <c r="JI31" s="865"/>
      <c r="JJ31" s="865"/>
      <c r="JK31" s="865"/>
      <c r="JL31" s="865"/>
      <c r="JM31" s="865"/>
      <c r="JN31" s="865"/>
      <c r="JO31" s="865"/>
      <c r="JP31" s="865"/>
      <c r="JQ31" s="865"/>
      <c r="JR31" s="865"/>
      <c r="JS31" s="865"/>
      <c r="JT31" s="865"/>
      <c r="JU31" s="865"/>
      <c r="JV31" s="865"/>
      <c r="JW31" s="865"/>
      <c r="JX31" s="865"/>
      <c r="JY31" s="865"/>
      <c r="JZ31" s="865"/>
      <c r="KA31" s="865"/>
      <c r="KB31" s="865"/>
      <c r="KC31" s="865"/>
      <c r="KD31" s="865"/>
      <c r="KE31" s="865"/>
      <c r="KF31" s="865"/>
      <c r="KG31" s="865"/>
      <c r="KH31" s="865"/>
      <c r="KI31" s="865"/>
      <c r="KJ31" s="865"/>
      <c r="KK31" s="865"/>
      <c r="KL31" s="865"/>
      <c r="KM31" s="865"/>
      <c r="KN31" s="865"/>
      <c r="KO31" s="865"/>
      <c r="KP31" s="865"/>
      <c r="KQ31" s="865"/>
      <c r="KR31" s="865"/>
      <c r="KS31" s="865"/>
      <c r="KT31" s="865"/>
      <c r="KU31" s="865"/>
      <c r="KV31" s="865"/>
      <c r="KW31" s="865"/>
      <c r="KX31" s="865"/>
      <c r="KY31" s="865"/>
      <c r="KZ31" s="865"/>
      <c r="LA31" s="865"/>
      <c r="LB31" s="865"/>
      <c r="LC31" s="865"/>
      <c r="LD31" s="865"/>
      <c r="LE31" s="865"/>
      <c r="LF31" s="865"/>
      <c r="LG31" s="865"/>
      <c r="LH31" s="865"/>
      <c r="LI31" s="865"/>
      <c r="LJ31" s="865"/>
      <c r="LK31" s="865"/>
      <c r="LL31" s="865"/>
      <c r="LM31" s="865"/>
      <c r="LN31" s="865"/>
      <c r="LO31" s="865"/>
      <c r="LP31" s="865"/>
      <c r="LQ31" s="865"/>
      <c r="LR31" s="865"/>
      <c r="LS31" s="865"/>
      <c r="LT31" s="865"/>
      <c r="LU31" s="865"/>
      <c r="LV31" s="865"/>
      <c r="LW31" s="865"/>
      <c r="LX31" s="865"/>
      <c r="LY31" s="865"/>
      <c r="LZ31" s="865"/>
      <c r="MA31" s="865"/>
      <c r="MB31" s="865"/>
      <c r="MC31" s="865"/>
      <c r="MD31" s="865"/>
      <c r="ME31" s="865"/>
      <c r="MF31" s="865"/>
      <c r="MG31" s="865"/>
      <c r="MH31" s="865"/>
      <c r="MI31" s="865"/>
      <c r="MJ31" s="865"/>
      <c r="MK31" s="865"/>
      <c r="ML31" s="865"/>
      <c r="MM31" s="865"/>
      <c r="MN31" s="865"/>
      <c r="MO31" s="865"/>
      <c r="MP31" s="865"/>
      <c r="MQ31" s="865"/>
      <c r="MR31" s="865"/>
      <c r="MS31" s="865"/>
      <c r="MT31" s="865"/>
      <c r="MU31" s="865"/>
      <c r="MV31" s="865"/>
      <c r="MW31" s="865"/>
      <c r="MX31" s="865"/>
      <c r="MY31" s="865"/>
      <c r="MZ31" s="865"/>
      <c r="NA31" s="865"/>
      <c r="NB31" s="865"/>
      <c r="NC31" s="865"/>
      <c r="ND31" s="865"/>
      <c r="NE31" s="865"/>
      <c r="NF31" s="865"/>
      <c r="NG31" s="865"/>
      <c r="NH31" s="865"/>
      <c r="NI31" s="865"/>
      <c r="NJ31" s="865"/>
      <c r="NK31" s="865"/>
      <c r="NL31" s="865"/>
      <c r="NM31" s="865"/>
      <c r="NN31" s="865"/>
      <c r="NO31" s="865"/>
      <c r="NP31" s="865"/>
      <c r="NQ31" s="865"/>
      <c r="NR31" s="865"/>
      <c r="NS31" s="865"/>
      <c r="NT31" s="865"/>
      <c r="NU31" s="865"/>
      <c r="NV31" s="865"/>
      <c r="NW31" s="865"/>
      <c r="NX31" s="865"/>
      <c r="NY31" s="865"/>
      <c r="NZ31" s="865"/>
      <c r="OA31" s="865"/>
      <c r="OB31" s="865"/>
      <c r="OC31" s="865"/>
      <c r="OD31" s="865"/>
      <c r="OE31" s="865"/>
      <c r="OF31" s="865"/>
      <c r="OG31" s="865"/>
      <c r="OH31" s="865"/>
      <c r="OI31" s="865"/>
      <c r="OJ31" s="865"/>
      <c r="OK31" s="865"/>
      <c r="OL31" s="865"/>
      <c r="OM31" s="865"/>
      <c r="ON31" s="865"/>
      <c r="OO31" s="865"/>
      <c r="OP31" s="865"/>
      <c r="OQ31" s="865"/>
      <c r="OR31" s="865"/>
      <c r="OS31" s="865"/>
      <c r="OT31" s="865"/>
      <c r="OU31" s="865"/>
      <c r="OV31" s="865"/>
      <c r="OW31" s="865"/>
      <c r="OX31" s="865"/>
      <c r="OY31" s="865"/>
      <c r="OZ31" s="865"/>
      <c r="PA31" s="865"/>
      <c r="PB31" s="865"/>
      <c r="PC31" s="865"/>
      <c r="PD31" s="865"/>
      <c r="PE31" s="865"/>
      <c r="PF31" s="865"/>
      <c r="PG31" s="865"/>
      <c r="PH31" s="865"/>
      <c r="PI31" s="865"/>
      <c r="PJ31" s="865"/>
      <c r="PK31" s="865"/>
      <c r="PL31" s="865"/>
      <c r="PM31" s="865"/>
      <c r="PN31" s="865"/>
      <c r="PO31" s="865"/>
    </row>
    <row r="32" spans="1:431" s="165" customFormat="1">
      <c r="A32" s="865"/>
      <c r="B32" s="865"/>
      <c r="C32" s="850"/>
      <c r="D32" s="850"/>
      <c r="E32" s="850"/>
      <c r="F32" s="850"/>
      <c r="G32" s="850"/>
      <c r="H32" s="850"/>
      <c r="I32" s="850"/>
      <c r="J32" s="850"/>
      <c r="K32" s="850"/>
      <c r="L32" s="850"/>
      <c r="M32" s="865"/>
      <c r="N32" s="865"/>
      <c r="O32" s="865"/>
      <c r="P32" s="865"/>
      <c r="Q32" s="865"/>
      <c r="R32" s="865"/>
      <c r="S32" s="865"/>
      <c r="T32" s="865"/>
      <c r="U32" s="865"/>
      <c r="V32" s="865"/>
      <c r="W32" s="865"/>
      <c r="X32" s="865"/>
      <c r="Y32" s="865"/>
      <c r="Z32" s="865"/>
      <c r="AA32" s="865"/>
      <c r="AB32" s="865"/>
      <c r="AC32" s="865"/>
      <c r="AD32" s="865"/>
      <c r="AE32" s="865"/>
      <c r="AF32" s="865"/>
      <c r="AG32" s="865"/>
      <c r="AH32" s="865"/>
      <c r="AI32" s="865"/>
      <c r="AJ32" s="865"/>
      <c r="AK32" s="865"/>
      <c r="AL32" s="865"/>
      <c r="AM32" s="865"/>
      <c r="AN32" s="865"/>
      <c r="AO32" s="865"/>
      <c r="AP32" s="865"/>
      <c r="AQ32" s="865"/>
      <c r="AR32" s="865"/>
      <c r="AS32" s="865"/>
      <c r="AT32" s="865"/>
      <c r="AU32" s="865"/>
      <c r="AV32" s="865"/>
      <c r="AW32" s="865"/>
      <c r="AX32" s="865"/>
      <c r="AY32" s="865"/>
      <c r="AZ32" s="865"/>
      <c r="BA32" s="865"/>
      <c r="BB32" s="865"/>
      <c r="BC32" s="865"/>
      <c r="BD32" s="865"/>
      <c r="BE32" s="865"/>
      <c r="BF32" s="865"/>
      <c r="BG32" s="865"/>
      <c r="BH32" s="865"/>
      <c r="BI32" s="865"/>
      <c r="BJ32" s="865"/>
      <c r="BK32" s="865"/>
      <c r="BL32" s="865"/>
      <c r="BM32" s="865"/>
      <c r="BN32" s="865"/>
      <c r="BO32" s="865"/>
      <c r="BP32" s="865"/>
      <c r="BQ32" s="865"/>
      <c r="BR32" s="865"/>
      <c r="BS32" s="865"/>
      <c r="BT32" s="865"/>
      <c r="BU32" s="865"/>
      <c r="BV32" s="865"/>
      <c r="BW32" s="865"/>
      <c r="BX32" s="865"/>
      <c r="BY32" s="865"/>
      <c r="BZ32" s="865"/>
      <c r="CA32" s="865"/>
      <c r="CB32" s="865"/>
      <c r="CC32" s="865"/>
      <c r="CD32" s="865"/>
      <c r="CE32" s="865"/>
      <c r="CF32" s="865"/>
      <c r="CG32" s="865"/>
      <c r="CH32" s="865"/>
      <c r="CI32" s="865"/>
      <c r="CJ32" s="865"/>
      <c r="CK32" s="865"/>
      <c r="CL32" s="865"/>
      <c r="CM32" s="865"/>
      <c r="CN32" s="865"/>
      <c r="CO32" s="865"/>
      <c r="CP32" s="865"/>
      <c r="CQ32" s="865"/>
      <c r="CR32" s="865"/>
      <c r="CS32" s="865"/>
      <c r="CT32" s="865"/>
      <c r="CU32" s="865"/>
      <c r="CV32" s="865"/>
      <c r="CW32" s="865"/>
      <c r="CX32" s="865"/>
      <c r="CY32" s="865"/>
      <c r="CZ32" s="865"/>
      <c r="DA32" s="865"/>
      <c r="DB32" s="865"/>
      <c r="DC32" s="865"/>
      <c r="DD32" s="865"/>
      <c r="DE32" s="865"/>
      <c r="DF32" s="865"/>
      <c r="DG32" s="865"/>
      <c r="DH32" s="865"/>
      <c r="DI32" s="865"/>
      <c r="DJ32" s="865"/>
      <c r="DK32" s="865"/>
      <c r="DL32" s="865"/>
      <c r="DM32" s="865"/>
      <c r="DN32" s="865"/>
      <c r="DO32" s="865"/>
      <c r="DP32" s="865"/>
      <c r="DQ32" s="865"/>
      <c r="DR32" s="865"/>
      <c r="DS32" s="865"/>
      <c r="DT32" s="865"/>
      <c r="DU32" s="865"/>
      <c r="DV32" s="865"/>
      <c r="DW32" s="865"/>
      <c r="DX32" s="865"/>
      <c r="DY32" s="865"/>
      <c r="DZ32" s="865"/>
      <c r="EA32" s="865"/>
      <c r="EB32" s="865"/>
      <c r="EC32" s="865"/>
      <c r="ED32" s="865"/>
      <c r="EE32" s="865"/>
      <c r="EF32" s="865"/>
      <c r="EG32" s="865"/>
      <c r="EH32" s="865"/>
      <c r="EI32" s="865"/>
      <c r="EJ32" s="865"/>
      <c r="EK32" s="865"/>
      <c r="EL32" s="865"/>
      <c r="EM32" s="865"/>
      <c r="EN32" s="865"/>
      <c r="EO32" s="865"/>
      <c r="EP32" s="865"/>
      <c r="EQ32" s="865"/>
      <c r="ER32" s="865"/>
      <c r="ES32" s="865"/>
      <c r="ET32" s="865"/>
      <c r="EU32" s="865"/>
      <c r="EV32" s="865"/>
      <c r="EW32" s="865"/>
      <c r="EX32" s="865"/>
      <c r="EY32" s="865"/>
      <c r="EZ32" s="865"/>
      <c r="FA32" s="865"/>
      <c r="FB32" s="865"/>
      <c r="FC32" s="865"/>
      <c r="FD32" s="865"/>
      <c r="FE32" s="865"/>
      <c r="FF32" s="865"/>
      <c r="FG32" s="865"/>
      <c r="FH32" s="865"/>
      <c r="FI32" s="865"/>
      <c r="FJ32" s="865"/>
      <c r="FK32" s="865"/>
      <c r="FL32" s="865"/>
      <c r="FM32" s="865"/>
      <c r="FN32" s="865"/>
      <c r="FO32" s="865"/>
      <c r="FP32" s="865"/>
      <c r="FQ32" s="865"/>
      <c r="FR32" s="865"/>
      <c r="FS32" s="865"/>
      <c r="FT32" s="865"/>
      <c r="FU32" s="865"/>
      <c r="FV32" s="865"/>
      <c r="FW32" s="865"/>
      <c r="FX32" s="865"/>
      <c r="FY32" s="865"/>
      <c r="FZ32" s="865"/>
      <c r="GA32" s="865"/>
      <c r="GB32" s="865"/>
      <c r="GC32" s="865"/>
      <c r="GD32" s="865"/>
      <c r="GE32" s="865"/>
      <c r="GF32" s="865"/>
      <c r="GG32" s="865"/>
      <c r="GH32" s="865"/>
      <c r="GI32" s="865"/>
      <c r="GJ32" s="865"/>
      <c r="GK32" s="865"/>
      <c r="GL32" s="865"/>
      <c r="GM32" s="865"/>
      <c r="GN32" s="865"/>
      <c r="GO32" s="865"/>
      <c r="GP32" s="865"/>
      <c r="GQ32" s="865"/>
      <c r="GR32" s="865"/>
      <c r="GS32" s="865"/>
      <c r="GT32" s="865"/>
      <c r="GU32" s="865"/>
      <c r="GV32" s="865"/>
      <c r="GW32" s="865"/>
      <c r="GX32" s="865"/>
      <c r="GY32" s="865"/>
      <c r="GZ32" s="865"/>
      <c r="HA32" s="865"/>
      <c r="HB32" s="865"/>
      <c r="HC32" s="865"/>
      <c r="HD32" s="865"/>
      <c r="HE32" s="865"/>
      <c r="HF32" s="865"/>
      <c r="HG32" s="865"/>
      <c r="HH32" s="865"/>
      <c r="HI32" s="865"/>
      <c r="HJ32" s="865"/>
      <c r="HK32" s="865"/>
      <c r="HL32" s="865"/>
      <c r="HM32" s="865"/>
      <c r="HN32" s="865"/>
      <c r="HO32" s="865"/>
      <c r="HP32" s="865"/>
      <c r="HQ32" s="865"/>
      <c r="HR32" s="865"/>
      <c r="HS32" s="865"/>
      <c r="HT32" s="865"/>
      <c r="HU32" s="865"/>
      <c r="HV32" s="865"/>
      <c r="HW32" s="865"/>
      <c r="HX32" s="865"/>
      <c r="HY32" s="865"/>
      <c r="HZ32" s="865"/>
      <c r="IA32" s="865"/>
      <c r="IB32" s="865"/>
      <c r="IC32" s="865"/>
      <c r="ID32" s="865"/>
      <c r="IE32" s="865"/>
      <c r="IF32" s="865"/>
      <c r="IG32" s="865"/>
      <c r="IH32" s="865"/>
      <c r="II32" s="865"/>
      <c r="IJ32" s="865"/>
      <c r="IK32" s="865"/>
      <c r="IL32" s="865"/>
      <c r="IM32" s="865"/>
      <c r="IN32" s="865"/>
      <c r="IO32" s="865"/>
      <c r="IP32" s="865"/>
      <c r="IQ32" s="865"/>
      <c r="IR32" s="865"/>
      <c r="IS32" s="865"/>
      <c r="IT32" s="865"/>
      <c r="IU32" s="865"/>
      <c r="IV32" s="865"/>
      <c r="IW32" s="865"/>
      <c r="IX32" s="865"/>
      <c r="IY32" s="865"/>
      <c r="IZ32" s="865"/>
      <c r="JA32" s="865"/>
      <c r="JB32" s="865"/>
      <c r="JC32" s="865"/>
      <c r="JD32" s="865"/>
      <c r="JE32" s="865"/>
      <c r="JF32" s="865"/>
      <c r="JG32" s="865"/>
      <c r="JH32" s="865"/>
      <c r="JI32" s="865"/>
      <c r="JJ32" s="865"/>
      <c r="JK32" s="865"/>
      <c r="JL32" s="865"/>
      <c r="JM32" s="865"/>
      <c r="JN32" s="865"/>
      <c r="JO32" s="865"/>
      <c r="JP32" s="865"/>
      <c r="JQ32" s="865"/>
      <c r="JR32" s="865"/>
      <c r="JS32" s="865"/>
      <c r="JT32" s="865"/>
      <c r="JU32" s="865"/>
      <c r="JV32" s="865"/>
      <c r="JW32" s="865"/>
      <c r="JX32" s="865"/>
      <c r="JY32" s="865"/>
      <c r="JZ32" s="865"/>
      <c r="KA32" s="865"/>
      <c r="KB32" s="865"/>
      <c r="KC32" s="865"/>
      <c r="KD32" s="865"/>
      <c r="KE32" s="865"/>
      <c r="KF32" s="865"/>
      <c r="KG32" s="865"/>
      <c r="KH32" s="865"/>
      <c r="KI32" s="865"/>
      <c r="KJ32" s="865"/>
      <c r="KK32" s="865"/>
      <c r="KL32" s="865"/>
      <c r="KM32" s="865"/>
      <c r="KN32" s="865"/>
      <c r="KO32" s="865"/>
      <c r="KP32" s="865"/>
      <c r="KQ32" s="865"/>
      <c r="KR32" s="865"/>
      <c r="KS32" s="865"/>
      <c r="KT32" s="865"/>
      <c r="KU32" s="865"/>
      <c r="KV32" s="865"/>
      <c r="KW32" s="865"/>
      <c r="KX32" s="865"/>
      <c r="KY32" s="865"/>
      <c r="KZ32" s="865"/>
      <c r="LA32" s="865"/>
      <c r="LB32" s="865"/>
      <c r="LC32" s="865"/>
      <c r="LD32" s="865"/>
      <c r="LE32" s="865"/>
      <c r="LF32" s="865"/>
      <c r="LG32" s="865"/>
      <c r="LH32" s="865"/>
      <c r="LI32" s="865"/>
      <c r="LJ32" s="865"/>
      <c r="LK32" s="865"/>
      <c r="LL32" s="865"/>
      <c r="LM32" s="865"/>
      <c r="LN32" s="865"/>
      <c r="LO32" s="865"/>
      <c r="LP32" s="865"/>
      <c r="LQ32" s="865"/>
      <c r="LR32" s="865"/>
      <c r="LS32" s="865"/>
      <c r="LT32" s="865"/>
      <c r="LU32" s="865"/>
      <c r="LV32" s="865"/>
      <c r="LW32" s="865"/>
      <c r="LX32" s="865"/>
      <c r="LY32" s="865"/>
      <c r="LZ32" s="865"/>
      <c r="MA32" s="865"/>
      <c r="MB32" s="865"/>
      <c r="MC32" s="865"/>
      <c r="MD32" s="865"/>
      <c r="ME32" s="865"/>
      <c r="MF32" s="865"/>
      <c r="MG32" s="865"/>
      <c r="MH32" s="865"/>
      <c r="MI32" s="865"/>
      <c r="MJ32" s="865"/>
      <c r="MK32" s="865"/>
      <c r="ML32" s="865"/>
      <c r="MM32" s="865"/>
      <c r="MN32" s="865"/>
      <c r="MO32" s="865"/>
      <c r="MP32" s="865"/>
      <c r="MQ32" s="865"/>
      <c r="MR32" s="865"/>
      <c r="MS32" s="865"/>
      <c r="MT32" s="865"/>
      <c r="MU32" s="865"/>
      <c r="MV32" s="865"/>
      <c r="MW32" s="865"/>
      <c r="MX32" s="865"/>
      <c r="MY32" s="865"/>
      <c r="MZ32" s="865"/>
      <c r="NA32" s="865"/>
      <c r="NB32" s="865"/>
      <c r="NC32" s="865"/>
      <c r="ND32" s="865"/>
      <c r="NE32" s="865"/>
      <c r="NF32" s="865"/>
      <c r="NG32" s="865"/>
      <c r="NH32" s="865"/>
      <c r="NI32" s="865"/>
      <c r="NJ32" s="865"/>
      <c r="NK32" s="865"/>
      <c r="NL32" s="865"/>
      <c r="NM32" s="865"/>
      <c r="NN32" s="865"/>
      <c r="NO32" s="865"/>
      <c r="NP32" s="865"/>
      <c r="NQ32" s="865"/>
      <c r="NR32" s="865"/>
      <c r="NS32" s="865"/>
      <c r="NT32" s="865"/>
      <c r="NU32" s="865"/>
      <c r="NV32" s="865"/>
      <c r="NW32" s="865"/>
      <c r="NX32" s="865"/>
      <c r="NY32" s="865"/>
      <c r="NZ32" s="865"/>
      <c r="OA32" s="865"/>
      <c r="OB32" s="865"/>
      <c r="OC32" s="865"/>
      <c r="OD32" s="865"/>
      <c r="OE32" s="865"/>
      <c r="OF32" s="865"/>
      <c r="OG32" s="865"/>
      <c r="OH32" s="865"/>
      <c r="OI32" s="865"/>
      <c r="OJ32" s="865"/>
      <c r="OK32" s="865"/>
      <c r="OL32" s="865"/>
      <c r="OM32" s="865"/>
      <c r="ON32" s="865"/>
      <c r="OO32" s="865"/>
      <c r="OP32" s="865"/>
      <c r="OQ32" s="865"/>
      <c r="OR32" s="865"/>
      <c r="OS32" s="865"/>
      <c r="OT32" s="865"/>
      <c r="OU32" s="865"/>
      <c r="OV32" s="865"/>
      <c r="OW32" s="865"/>
      <c r="OX32" s="865"/>
      <c r="OY32" s="865"/>
      <c r="OZ32" s="865"/>
      <c r="PA32" s="865"/>
      <c r="PB32" s="865"/>
      <c r="PC32" s="865"/>
      <c r="PD32" s="865"/>
      <c r="PE32" s="865"/>
      <c r="PF32" s="865"/>
      <c r="PG32" s="865"/>
      <c r="PH32" s="865"/>
      <c r="PI32" s="865"/>
      <c r="PJ32" s="865"/>
      <c r="PK32" s="865"/>
      <c r="PL32" s="865"/>
      <c r="PM32" s="865"/>
      <c r="PN32" s="865"/>
      <c r="PO32" s="865"/>
    </row>
    <row r="33" spans="1:431" s="165" customFormat="1">
      <c r="A33" s="865"/>
      <c r="B33" s="865"/>
      <c r="C33" s="850"/>
      <c r="D33" s="850"/>
      <c r="E33" s="850"/>
      <c r="F33" s="850"/>
      <c r="G33" s="850"/>
      <c r="H33" s="850"/>
      <c r="I33" s="850"/>
      <c r="J33" s="850"/>
      <c r="K33" s="850"/>
      <c r="L33" s="850"/>
      <c r="M33" s="865"/>
      <c r="N33" s="865"/>
      <c r="O33" s="865"/>
      <c r="P33" s="865"/>
      <c r="Q33" s="865"/>
      <c r="R33" s="865"/>
      <c r="S33" s="865"/>
      <c r="T33" s="865"/>
      <c r="U33" s="865"/>
      <c r="V33" s="865"/>
      <c r="W33" s="865"/>
      <c r="X33" s="865"/>
      <c r="Y33" s="865"/>
      <c r="Z33" s="865"/>
      <c r="AA33" s="865"/>
      <c r="AB33" s="865"/>
      <c r="AC33" s="865"/>
      <c r="AD33" s="865"/>
      <c r="AE33" s="865"/>
      <c r="AF33" s="865"/>
      <c r="AG33" s="865"/>
      <c r="AH33" s="865"/>
      <c r="AI33" s="865"/>
      <c r="AJ33" s="865"/>
      <c r="AK33" s="865"/>
      <c r="AL33" s="865"/>
      <c r="AM33" s="865"/>
      <c r="AN33" s="865"/>
      <c r="AO33" s="865"/>
      <c r="AP33" s="865"/>
      <c r="AQ33" s="865"/>
      <c r="AR33" s="865"/>
      <c r="AS33" s="865"/>
      <c r="AT33" s="865"/>
      <c r="AU33" s="865"/>
      <c r="AV33" s="865"/>
      <c r="AW33" s="865"/>
      <c r="AX33" s="865"/>
      <c r="AY33" s="865"/>
      <c r="AZ33" s="865"/>
      <c r="BA33" s="865"/>
      <c r="BB33" s="865"/>
      <c r="BC33" s="865"/>
      <c r="BD33" s="865"/>
      <c r="BE33" s="865"/>
      <c r="BF33" s="865"/>
      <c r="BG33" s="865"/>
      <c r="BH33" s="865"/>
      <c r="BI33" s="865"/>
      <c r="BJ33" s="865"/>
      <c r="BK33" s="865"/>
      <c r="BL33" s="865"/>
      <c r="BM33" s="865"/>
      <c r="BN33" s="865"/>
      <c r="BO33" s="865"/>
      <c r="BP33" s="865"/>
      <c r="BQ33" s="865"/>
      <c r="BR33" s="865"/>
      <c r="BS33" s="865"/>
      <c r="BT33" s="865"/>
      <c r="BU33" s="865"/>
      <c r="BV33" s="865"/>
      <c r="BW33" s="865"/>
      <c r="BX33" s="865"/>
      <c r="BY33" s="865"/>
      <c r="BZ33" s="865"/>
      <c r="CA33" s="865"/>
      <c r="CB33" s="865"/>
      <c r="CC33" s="865"/>
      <c r="CD33" s="865"/>
      <c r="CE33" s="865"/>
      <c r="CF33" s="865"/>
      <c r="CG33" s="865"/>
      <c r="CH33" s="865"/>
      <c r="CI33" s="865"/>
      <c r="CJ33" s="865"/>
      <c r="CK33" s="865"/>
      <c r="CL33" s="865"/>
      <c r="CM33" s="865"/>
      <c r="CN33" s="865"/>
      <c r="CO33" s="865"/>
      <c r="CP33" s="865"/>
      <c r="CQ33" s="865"/>
      <c r="CR33" s="865"/>
      <c r="CS33" s="865"/>
      <c r="CT33" s="865"/>
      <c r="CU33" s="865"/>
      <c r="CV33" s="865"/>
      <c r="CW33" s="865"/>
      <c r="CX33" s="865"/>
      <c r="CY33" s="865"/>
      <c r="CZ33" s="865"/>
      <c r="DA33" s="865"/>
      <c r="DB33" s="865"/>
      <c r="DC33" s="865"/>
      <c r="DD33" s="865"/>
      <c r="DE33" s="865"/>
      <c r="DF33" s="865"/>
      <c r="DG33" s="865"/>
      <c r="DH33" s="865"/>
      <c r="DI33" s="865"/>
      <c r="DJ33" s="865"/>
      <c r="DK33" s="865"/>
      <c r="DL33" s="865"/>
      <c r="DM33" s="865"/>
      <c r="DN33" s="865"/>
      <c r="DO33" s="865"/>
      <c r="DP33" s="865"/>
      <c r="DQ33" s="865"/>
      <c r="DR33" s="865"/>
      <c r="DS33" s="865"/>
      <c r="DT33" s="865"/>
      <c r="DU33" s="865"/>
      <c r="DV33" s="865"/>
      <c r="DW33" s="865"/>
      <c r="DX33" s="865"/>
      <c r="DY33" s="865"/>
      <c r="DZ33" s="865"/>
      <c r="EA33" s="865"/>
      <c r="EB33" s="865"/>
      <c r="EC33" s="865"/>
      <c r="ED33" s="865"/>
      <c r="EE33" s="865"/>
      <c r="EF33" s="865"/>
      <c r="EG33" s="865"/>
      <c r="EH33" s="865"/>
      <c r="EI33" s="865"/>
      <c r="EJ33" s="865"/>
      <c r="EK33" s="865"/>
      <c r="EL33" s="865"/>
      <c r="EM33" s="865"/>
      <c r="EN33" s="865"/>
      <c r="EO33" s="865"/>
      <c r="EP33" s="865"/>
      <c r="EQ33" s="865"/>
      <c r="ER33" s="865"/>
      <c r="ES33" s="865"/>
      <c r="ET33" s="865"/>
      <c r="EU33" s="865"/>
      <c r="EV33" s="865"/>
      <c r="EW33" s="865"/>
      <c r="EX33" s="865"/>
      <c r="EY33" s="865"/>
      <c r="EZ33" s="865"/>
      <c r="FA33" s="865"/>
      <c r="FB33" s="865"/>
      <c r="FC33" s="865"/>
      <c r="FD33" s="865"/>
      <c r="FE33" s="865"/>
      <c r="FF33" s="865"/>
      <c r="FG33" s="865"/>
      <c r="FH33" s="865"/>
      <c r="FI33" s="865"/>
      <c r="FJ33" s="865"/>
      <c r="FK33" s="865"/>
      <c r="FL33" s="865"/>
      <c r="FM33" s="865"/>
      <c r="FN33" s="865"/>
      <c r="FO33" s="865"/>
      <c r="FP33" s="865"/>
      <c r="FQ33" s="865"/>
      <c r="FR33" s="865"/>
      <c r="FS33" s="865"/>
      <c r="FT33" s="865"/>
      <c r="FU33" s="865"/>
      <c r="FV33" s="865"/>
      <c r="FW33" s="865"/>
      <c r="FX33" s="865"/>
      <c r="FY33" s="865"/>
      <c r="FZ33" s="865"/>
      <c r="GA33" s="865"/>
      <c r="GB33" s="865"/>
      <c r="GC33" s="865"/>
      <c r="GD33" s="865"/>
      <c r="GE33" s="865"/>
      <c r="GF33" s="865"/>
      <c r="GG33" s="865"/>
      <c r="GH33" s="865"/>
      <c r="GI33" s="865"/>
      <c r="GJ33" s="865"/>
      <c r="GK33" s="865"/>
      <c r="GL33" s="865"/>
      <c r="GM33" s="865"/>
      <c r="GN33" s="865"/>
      <c r="GO33" s="865"/>
      <c r="GP33" s="865"/>
      <c r="GQ33" s="865"/>
      <c r="GR33" s="865"/>
      <c r="GS33" s="865"/>
      <c r="GT33" s="865"/>
      <c r="GU33" s="865"/>
      <c r="GV33" s="865"/>
      <c r="GW33" s="865"/>
      <c r="GX33" s="865"/>
      <c r="GY33" s="865"/>
      <c r="GZ33" s="865"/>
      <c r="HA33" s="865"/>
      <c r="HB33" s="865"/>
      <c r="HC33" s="865"/>
      <c r="HD33" s="865"/>
      <c r="HE33" s="865"/>
      <c r="HF33" s="865"/>
      <c r="HG33" s="865"/>
      <c r="HH33" s="865"/>
      <c r="HI33" s="865"/>
      <c r="HJ33" s="865"/>
      <c r="HK33" s="865"/>
      <c r="HL33" s="865"/>
      <c r="HM33" s="865"/>
      <c r="HN33" s="865"/>
      <c r="HO33" s="865"/>
      <c r="HP33" s="865"/>
      <c r="HQ33" s="865"/>
      <c r="HR33" s="865"/>
      <c r="HS33" s="865"/>
      <c r="HT33" s="865"/>
      <c r="HU33" s="865"/>
      <c r="HV33" s="865"/>
      <c r="HW33" s="865"/>
      <c r="HX33" s="865"/>
      <c r="HY33" s="865"/>
      <c r="HZ33" s="865"/>
      <c r="IA33" s="865"/>
      <c r="IB33" s="865"/>
      <c r="IC33" s="865"/>
      <c r="ID33" s="865"/>
      <c r="IE33" s="865"/>
      <c r="IF33" s="865"/>
      <c r="IG33" s="865"/>
      <c r="IH33" s="865"/>
      <c r="II33" s="865"/>
      <c r="IJ33" s="865"/>
      <c r="IK33" s="865"/>
      <c r="IL33" s="865"/>
      <c r="IM33" s="865"/>
      <c r="IN33" s="865"/>
      <c r="IO33" s="865"/>
      <c r="IP33" s="865"/>
      <c r="IQ33" s="865"/>
      <c r="IR33" s="865"/>
      <c r="IS33" s="865"/>
      <c r="IT33" s="865"/>
      <c r="IU33" s="865"/>
      <c r="IV33" s="865"/>
      <c r="IW33" s="865"/>
      <c r="IX33" s="865"/>
      <c r="IY33" s="865"/>
      <c r="IZ33" s="865"/>
      <c r="JA33" s="865"/>
      <c r="JB33" s="865"/>
      <c r="JC33" s="865"/>
      <c r="JD33" s="865"/>
      <c r="JE33" s="865"/>
      <c r="JF33" s="865"/>
      <c r="JG33" s="865"/>
      <c r="JH33" s="865"/>
      <c r="JI33" s="865"/>
      <c r="JJ33" s="865"/>
      <c r="JK33" s="865"/>
      <c r="JL33" s="865"/>
      <c r="JM33" s="865"/>
      <c r="JN33" s="865"/>
      <c r="JO33" s="865"/>
      <c r="JP33" s="865"/>
      <c r="JQ33" s="865"/>
      <c r="JR33" s="865"/>
      <c r="JS33" s="865"/>
      <c r="JT33" s="865"/>
      <c r="JU33" s="865"/>
      <c r="JV33" s="865"/>
      <c r="JW33" s="865"/>
      <c r="JX33" s="865"/>
      <c r="JY33" s="865"/>
      <c r="JZ33" s="865"/>
      <c r="KA33" s="865"/>
      <c r="KB33" s="865"/>
      <c r="KC33" s="865"/>
      <c r="KD33" s="865"/>
      <c r="KE33" s="865"/>
      <c r="KF33" s="865"/>
      <c r="KG33" s="865"/>
      <c r="KH33" s="865"/>
      <c r="KI33" s="865"/>
      <c r="KJ33" s="865"/>
      <c r="KK33" s="865"/>
      <c r="KL33" s="865"/>
      <c r="KM33" s="865"/>
      <c r="KN33" s="865"/>
      <c r="KO33" s="865"/>
      <c r="KP33" s="865"/>
      <c r="KQ33" s="865"/>
      <c r="KR33" s="865"/>
      <c r="KS33" s="865"/>
      <c r="KT33" s="865"/>
      <c r="KU33" s="865"/>
      <c r="KV33" s="865"/>
      <c r="KW33" s="865"/>
      <c r="KX33" s="865"/>
      <c r="KY33" s="865"/>
      <c r="KZ33" s="865"/>
      <c r="LA33" s="865"/>
      <c r="LB33" s="865"/>
      <c r="LC33" s="865"/>
      <c r="LD33" s="865"/>
      <c r="LE33" s="865"/>
      <c r="LF33" s="865"/>
      <c r="LG33" s="865"/>
      <c r="LH33" s="865"/>
      <c r="LI33" s="865"/>
      <c r="LJ33" s="865"/>
      <c r="LK33" s="865"/>
      <c r="LL33" s="865"/>
      <c r="LM33" s="865"/>
      <c r="LN33" s="865"/>
      <c r="LO33" s="865"/>
      <c r="LP33" s="865"/>
      <c r="LQ33" s="865"/>
      <c r="LR33" s="865"/>
      <c r="LS33" s="865"/>
      <c r="LT33" s="865"/>
      <c r="LU33" s="865"/>
      <c r="LV33" s="865"/>
      <c r="LW33" s="865"/>
      <c r="LX33" s="865"/>
      <c r="LY33" s="865"/>
      <c r="LZ33" s="865"/>
      <c r="MA33" s="865"/>
      <c r="MB33" s="865"/>
      <c r="MC33" s="865"/>
      <c r="MD33" s="865"/>
      <c r="ME33" s="865"/>
      <c r="MF33" s="865"/>
      <c r="MG33" s="865"/>
      <c r="MH33" s="865"/>
      <c r="MI33" s="865"/>
      <c r="MJ33" s="865"/>
      <c r="MK33" s="865"/>
      <c r="ML33" s="865"/>
      <c r="MM33" s="865"/>
      <c r="MN33" s="865"/>
      <c r="MO33" s="865"/>
      <c r="MP33" s="865"/>
      <c r="MQ33" s="865"/>
      <c r="MR33" s="865"/>
      <c r="MS33" s="865"/>
      <c r="MT33" s="865"/>
      <c r="MU33" s="865"/>
      <c r="MV33" s="865"/>
      <c r="MW33" s="865"/>
      <c r="MX33" s="865"/>
      <c r="MY33" s="865"/>
      <c r="MZ33" s="865"/>
      <c r="NA33" s="865"/>
      <c r="NB33" s="865"/>
      <c r="NC33" s="865"/>
      <c r="ND33" s="865"/>
      <c r="NE33" s="865"/>
      <c r="NF33" s="865"/>
      <c r="NG33" s="865"/>
      <c r="NH33" s="865"/>
      <c r="NI33" s="865"/>
      <c r="NJ33" s="865"/>
      <c r="NK33" s="865"/>
      <c r="NL33" s="865"/>
      <c r="NM33" s="865"/>
      <c r="NN33" s="865"/>
      <c r="NO33" s="865"/>
      <c r="NP33" s="865"/>
      <c r="NQ33" s="865"/>
      <c r="NR33" s="865"/>
      <c r="NS33" s="865"/>
      <c r="NT33" s="865"/>
      <c r="NU33" s="865"/>
      <c r="NV33" s="865"/>
      <c r="NW33" s="865"/>
      <c r="NX33" s="865"/>
      <c r="NY33" s="865"/>
      <c r="NZ33" s="865"/>
      <c r="OA33" s="865"/>
      <c r="OB33" s="865"/>
      <c r="OC33" s="865"/>
      <c r="OD33" s="865"/>
      <c r="OE33" s="865"/>
      <c r="OF33" s="865"/>
      <c r="OG33" s="865"/>
      <c r="OH33" s="865"/>
      <c r="OI33" s="865"/>
      <c r="OJ33" s="865"/>
      <c r="OK33" s="865"/>
      <c r="OL33" s="865"/>
      <c r="OM33" s="865"/>
      <c r="ON33" s="865"/>
      <c r="OO33" s="865"/>
      <c r="OP33" s="865"/>
      <c r="OQ33" s="865"/>
      <c r="OR33" s="865"/>
      <c r="OS33" s="865"/>
      <c r="OT33" s="865"/>
      <c r="OU33" s="865"/>
      <c r="OV33" s="865"/>
      <c r="OW33" s="865"/>
      <c r="OX33" s="865"/>
      <c r="OY33" s="865"/>
      <c r="OZ33" s="865"/>
      <c r="PA33" s="865"/>
      <c r="PB33" s="865"/>
      <c r="PC33" s="865"/>
      <c r="PD33" s="865"/>
      <c r="PE33" s="865"/>
      <c r="PF33" s="865"/>
      <c r="PG33" s="865"/>
      <c r="PH33" s="865"/>
      <c r="PI33" s="865"/>
      <c r="PJ33" s="865"/>
      <c r="PK33" s="865"/>
      <c r="PL33" s="865"/>
      <c r="PM33" s="865"/>
      <c r="PN33" s="865"/>
      <c r="PO33" s="865"/>
    </row>
    <row r="34" spans="1:431" s="165" customFormat="1">
      <c r="A34" s="865"/>
      <c r="B34" s="865"/>
      <c r="C34" s="850"/>
      <c r="D34" s="850"/>
      <c r="E34" s="850"/>
      <c r="F34" s="850"/>
      <c r="G34" s="850"/>
      <c r="H34" s="850"/>
      <c r="I34" s="850"/>
      <c r="J34" s="850"/>
      <c r="K34" s="850"/>
      <c r="L34" s="850"/>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865"/>
      <c r="AP34" s="865"/>
      <c r="AQ34" s="865"/>
      <c r="AR34" s="865"/>
      <c r="AS34" s="865"/>
      <c r="AT34" s="865"/>
      <c r="AU34" s="865"/>
      <c r="AV34" s="865"/>
      <c r="AW34" s="865"/>
      <c r="AX34" s="865"/>
      <c r="AY34" s="865"/>
      <c r="AZ34" s="865"/>
      <c r="BA34" s="865"/>
      <c r="BB34" s="865"/>
      <c r="BC34" s="865"/>
      <c r="BD34" s="865"/>
      <c r="BE34" s="865"/>
      <c r="BF34" s="865"/>
      <c r="BG34" s="865"/>
      <c r="BH34" s="865"/>
      <c r="BI34" s="865"/>
      <c r="BJ34" s="865"/>
      <c r="BK34" s="865"/>
      <c r="BL34" s="865"/>
      <c r="BM34" s="865"/>
      <c r="BN34" s="865"/>
      <c r="BO34" s="865"/>
      <c r="BP34" s="865"/>
      <c r="BQ34" s="865"/>
      <c r="BR34" s="865"/>
      <c r="BS34" s="865"/>
      <c r="BT34" s="865"/>
      <c r="BU34" s="865"/>
      <c r="BV34" s="865"/>
      <c r="BW34" s="865"/>
      <c r="BX34" s="865"/>
      <c r="BY34" s="865"/>
      <c r="BZ34" s="865"/>
      <c r="CA34" s="865"/>
      <c r="CB34" s="865"/>
      <c r="CC34" s="865"/>
      <c r="CD34" s="865"/>
      <c r="CE34" s="865"/>
      <c r="CF34" s="865"/>
      <c r="CG34" s="865"/>
      <c r="CH34" s="865"/>
      <c r="CI34" s="865"/>
      <c r="CJ34" s="865"/>
      <c r="CK34" s="865"/>
      <c r="CL34" s="865"/>
      <c r="CM34" s="865"/>
      <c r="CN34" s="865"/>
      <c r="CO34" s="865"/>
      <c r="CP34" s="865"/>
      <c r="CQ34" s="865"/>
      <c r="CR34" s="865"/>
      <c r="CS34" s="865"/>
      <c r="CT34" s="865"/>
      <c r="CU34" s="865"/>
      <c r="CV34" s="865"/>
      <c r="CW34" s="865"/>
      <c r="CX34" s="865"/>
      <c r="CY34" s="865"/>
      <c r="CZ34" s="865"/>
      <c r="DA34" s="865"/>
      <c r="DB34" s="865"/>
      <c r="DC34" s="865"/>
      <c r="DD34" s="865"/>
      <c r="DE34" s="865"/>
      <c r="DF34" s="865"/>
      <c r="DG34" s="865"/>
      <c r="DH34" s="865"/>
      <c r="DI34" s="865"/>
      <c r="DJ34" s="865"/>
      <c r="DK34" s="865"/>
      <c r="DL34" s="865"/>
      <c r="DM34" s="865"/>
      <c r="DN34" s="865"/>
      <c r="DO34" s="865"/>
      <c r="DP34" s="865"/>
      <c r="DQ34" s="865"/>
      <c r="DR34" s="865"/>
      <c r="DS34" s="865"/>
      <c r="DT34" s="865"/>
      <c r="DU34" s="865"/>
      <c r="DV34" s="865"/>
      <c r="DW34" s="865"/>
      <c r="DX34" s="865"/>
      <c r="DY34" s="865"/>
      <c r="DZ34" s="865"/>
      <c r="EA34" s="865"/>
      <c r="EB34" s="865"/>
      <c r="EC34" s="865"/>
      <c r="ED34" s="865"/>
      <c r="EE34" s="865"/>
      <c r="EF34" s="865"/>
      <c r="EG34" s="865"/>
      <c r="EH34" s="865"/>
      <c r="EI34" s="865"/>
      <c r="EJ34" s="865"/>
      <c r="EK34" s="865"/>
      <c r="EL34" s="865"/>
      <c r="EM34" s="865"/>
      <c r="EN34" s="865"/>
      <c r="EO34" s="865"/>
      <c r="EP34" s="865"/>
      <c r="EQ34" s="865"/>
      <c r="ER34" s="865"/>
      <c r="ES34" s="865"/>
      <c r="ET34" s="865"/>
      <c r="EU34" s="865"/>
      <c r="EV34" s="865"/>
      <c r="EW34" s="865"/>
      <c r="EX34" s="865"/>
      <c r="EY34" s="865"/>
      <c r="EZ34" s="865"/>
      <c r="FA34" s="865"/>
      <c r="FB34" s="865"/>
      <c r="FC34" s="865"/>
      <c r="FD34" s="865"/>
      <c r="FE34" s="865"/>
      <c r="FF34" s="865"/>
      <c r="FG34" s="865"/>
      <c r="FH34" s="865"/>
      <c r="FI34" s="865"/>
      <c r="FJ34" s="865"/>
      <c r="FK34" s="865"/>
      <c r="FL34" s="865"/>
      <c r="FM34" s="865"/>
      <c r="FN34" s="865"/>
      <c r="FO34" s="865"/>
      <c r="FP34" s="865"/>
      <c r="FQ34" s="865"/>
      <c r="FR34" s="865"/>
      <c r="FS34" s="865"/>
      <c r="FT34" s="865"/>
      <c r="FU34" s="865"/>
      <c r="FV34" s="865"/>
      <c r="FW34" s="865"/>
      <c r="FX34" s="865"/>
      <c r="FY34" s="865"/>
      <c r="FZ34" s="865"/>
      <c r="GA34" s="865"/>
      <c r="GB34" s="865"/>
      <c r="GC34" s="865"/>
      <c r="GD34" s="865"/>
      <c r="GE34" s="865"/>
      <c r="GF34" s="865"/>
      <c r="GG34" s="865"/>
      <c r="GH34" s="865"/>
      <c r="GI34" s="865"/>
      <c r="GJ34" s="865"/>
      <c r="GK34" s="865"/>
      <c r="GL34" s="865"/>
      <c r="GM34" s="865"/>
      <c r="GN34" s="865"/>
      <c r="GO34" s="865"/>
      <c r="GP34" s="865"/>
      <c r="GQ34" s="865"/>
      <c r="GR34" s="865"/>
      <c r="GS34" s="865"/>
      <c r="GT34" s="865"/>
      <c r="GU34" s="865"/>
      <c r="GV34" s="865"/>
      <c r="GW34" s="865"/>
      <c r="GX34" s="865"/>
      <c r="GY34" s="865"/>
      <c r="GZ34" s="865"/>
      <c r="HA34" s="865"/>
      <c r="HB34" s="865"/>
      <c r="HC34" s="865"/>
      <c r="HD34" s="865"/>
      <c r="HE34" s="865"/>
      <c r="HF34" s="865"/>
      <c r="HG34" s="865"/>
      <c r="HH34" s="865"/>
      <c r="HI34" s="865"/>
      <c r="HJ34" s="865"/>
      <c r="HK34" s="865"/>
      <c r="HL34" s="865"/>
      <c r="HM34" s="865"/>
      <c r="HN34" s="865"/>
      <c r="HO34" s="865"/>
      <c r="HP34" s="865"/>
      <c r="HQ34" s="865"/>
      <c r="HR34" s="865"/>
      <c r="HS34" s="865"/>
      <c r="HT34" s="865"/>
      <c r="HU34" s="865"/>
      <c r="HV34" s="865"/>
      <c r="HW34" s="865"/>
      <c r="HX34" s="865"/>
      <c r="HY34" s="865"/>
      <c r="HZ34" s="865"/>
      <c r="IA34" s="865"/>
      <c r="IB34" s="865"/>
      <c r="IC34" s="865"/>
      <c r="ID34" s="865"/>
      <c r="IE34" s="865"/>
      <c r="IF34" s="865"/>
      <c r="IG34" s="865"/>
      <c r="IH34" s="865"/>
      <c r="II34" s="865"/>
      <c r="IJ34" s="865"/>
      <c r="IK34" s="865"/>
      <c r="IL34" s="865"/>
      <c r="IM34" s="865"/>
      <c r="IN34" s="865"/>
      <c r="IO34" s="865"/>
      <c r="IP34" s="865"/>
      <c r="IQ34" s="865"/>
      <c r="IR34" s="865"/>
      <c r="IS34" s="865"/>
      <c r="IT34" s="865"/>
      <c r="IU34" s="865"/>
      <c r="IV34" s="865"/>
      <c r="IW34" s="865"/>
      <c r="IX34" s="865"/>
      <c r="IY34" s="865"/>
      <c r="IZ34" s="865"/>
      <c r="JA34" s="865"/>
      <c r="JB34" s="865"/>
      <c r="JC34" s="865"/>
      <c r="JD34" s="865"/>
      <c r="JE34" s="865"/>
      <c r="JF34" s="865"/>
      <c r="JG34" s="865"/>
      <c r="JH34" s="865"/>
      <c r="JI34" s="865"/>
      <c r="JJ34" s="865"/>
      <c r="JK34" s="865"/>
      <c r="JL34" s="865"/>
      <c r="JM34" s="865"/>
      <c r="JN34" s="865"/>
      <c r="JO34" s="865"/>
      <c r="JP34" s="865"/>
      <c r="JQ34" s="865"/>
      <c r="JR34" s="865"/>
      <c r="JS34" s="865"/>
      <c r="JT34" s="865"/>
      <c r="JU34" s="865"/>
      <c r="JV34" s="865"/>
      <c r="JW34" s="865"/>
      <c r="JX34" s="865"/>
      <c r="JY34" s="865"/>
      <c r="JZ34" s="865"/>
      <c r="KA34" s="865"/>
      <c r="KB34" s="865"/>
      <c r="KC34" s="865"/>
      <c r="KD34" s="865"/>
      <c r="KE34" s="865"/>
      <c r="KF34" s="865"/>
      <c r="KG34" s="865"/>
      <c r="KH34" s="865"/>
      <c r="KI34" s="865"/>
      <c r="KJ34" s="865"/>
      <c r="KK34" s="865"/>
      <c r="KL34" s="865"/>
      <c r="KM34" s="865"/>
      <c r="KN34" s="865"/>
      <c r="KO34" s="865"/>
      <c r="KP34" s="865"/>
      <c r="KQ34" s="865"/>
      <c r="KR34" s="865"/>
      <c r="KS34" s="865"/>
      <c r="KT34" s="865"/>
      <c r="KU34" s="865"/>
      <c r="KV34" s="865"/>
      <c r="KW34" s="865"/>
      <c r="KX34" s="865"/>
      <c r="KY34" s="865"/>
      <c r="KZ34" s="865"/>
      <c r="LA34" s="865"/>
      <c r="LB34" s="865"/>
      <c r="LC34" s="865"/>
      <c r="LD34" s="865"/>
      <c r="LE34" s="865"/>
      <c r="LF34" s="865"/>
      <c r="LG34" s="865"/>
      <c r="LH34" s="865"/>
      <c r="LI34" s="865"/>
      <c r="LJ34" s="865"/>
      <c r="LK34" s="865"/>
      <c r="LL34" s="865"/>
      <c r="LM34" s="865"/>
      <c r="LN34" s="865"/>
      <c r="LO34" s="865"/>
      <c r="LP34" s="865"/>
      <c r="LQ34" s="865"/>
      <c r="LR34" s="865"/>
      <c r="LS34" s="865"/>
      <c r="LT34" s="865"/>
      <c r="LU34" s="865"/>
      <c r="LV34" s="865"/>
      <c r="LW34" s="865"/>
      <c r="LX34" s="865"/>
      <c r="LY34" s="865"/>
      <c r="LZ34" s="865"/>
      <c r="MA34" s="865"/>
      <c r="MB34" s="865"/>
      <c r="MC34" s="865"/>
      <c r="MD34" s="865"/>
      <c r="ME34" s="865"/>
      <c r="MF34" s="865"/>
      <c r="MG34" s="865"/>
      <c r="MH34" s="865"/>
      <c r="MI34" s="865"/>
      <c r="MJ34" s="865"/>
      <c r="MK34" s="865"/>
      <c r="ML34" s="865"/>
      <c r="MM34" s="865"/>
      <c r="MN34" s="865"/>
      <c r="MO34" s="865"/>
      <c r="MP34" s="865"/>
      <c r="MQ34" s="865"/>
      <c r="MR34" s="865"/>
      <c r="MS34" s="865"/>
      <c r="MT34" s="865"/>
      <c r="MU34" s="865"/>
      <c r="MV34" s="865"/>
      <c r="MW34" s="865"/>
      <c r="MX34" s="865"/>
      <c r="MY34" s="865"/>
      <c r="MZ34" s="865"/>
      <c r="NA34" s="865"/>
      <c r="NB34" s="865"/>
      <c r="NC34" s="865"/>
      <c r="ND34" s="865"/>
      <c r="NE34" s="865"/>
      <c r="NF34" s="865"/>
      <c r="NG34" s="865"/>
      <c r="NH34" s="865"/>
      <c r="NI34" s="865"/>
      <c r="NJ34" s="865"/>
      <c r="NK34" s="865"/>
      <c r="NL34" s="865"/>
      <c r="NM34" s="865"/>
      <c r="NN34" s="865"/>
      <c r="NO34" s="865"/>
      <c r="NP34" s="865"/>
      <c r="NQ34" s="865"/>
      <c r="NR34" s="865"/>
      <c r="NS34" s="865"/>
      <c r="NT34" s="865"/>
      <c r="NU34" s="865"/>
      <c r="NV34" s="865"/>
      <c r="NW34" s="865"/>
      <c r="NX34" s="865"/>
      <c r="NY34" s="865"/>
      <c r="NZ34" s="865"/>
      <c r="OA34" s="865"/>
      <c r="OB34" s="865"/>
      <c r="OC34" s="865"/>
      <c r="OD34" s="865"/>
      <c r="OE34" s="865"/>
      <c r="OF34" s="865"/>
      <c r="OG34" s="865"/>
      <c r="OH34" s="865"/>
      <c r="OI34" s="865"/>
      <c r="OJ34" s="865"/>
      <c r="OK34" s="865"/>
      <c r="OL34" s="865"/>
      <c r="OM34" s="865"/>
      <c r="ON34" s="865"/>
      <c r="OO34" s="865"/>
      <c r="OP34" s="865"/>
      <c r="OQ34" s="865"/>
      <c r="OR34" s="865"/>
      <c r="OS34" s="865"/>
      <c r="OT34" s="865"/>
      <c r="OU34" s="865"/>
      <c r="OV34" s="865"/>
      <c r="OW34" s="865"/>
      <c r="OX34" s="865"/>
      <c r="OY34" s="865"/>
      <c r="OZ34" s="865"/>
      <c r="PA34" s="865"/>
      <c r="PB34" s="865"/>
      <c r="PC34" s="865"/>
      <c r="PD34" s="865"/>
      <c r="PE34" s="865"/>
      <c r="PF34" s="865"/>
      <c r="PG34" s="865"/>
      <c r="PH34" s="865"/>
      <c r="PI34" s="865"/>
      <c r="PJ34" s="865"/>
      <c r="PK34" s="865"/>
      <c r="PL34" s="865"/>
      <c r="PM34" s="865"/>
      <c r="PN34" s="865"/>
      <c r="PO34" s="865"/>
    </row>
    <row r="35" spans="1:431" s="165" customFormat="1">
      <c r="A35" s="865"/>
      <c r="B35" s="865"/>
      <c r="C35" s="850"/>
      <c r="D35" s="850"/>
      <c r="E35" s="850"/>
      <c r="F35" s="850"/>
      <c r="G35" s="850"/>
      <c r="H35" s="850"/>
      <c r="I35" s="850"/>
      <c r="J35" s="850"/>
      <c r="K35" s="850"/>
      <c r="L35" s="850"/>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5"/>
      <c r="AY35" s="865"/>
      <c r="AZ35" s="865"/>
      <c r="BA35" s="865"/>
      <c r="BB35" s="865"/>
      <c r="BC35" s="865"/>
      <c r="BD35" s="865"/>
      <c r="BE35" s="865"/>
      <c r="BF35" s="865"/>
      <c r="BG35" s="865"/>
      <c r="BH35" s="865"/>
      <c r="BI35" s="865"/>
      <c r="BJ35" s="865"/>
      <c r="BK35" s="865"/>
      <c r="BL35" s="865"/>
      <c r="BM35" s="865"/>
      <c r="BN35" s="865"/>
      <c r="BO35" s="865"/>
      <c r="BP35" s="865"/>
      <c r="BQ35" s="865"/>
      <c r="BR35" s="865"/>
      <c r="BS35" s="865"/>
      <c r="BT35" s="865"/>
      <c r="BU35" s="865"/>
      <c r="BV35" s="865"/>
      <c r="BW35" s="865"/>
      <c r="BX35" s="865"/>
      <c r="BY35" s="865"/>
      <c r="BZ35" s="865"/>
      <c r="CA35" s="865"/>
      <c r="CB35" s="865"/>
      <c r="CC35" s="865"/>
      <c r="CD35" s="865"/>
      <c r="CE35" s="865"/>
      <c r="CF35" s="865"/>
      <c r="CG35" s="865"/>
      <c r="CH35" s="865"/>
      <c r="CI35" s="865"/>
      <c r="CJ35" s="865"/>
      <c r="CK35" s="865"/>
      <c r="CL35" s="865"/>
      <c r="CM35" s="865"/>
      <c r="CN35" s="865"/>
      <c r="CO35" s="865"/>
      <c r="CP35" s="865"/>
      <c r="CQ35" s="865"/>
      <c r="CR35" s="865"/>
      <c r="CS35" s="865"/>
      <c r="CT35" s="865"/>
      <c r="CU35" s="865"/>
      <c r="CV35" s="865"/>
      <c r="CW35" s="865"/>
      <c r="CX35" s="865"/>
      <c r="CY35" s="865"/>
      <c r="CZ35" s="865"/>
      <c r="DA35" s="865"/>
      <c r="DB35" s="865"/>
      <c r="DC35" s="865"/>
      <c r="DD35" s="865"/>
      <c r="DE35" s="865"/>
      <c r="DF35" s="865"/>
      <c r="DG35" s="865"/>
      <c r="DH35" s="865"/>
      <c r="DI35" s="865"/>
      <c r="DJ35" s="865"/>
      <c r="DK35" s="865"/>
      <c r="DL35" s="865"/>
      <c r="DM35" s="865"/>
      <c r="DN35" s="865"/>
      <c r="DO35" s="865"/>
      <c r="DP35" s="865"/>
      <c r="DQ35" s="865"/>
      <c r="DR35" s="865"/>
      <c r="DS35" s="865"/>
      <c r="DT35" s="865"/>
      <c r="DU35" s="865"/>
      <c r="DV35" s="865"/>
      <c r="DW35" s="865"/>
      <c r="DX35" s="865"/>
      <c r="DY35" s="865"/>
      <c r="DZ35" s="865"/>
      <c r="EA35" s="865"/>
      <c r="EB35" s="865"/>
      <c r="EC35" s="865"/>
      <c r="ED35" s="865"/>
      <c r="EE35" s="865"/>
      <c r="EF35" s="865"/>
      <c r="EG35" s="865"/>
      <c r="EH35" s="865"/>
      <c r="EI35" s="865"/>
      <c r="EJ35" s="865"/>
      <c r="EK35" s="865"/>
      <c r="EL35" s="865"/>
      <c r="EM35" s="865"/>
      <c r="EN35" s="865"/>
      <c r="EO35" s="865"/>
      <c r="EP35" s="865"/>
      <c r="EQ35" s="865"/>
      <c r="ER35" s="865"/>
      <c r="ES35" s="865"/>
      <c r="ET35" s="865"/>
      <c r="EU35" s="865"/>
      <c r="EV35" s="865"/>
      <c r="EW35" s="865"/>
      <c r="EX35" s="865"/>
      <c r="EY35" s="865"/>
      <c r="EZ35" s="865"/>
      <c r="FA35" s="865"/>
      <c r="FB35" s="865"/>
      <c r="FC35" s="865"/>
      <c r="FD35" s="865"/>
      <c r="FE35" s="865"/>
      <c r="FF35" s="865"/>
      <c r="FG35" s="865"/>
      <c r="FH35" s="865"/>
      <c r="FI35" s="865"/>
      <c r="FJ35" s="865"/>
      <c r="FK35" s="865"/>
      <c r="FL35" s="865"/>
      <c r="FM35" s="865"/>
      <c r="FN35" s="865"/>
      <c r="FO35" s="865"/>
      <c r="FP35" s="865"/>
      <c r="FQ35" s="865"/>
      <c r="FR35" s="865"/>
      <c r="FS35" s="865"/>
      <c r="FT35" s="865"/>
      <c r="FU35" s="865"/>
      <c r="FV35" s="865"/>
      <c r="FW35" s="865"/>
      <c r="FX35" s="865"/>
      <c r="FY35" s="865"/>
      <c r="FZ35" s="865"/>
      <c r="GA35" s="865"/>
      <c r="GB35" s="865"/>
      <c r="GC35" s="865"/>
      <c r="GD35" s="865"/>
      <c r="GE35" s="865"/>
      <c r="GF35" s="865"/>
      <c r="GG35" s="865"/>
      <c r="GH35" s="865"/>
      <c r="GI35" s="865"/>
      <c r="GJ35" s="865"/>
      <c r="GK35" s="865"/>
      <c r="GL35" s="865"/>
      <c r="GM35" s="865"/>
      <c r="GN35" s="865"/>
      <c r="GO35" s="865"/>
      <c r="GP35" s="865"/>
      <c r="GQ35" s="865"/>
      <c r="GR35" s="865"/>
      <c r="GS35" s="865"/>
      <c r="GT35" s="865"/>
      <c r="GU35" s="865"/>
      <c r="GV35" s="865"/>
      <c r="GW35" s="865"/>
      <c r="GX35" s="865"/>
      <c r="GY35" s="865"/>
      <c r="GZ35" s="865"/>
      <c r="HA35" s="865"/>
      <c r="HB35" s="865"/>
      <c r="HC35" s="865"/>
      <c r="HD35" s="865"/>
      <c r="HE35" s="865"/>
      <c r="HF35" s="865"/>
      <c r="HG35" s="865"/>
      <c r="HH35" s="865"/>
      <c r="HI35" s="865"/>
      <c r="HJ35" s="865"/>
      <c r="HK35" s="865"/>
      <c r="HL35" s="865"/>
      <c r="HM35" s="865"/>
      <c r="HN35" s="865"/>
      <c r="HO35" s="865"/>
      <c r="HP35" s="865"/>
      <c r="HQ35" s="865"/>
      <c r="HR35" s="865"/>
      <c r="HS35" s="865"/>
      <c r="HT35" s="865"/>
      <c r="HU35" s="865"/>
      <c r="HV35" s="865"/>
      <c r="HW35" s="865"/>
      <c r="HX35" s="865"/>
      <c r="HY35" s="865"/>
      <c r="HZ35" s="865"/>
      <c r="IA35" s="865"/>
      <c r="IB35" s="865"/>
      <c r="IC35" s="865"/>
      <c r="ID35" s="865"/>
      <c r="IE35" s="865"/>
      <c r="IF35" s="865"/>
      <c r="IG35" s="865"/>
      <c r="IH35" s="865"/>
      <c r="II35" s="865"/>
      <c r="IJ35" s="865"/>
      <c r="IK35" s="865"/>
      <c r="IL35" s="865"/>
      <c r="IM35" s="865"/>
      <c r="IN35" s="865"/>
      <c r="IO35" s="865"/>
      <c r="IP35" s="865"/>
      <c r="IQ35" s="865"/>
      <c r="IR35" s="865"/>
      <c r="IS35" s="865"/>
      <c r="IT35" s="865"/>
      <c r="IU35" s="865"/>
      <c r="IV35" s="865"/>
      <c r="IW35" s="865"/>
      <c r="IX35" s="865"/>
      <c r="IY35" s="865"/>
      <c r="IZ35" s="865"/>
      <c r="JA35" s="865"/>
      <c r="JB35" s="865"/>
      <c r="JC35" s="865"/>
      <c r="JD35" s="865"/>
      <c r="JE35" s="865"/>
      <c r="JF35" s="865"/>
      <c r="JG35" s="865"/>
      <c r="JH35" s="865"/>
      <c r="JI35" s="865"/>
      <c r="JJ35" s="865"/>
      <c r="JK35" s="865"/>
      <c r="JL35" s="865"/>
      <c r="JM35" s="865"/>
      <c r="JN35" s="865"/>
      <c r="JO35" s="865"/>
      <c r="JP35" s="865"/>
      <c r="JQ35" s="865"/>
      <c r="JR35" s="865"/>
      <c r="JS35" s="865"/>
      <c r="JT35" s="865"/>
      <c r="JU35" s="865"/>
      <c r="JV35" s="865"/>
      <c r="JW35" s="865"/>
      <c r="JX35" s="865"/>
      <c r="JY35" s="865"/>
      <c r="JZ35" s="865"/>
      <c r="KA35" s="865"/>
      <c r="KB35" s="865"/>
      <c r="KC35" s="865"/>
      <c r="KD35" s="865"/>
      <c r="KE35" s="865"/>
      <c r="KF35" s="865"/>
      <c r="KG35" s="865"/>
      <c r="KH35" s="865"/>
      <c r="KI35" s="865"/>
      <c r="KJ35" s="865"/>
      <c r="KK35" s="865"/>
      <c r="KL35" s="865"/>
      <c r="KM35" s="865"/>
      <c r="KN35" s="865"/>
      <c r="KO35" s="865"/>
      <c r="KP35" s="865"/>
      <c r="KQ35" s="865"/>
      <c r="KR35" s="865"/>
      <c r="KS35" s="865"/>
      <c r="KT35" s="865"/>
      <c r="KU35" s="865"/>
      <c r="KV35" s="865"/>
      <c r="KW35" s="865"/>
      <c r="KX35" s="865"/>
      <c r="KY35" s="865"/>
      <c r="KZ35" s="865"/>
      <c r="LA35" s="865"/>
      <c r="LB35" s="865"/>
      <c r="LC35" s="865"/>
      <c r="LD35" s="865"/>
      <c r="LE35" s="865"/>
      <c r="LF35" s="865"/>
      <c r="LG35" s="865"/>
      <c r="LH35" s="865"/>
      <c r="LI35" s="865"/>
      <c r="LJ35" s="865"/>
      <c r="LK35" s="865"/>
      <c r="LL35" s="865"/>
      <c r="LM35" s="865"/>
      <c r="LN35" s="865"/>
      <c r="LO35" s="865"/>
      <c r="LP35" s="865"/>
      <c r="LQ35" s="865"/>
      <c r="LR35" s="865"/>
      <c r="LS35" s="865"/>
      <c r="LT35" s="865"/>
      <c r="LU35" s="865"/>
      <c r="LV35" s="865"/>
      <c r="LW35" s="865"/>
      <c r="LX35" s="865"/>
      <c r="LY35" s="865"/>
      <c r="LZ35" s="865"/>
      <c r="MA35" s="865"/>
      <c r="MB35" s="865"/>
      <c r="MC35" s="865"/>
      <c r="MD35" s="865"/>
      <c r="ME35" s="865"/>
      <c r="MF35" s="865"/>
      <c r="MG35" s="865"/>
      <c r="MH35" s="865"/>
      <c r="MI35" s="865"/>
      <c r="MJ35" s="865"/>
      <c r="MK35" s="865"/>
      <c r="ML35" s="865"/>
      <c r="MM35" s="865"/>
      <c r="MN35" s="865"/>
      <c r="MO35" s="865"/>
      <c r="MP35" s="865"/>
      <c r="MQ35" s="865"/>
      <c r="MR35" s="865"/>
      <c r="MS35" s="865"/>
      <c r="MT35" s="865"/>
      <c r="MU35" s="865"/>
      <c r="MV35" s="865"/>
      <c r="MW35" s="865"/>
      <c r="MX35" s="865"/>
      <c r="MY35" s="865"/>
      <c r="MZ35" s="865"/>
      <c r="NA35" s="865"/>
      <c r="NB35" s="865"/>
      <c r="NC35" s="865"/>
      <c r="ND35" s="865"/>
      <c r="NE35" s="865"/>
      <c r="NF35" s="865"/>
      <c r="NG35" s="865"/>
      <c r="NH35" s="865"/>
      <c r="NI35" s="865"/>
      <c r="NJ35" s="865"/>
      <c r="NK35" s="865"/>
      <c r="NL35" s="865"/>
      <c r="NM35" s="865"/>
      <c r="NN35" s="865"/>
      <c r="NO35" s="865"/>
      <c r="NP35" s="865"/>
      <c r="NQ35" s="865"/>
      <c r="NR35" s="865"/>
      <c r="NS35" s="865"/>
      <c r="NT35" s="865"/>
      <c r="NU35" s="865"/>
      <c r="NV35" s="865"/>
      <c r="NW35" s="865"/>
      <c r="NX35" s="865"/>
      <c r="NY35" s="865"/>
      <c r="NZ35" s="865"/>
      <c r="OA35" s="865"/>
      <c r="OB35" s="865"/>
      <c r="OC35" s="865"/>
      <c r="OD35" s="865"/>
      <c r="OE35" s="865"/>
      <c r="OF35" s="865"/>
      <c r="OG35" s="865"/>
      <c r="OH35" s="865"/>
      <c r="OI35" s="865"/>
      <c r="OJ35" s="865"/>
      <c r="OK35" s="865"/>
      <c r="OL35" s="865"/>
      <c r="OM35" s="865"/>
      <c r="ON35" s="865"/>
      <c r="OO35" s="865"/>
      <c r="OP35" s="865"/>
      <c r="OQ35" s="865"/>
      <c r="OR35" s="865"/>
      <c r="OS35" s="865"/>
      <c r="OT35" s="865"/>
      <c r="OU35" s="865"/>
      <c r="OV35" s="865"/>
      <c r="OW35" s="865"/>
      <c r="OX35" s="865"/>
      <c r="OY35" s="865"/>
      <c r="OZ35" s="865"/>
      <c r="PA35" s="865"/>
      <c r="PB35" s="865"/>
      <c r="PC35" s="865"/>
      <c r="PD35" s="865"/>
      <c r="PE35" s="865"/>
      <c r="PF35" s="865"/>
      <c r="PG35" s="865"/>
      <c r="PH35" s="865"/>
      <c r="PI35" s="865"/>
      <c r="PJ35" s="865"/>
      <c r="PK35" s="865"/>
      <c r="PL35" s="865"/>
      <c r="PM35" s="865"/>
      <c r="PN35" s="865"/>
      <c r="PO35" s="865"/>
    </row>
    <row r="36" spans="1:431" s="165" customFormat="1">
      <c r="C36" s="850"/>
      <c r="D36" s="850"/>
      <c r="E36" s="850"/>
      <c r="F36" s="850"/>
      <c r="G36" s="850"/>
      <c r="H36" s="850"/>
      <c r="I36" s="850"/>
      <c r="J36" s="850"/>
      <c r="K36" s="850"/>
      <c r="L36" s="850"/>
    </row>
    <row r="37" spans="1:431" s="165" customFormat="1">
      <c r="C37" s="850"/>
      <c r="D37" s="850"/>
      <c r="E37" s="850"/>
      <c r="F37" s="850"/>
      <c r="G37" s="850"/>
      <c r="H37" s="850"/>
      <c r="I37" s="850"/>
      <c r="J37" s="850"/>
      <c r="K37" s="850"/>
      <c r="L37" s="850"/>
    </row>
    <row r="38" spans="1:431" s="165" customFormat="1">
      <c r="C38" s="850"/>
      <c r="D38" s="850"/>
      <c r="E38" s="850"/>
      <c r="F38" s="850"/>
      <c r="G38" s="850"/>
      <c r="H38" s="850"/>
      <c r="I38" s="850"/>
      <c r="J38" s="850"/>
      <c r="K38" s="850"/>
      <c r="L38" s="850"/>
    </row>
    <row r="39" spans="1:431" s="165" customFormat="1">
      <c r="C39" s="850"/>
      <c r="D39" s="850"/>
      <c r="E39" s="850"/>
      <c r="F39" s="850"/>
      <c r="G39" s="850"/>
      <c r="H39" s="850"/>
      <c r="I39" s="850"/>
      <c r="J39" s="850"/>
      <c r="K39" s="850"/>
      <c r="L39" s="850"/>
    </row>
    <row r="40" spans="1:431" s="165" customFormat="1">
      <c r="C40" s="850"/>
      <c r="D40" s="850"/>
      <c r="E40" s="850"/>
      <c r="F40" s="850"/>
      <c r="G40" s="850"/>
      <c r="H40" s="850"/>
      <c r="I40" s="850"/>
      <c r="J40" s="850"/>
      <c r="K40" s="850"/>
      <c r="L40" s="850"/>
    </row>
    <row r="41" spans="1:431" s="165" customFormat="1">
      <c r="C41" s="850"/>
      <c r="D41" s="850"/>
      <c r="E41" s="850"/>
      <c r="F41" s="850"/>
      <c r="G41" s="850"/>
      <c r="H41" s="850"/>
      <c r="I41" s="850"/>
      <c r="J41" s="850"/>
      <c r="K41" s="850"/>
      <c r="L41" s="850"/>
    </row>
    <row r="42" spans="1:431" s="165" customFormat="1">
      <c r="C42" s="850"/>
      <c r="D42" s="850"/>
      <c r="E42" s="850"/>
      <c r="F42" s="850"/>
      <c r="G42" s="850"/>
      <c r="H42" s="850"/>
      <c r="I42" s="850"/>
      <c r="J42" s="850"/>
      <c r="K42" s="850"/>
      <c r="L42" s="850"/>
    </row>
    <row r="43" spans="1:431" s="165" customFormat="1">
      <c r="C43" s="850"/>
      <c r="D43" s="850"/>
      <c r="E43" s="850"/>
      <c r="F43" s="850"/>
      <c r="G43" s="850"/>
      <c r="H43" s="850"/>
      <c r="I43" s="850"/>
      <c r="J43" s="850"/>
      <c r="K43" s="850"/>
      <c r="L43" s="850"/>
    </row>
    <row r="44" spans="1:431" s="165" customFormat="1">
      <c r="C44" s="850"/>
      <c r="D44" s="850"/>
      <c r="E44" s="850"/>
      <c r="F44" s="850"/>
      <c r="G44" s="850"/>
      <c r="H44" s="850"/>
      <c r="I44" s="850"/>
      <c r="J44" s="850"/>
      <c r="K44" s="850"/>
      <c r="L44" s="850"/>
    </row>
    <row r="45" spans="1:431" s="165" customFormat="1">
      <c r="C45" s="850"/>
      <c r="D45" s="850"/>
      <c r="E45" s="850"/>
      <c r="F45" s="850"/>
      <c r="G45" s="850"/>
      <c r="H45" s="850"/>
      <c r="I45" s="850"/>
      <c r="J45" s="850"/>
      <c r="K45" s="850"/>
      <c r="L45" s="850"/>
    </row>
    <row r="46" spans="1:431" s="165" customFormat="1">
      <c r="C46" s="850"/>
      <c r="D46" s="850"/>
      <c r="E46" s="850"/>
      <c r="F46" s="850"/>
      <c r="G46" s="850"/>
      <c r="H46" s="850"/>
      <c r="I46" s="850"/>
      <c r="J46" s="850"/>
      <c r="K46" s="850"/>
      <c r="L46" s="850"/>
    </row>
    <row r="47" spans="1:431" s="165" customFormat="1">
      <c r="C47" s="850"/>
      <c r="D47" s="850"/>
      <c r="E47" s="850"/>
      <c r="F47" s="850"/>
      <c r="G47" s="850"/>
      <c r="H47" s="850"/>
      <c r="I47" s="850"/>
      <c r="J47" s="850"/>
      <c r="K47" s="850"/>
      <c r="L47" s="850"/>
    </row>
    <row r="48" spans="1:431" s="165" customFormat="1">
      <c r="C48" s="850"/>
      <c r="D48" s="850"/>
      <c r="E48" s="850"/>
      <c r="F48" s="850"/>
      <c r="G48" s="850"/>
      <c r="H48" s="850"/>
      <c r="I48" s="850"/>
      <c r="J48" s="850"/>
      <c r="K48" s="850"/>
      <c r="L48" s="850"/>
    </row>
    <row r="49" spans="3:12" s="165" customFormat="1">
      <c r="C49" s="850"/>
      <c r="D49" s="850"/>
      <c r="E49" s="850"/>
      <c r="F49" s="850"/>
      <c r="G49" s="850"/>
      <c r="H49" s="850"/>
      <c r="I49" s="850"/>
      <c r="J49" s="850"/>
      <c r="K49" s="850"/>
      <c r="L49" s="850"/>
    </row>
    <row r="50" spans="3:12" s="165" customFormat="1">
      <c r="C50" s="850"/>
      <c r="D50" s="850"/>
      <c r="E50" s="850"/>
      <c r="F50" s="850"/>
      <c r="G50" s="850"/>
      <c r="H50" s="850"/>
      <c r="I50" s="850"/>
      <c r="J50" s="850"/>
      <c r="K50" s="850"/>
      <c r="L50" s="850"/>
    </row>
    <row r="51" spans="3:12" s="165" customFormat="1">
      <c r="C51" s="850"/>
      <c r="D51" s="850"/>
      <c r="E51" s="850"/>
      <c r="F51" s="850"/>
      <c r="G51" s="850"/>
      <c r="H51" s="850"/>
      <c r="I51" s="850"/>
      <c r="J51" s="850"/>
      <c r="K51" s="850"/>
      <c r="L51" s="850"/>
    </row>
    <row r="52" spans="3:12" s="165" customFormat="1">
      <c r="C52" s="850"/>
      <c r="D52" s="850"/>
      <c r="E52" s="850"/>
      <c r="F52" s="850"/>
      <c r="G52" s="850"/>
      <c r="H52" s="850"/>
      <c r="I52" s="850"/>
      <c r="J52" s="850"/>
      <c r="K52" s="850"/>
      <c r="L52" s="850"/>
    </row>
    <row r="53" spans="3:12" s="165" customFormat="1">
      <c r="C53" s="850"/>
      <c r="D53" s="850"/>
      <c r="E53" s="850"/>
      <c r="F53" s="850"/>
      <c r="G53" s="850"/>
      <c r="H53" s="850"/>
      <c r="I53" s="850"/>
      <c r="J53" s="850"/>
      <c r="K53" s="850"/>
      <c r="L53" s="850"/>
    </row>
    <row r="54" spans="3:12" s="165" customFormat="1">
      <c r="C54" s="850"/>
      <c r="D54" s="850"/>
      <c r="E54" s="850"/>
      <c r="F54" s="850"/>
      <c r="G54" s="850"/>
      <c r="H54" s="850"/>
      <c r="I54" s="850"/>
      <c r="J54" s="850"/>
      <c r="K54" s="850"/>
      <c r="L54" s="850"/>
    </row>
    <row r="55" spans="3:12" s="165" customFormat="1">
      <c r="C55" s="850"/>
      <c r="D55" s="850"/>
      <c r="E55" s="850"/>
      <c r="F55" s="850"/>
      <c r="G55" s="850"/>
      <c r="H55" s="850"/>
      <c r="I55" s="850"/>
      <c r="J55" s="850"/>
      <c r="K55" s="850"/>
      <c r="L55" s="850"/>
    </row>
    <row r="56" spans="3:12" s="165" customFormat="1">
      <c r="C56" s="850"/>
      <c r="D56" s="850"/>
      <c r="E56" s="850"/>
      <c r="F56" s="850"/>
      <c r="G56" s="850"/>
      <c r="H56" s="850"/>
      <c r="I56" s="850"/>
      <c r="J56" s="850"/>
      <c r="K56" s="850"/>
      <c r="L56" s="850"/>
    </row>
    <row r="57" spans="3:12" s="165" customFormat="1">
      <c r="C57" s="850"/>
      <c r="D57" s="850"/>
      <c r="E57" s="850"/>
      <c r="F57" s="850"/>
      <c r="G57" s="850"/>
      <c r="H57" s="850"/>
      <c r="I57" s="850"/>
      <c r="J57" s="850"/>
      <c r="K57" s="850"/>
      <c r="L57" s="850"/>
    </row>
    <row r="58" spans="3:12" s="165" customFormat="1">
      <c r="C58" s="850"/>
      <c r="D58" s="850"/>
      <c r="E58" s="850"/>
      <c r="F58" s="850"/>
      <c r="G58" s="850"/>
      <c r="H58" s="850"/>
      <c r="I58" s="850"/>
      <c r="J58" s="850"/>
      <c r="K58" s="850"/>
      <c r="L58" s="850"/>
    </row>
    <row r="59" spans="3:12" s="165" customFormat="1">
      <c r="C59" s="850"/>
      <c r="D59" s="850"/>
      <c r="E59" s="850"/>
      <c r="F59" s="850"/>
      <c r="G59" s="850"/>
      <c r="H59" s="850"/>
      <c r="I59" s="850"/>
      <c r="J59" s="850"/>
      <c r="K59" s="850"/>
      <c r="L59" s="850"/>
    </row>
    <row r="60" spans="3:12" s="165" customFormat="1">
      <c r="C60" s="850"/>
      <c r="D60" s="850"/>
      <c r="E60" s="850"/>
      <c r="F60" s="850"/>
      <c r="G60" s="850"/>
      <c r="H60" s="850"/>
      <c r="I60" s="850"/>
      <c r="J60" s="850"/>
      <c r="K60" s="850"/>
      <c r="L60" s="850"/>
    </row>
    <row r="61" spans="3:12" s="165" customFormat="1">
      <c r="C61" s="850"/>
      <c r="D61" s="850"/>
      <c r="E61" s="850"/>
      <c r="F61" s="850"/>
      <c r="G61" s="850"/>
      <c r="H61" s="850"/>
      <c r="I61" s="850"/>
      <c r="J61" s="850"/>
      <c r="K61" s="850"/>
      <c r="L61" s="850"/>
    </row>
    <row r="62" spans="3:12" s="165" customFormat="1">
      <c r="C62" s="850"/>
      <c r="D62" s="850"/>
      <c r="E62" s="850"/>
      <c r="F62" s="850"/>
      <c r="G62" s="850"/>
      <c r="H62" s="850"/>
      <c r="I62" s="850"/>
      <c r="J62" s="850"/>
      <c r="K62" s="850"/>
      <c r="L62" s="850"/>
    </row>
    <row r="63" spans="3:12" s="165" customFormat="1">
      <c r="C63" s="850"/>
      <c r="D63" s="850"/>
      <c r="E63" s="850"/>
      <c r="F63" s="850"/>
      <c r="G63" s="850"/>
      <c r="H63" s="850"/>
      <c r="I63" s="850"/>
      <c r="J63" s="850"/>
      <c r="K63" s="850"/>
      <c r="L63" s="850"/>
    </row>
    <row r="64" spans="3:12" s="165" customFormat="1">
      <c r="C64" s="850"/>
      <c r="D64" s="850"/>
      <c r="E64" s="850"/>
      <c r="F64" s="850"/>
      <c r="G64" s="850"/>
      <c r="H64" s="850"/>
      <c r="I64" s="850"/>
      <c r="J64" s="850"/>
      <c r="K64" s="850"/>
      <c r="L64" s="850"/>
    </row>
    <row r="65" spans="3:12" s="165" customFormat="1">
      <c r="C65" s="850"/>
      <c r="D65" s="850"/>
      <c r="E65" s="850"/>
      <c r="F65" s="850"/>
      <c r="G65" s="850"/>
      <c r="H65" s="850"/>
      <c r="I65" s="850"/>
      <c r="J65" s="850"/>
      <c r="K65" s="850"/>
      <c r="L65" s="850"/>
    </row>
    <row r="66" spans="3:12" s="165" customFormat="1">
      <c r="C66" s="850"/>
      <c r="D66" s="850"/>
      <c r="E66" s="850"/>
      <c r="F66" s="850"/>
      <c r="G66" s="850"/>
      <c r="H66" s="850"/>
      <c r="I66" s="850"/>
      <c r="J66" s="850"/>
      <c r="K66" s="850"/>
      <c r="L66" s="850"/>
    </row>
    <row r="67" spans="3:12" s="165" customFormat="1">
      <c r="C67" s="850"/>
      <c r="D67" s="850"/>
      <c r="E67" s="850"/>
      <c r="F67" s="850"/>
      <c r="G67" s="850"/>
      <c r="H67" s="850"/>
      <c r="I67" s="850"/>
      <c r="J67" s="850"/>
      <c r="K67" s="850"/>
      <c r="L67" s="850"/>
    </row>
    <row r="68" spans="3:12" s="165" customFormat="1">
      <c r="C68" s="850"/>
      <c r="D68" s="850"/>
      <c r="E68" s="850"/>
      <c r="F68" s="850"/>
      <c r="G68" s="850"/>
      <c r="H68" s="850"/>
      <c r="I68" s="850"/>
      <c r="J68" s="850"/>
      <c r="K68" s="850"/>
      <c r="L68" s="850"/>
    </row>
    <row r="69" spans="3:12" s="165" customFormat="1">
      <c r="C69" s="850"/>
      <c r="D69" s="850"/>
      <c r="E69" s="850"/>
      <c r="F69" s="850"/>
      <c r="G69" s="850"/>
      <c r="H69" s="850"/>
      <c r="I69" s="850"/>
      <c r="J69" s="850"/>
      <c r="K69" s="850"/>
      <c r="L69" s="850"/>
    </row>
    <row r="70" spans="3:12" s="165" customFormat="1">
      <c r="C70" s="850"/>
      <c r="D70" s="850"/>
      <c r="E70" s="850"/>
      <c r="F70" s="850"/>
      <c r="G70" s="850"/>
      <c r="H70" s="850"/>
      <c r="I70" s="850"/>
      <c r="J70" s="850"/>
      <c r="K70" s="850"/>
      <c r="L70" s="850"/>
    </row>
    <row r="71" spans="3:12" s="165" customFormat="1">
      <c r="C71" s="850"/>
      <c r="D71" s="850"/>
      <c r="E71" s="850"/>
      <c r="F71" s="850"/>
      <c r="G71" s="850"/>
      <c r="H71" s="850"/>
      <c r="I71" s="850"/>
      <c r="J71" s="850"/>
      <c r="K71" s="850"/>
      <c r="L71" s="850"/>
    </row>
    <row r="72" spans="3:12" s="165" customFormat="1">
      <c r="C72" s="850"/>
      <c r="D72" s="850"/>
      <c r="E72" s="850"/>
      <c r="F72" s="850"/>
      <c r="G72" s="850"/>
      <c r="H72" s="850"/>
      <c r="I72" s="850"/>
      <c r="J72" s="850"/>
      <c r="K72" s="850"/>
      <c r="L72" s="850"/>
    </row>
    <row r="73" spans="3:12" s="165" customFormat="1">
      <c r="C73" s="850"/>
      <c r="D73" s="850"/>
      <c r="E73" s="850"/>
      <c r="F73" s="850"/>
      <c r="G73" s="850"/>
      <c r="H73" s="850"/>
      <c r="I73" s="850"/>
      <c r="J73" s="850"/>
      <c r="K73" s="850"/>
      <c r="L73" s="850"/>
    </row>
    <row r="74" spans="3:12" s="165" customFormat="1">
      <c r="C74" s="850"/>
      <c r="D74" s="850"/>
      <c r="E74" s="850"/>
      <c r="F74" s="850"/>
      <c r="G74" s="850"/>
      <c r="H74" s="850"/>
      <c r="I74" s="850"/>
      <c r="J74" s="850"/>
      <c r="K74" s="850"/>
      <c r="L74" s="850"/>
    </row>
    <row r="75" spans="3:12" s="165" customFormat="1">
      <c r="C75" s="850"/>
      <c r="D75" s="850"/>
      <c r="E75" s="850"/>
      <c r="F75" s="850"/>
      <c r="G75" s="850"/>
      <c r="H75" s="850"/>
      <c r="I75" s="850"/>
      <c r="J75" s="850"/>
      <c r="K75" s="850"/>
      <c r="L75" s="850"/>
    </row>
    <row r="76" spans="3:12" s="165" customFormat="1">
      <c r="C76" s="850"/>
      <c r="D76" s="850"/>
      <c r="E76" s="850"/>
      <c r="F76" s="850"/>
      <c r="G76" s="850"/>
      <c r="H76" s="850"/>
      <c r="I76" s="850"/>
      <c r="J76" s="850"/>
      <c r="K76" s="850"/>
      <c r="L76" s="850"/>
    </row>
    <row r="77" spans="3:12" s="165" customFormat="1">
      <c r="C77" s="850"/>
      <c r="D77" s="850"/>
      <c r="E77" s="850"/>
      <c r="F77" s="850"/>
      <c r="G77" s="850"/>
      <c r="H77" s="850"/>
      <c r="I77" s="850"/>
      <c r="J77" s="850"/>
      <c r="K77" s="850"/>
      <c r="L77" s="850"/>
    </row>
    <row r="78" spans="3:12" s="165" customFormat="1">
      <c r="C78" s="850"/>
      <c r="D78" s="850"/>
      <c r="E78" s="850"/>
      <c r="F78" s="850"/>
      <c r="G78" s="850"/>
      <c r="H78" s="850"/>
      <c r="I78" s="850"/>
      <c r="J78" s="850"/>
      <c r="K78" s="850"/>
      <c r="L78" s="850"/>
    </row>
    <row r="79" spans="3:12" s="165" customFormat="1">
      <c r="C79" s="850"/>
      <c r="D79" s="850"/>
      <c r="E79" s="850"/>
      <c r="F79" s="850"/>
      <c r="G79" s="850"/>
      <c r="H79" s="850"/>
      <c r="I79" s="850"/>
      <c r="J79" s="850"/>
      <c r="K79" s="850"/>
      <c r="L79" s="850"/>
    </row>
    <row r="80" spans="3:12" s="165" customFormat="1">
      <c r="C80" s="850"/>
      <c r="D80" s="850"/>
      <c r="E80" s="850"/>
      <c r="F80" s="850"/>
      <c r="G80" s="850"/>
      <c r="H80" s="850"/>
      <c r="I80" s="850"/>
      <c r="J80" s="850"/>
      <c r="K80" s="850"/>
      <c r="L80" s="850"/>
    </row>
    <row r="81" spans="3:12" s="165" customFormat="1">
      <c r="C81" s="850"/>
      <c r="D81" s="850"/>
      <c r="E81" s="850"/>
      <c r="F81" s="850"/>
      <c r="G81" s="850"/>
      <c r="H81" s="850"/>
      <c r="I81" s="850"/>
      <c r="J81" s="850"/>
      <c r="K81" s="850"/>
      <c r="L81" s="850"/>
    </row>
    <row r="82" spans="3:12" s="165" customFormat="1">
      <c r="C82" s="850"/>
      <c r="D82" s="850"/>
      <c r="E82" s="850"/>
      <c r="F82" s="850"/>
      <c r="G82" s="850"/>
      <c r="H82" s="850"/>
      <c r="I82" s="850"/>
      <c r="J82" s="850"/>
      <c r="K82" s="850"/>
      <c r="L82" s="850"/>
    </row>
    <row r="83" spans="3:12" s="165" customFormat="1">
      <c r="C83" s="850"/>
      <c r="D83" s="850"/>
      <c r="E83" s="850"/>
      <c r="F83" s="850"/>
      <c r="G83" s="850"/>
      <c r="H83" s="850"/>
      <c r="I83" s="850"/>
      <c r="J83" s="850"/>
      <c r="K83" s="850"/>
      <c r="L83" s="850"/>
    </row>
    <row r="84" spans="3:12" s="165" customFormat="1">
      <c r="C84" s="850"/>
      <c r="D84" s="850"/>
      <c r="E84" s="850"/>
      <c r="F84" s="850"/>
      <c r="G84" s="850"/>
      <c r="H84" s="850"/>
      <c r="I84" s="850"/>
      <c r="J84" s="850"/>
      <c r="K84" s="850"/>
      <c r="L84" s="850"/>
    </row>
    <row r="85" spans="3:12" s="165" customFormat="1">
      <c r="C85" s="850"/>
      <c r="D85" s="850"/>
      <c r="E85" s="850"/>
      <c r="F85" s="850"/>
      <c r="G85" s="850"/>
      <c r="H85" s="850"/>
      <c r="I85" s="850"/>
      <c r="J85" s="850"/>
      <c r="K85" s="850"/>
      <c r="L85" s="850"/>
    </row>
    <row r="86" spans="3:12" s="165" customFormat="1">
      <c r="C86" s="850"/>
      <c r="D86" s="850"/>
      <c r="E86" s="850"/>
      <c r="F86" s="850"/>
      <c r="G86" s="850"/>
      <c r="H86" s="850"/>
      <c r="I86" s="850"/>
      <c r="J86" s="850"/>
      <c r="K86" s="850"/>
      <c r="L86" s="850"/>
    </row>
    <row r="87" spans="3:12" s="165" customFormat="1">
      <c r="C87" s="850"/>
      <c r="D87" s="850"/>
      <c r="E87" s="850"/>
      <c r="F87" s="850"/>
      <c r="G87" s="850"/>
      <c r="H87" s="850"/>
      <c r="I87" s="850"/>
      <c r="J87" s="850"/>
      <c r="K87" s="850"/>
      <c r="L87" s="850"/>
    </row>
    <row r="88" spans="3:12" s="165" customFormat="1">
      <c r="C88" s="850"/>
      <c r="D88" s="850"/>
      <c r="E88" s="850"/>
      <c r="F88" s="850"/>
      <c r="G88" s="850"/>
      <c r="H88" s="850"/>
      <c r="I88" s="850"/>
      <c r="J88" s="850"/>
      <c r="K88" s="850"/>
      <c r="L88" s="850"/>
    </row>
    <row r="89" spans="3:12" s="165" customFormat="1">
      <c r="C89" s="850"/>
      <c r="D89" s="850"/>
      <c r="E89" s="850"/>
      <c r="F89" s="850"/>
      <c r="G89" s="850"/>
      <c r="H89" s="850"/>
      <c r="I89" s="850"/>
      <c r="J89" s="850"/>
      <c r="K89" s="850"/>
      <c r="L89" s="850"/>
    </row>
    <row r="90" spans="3:12" s="165" customFormat="1">
      <c r="C90" s="850"/>
      <c r="D90" s="850"/>
      <c r="E90" s="850"/>
      <c r="F90" s="850"/>
      <c r="G90" s="850"/>
      <c r="H90" s="850"/>
      <c r="I90" s="850"/>
      <c r="J90" s="850"/>
      <c r="K90" s="850"/>
      <c r="L90" s="850"/>
    </row>
    <row r="91" spans="3:12" s="165" customFormat="1">
      <c r="C91" s="850"/>
      <c r="D91" s="850"/>
      <c r="E91" s="850"/>
      <c r="F91" s="850"/>
      <c r="G91" s="850"/>
      <c r="H91" s="850"/>
      <c r="I91" s="850"/>
      <c r="J91" s="850"/>
      <c r="K91" s="850"/>
      <c r="L91" s="850"/>
    </row>
    <row r="92" spans="3:12" s="165" customFormat="1">
      <c r="C92" s="850"/>
      <c r="D92" s="850"/>
      <c r="E92" s="850"/>
      <c r="F92" s="850"/>
      <c r="G92" s="850"/>
      <c r="H92" s="850"/>
      <c r="I92" s="850"/>
      <c r="J92" s="850"/>
      <c r="K92" s="850"/>
      <c r="L92" s="850"/>
    </row>
    <row r="93" spans="3:12" s="165" customFormat="1">
      <c r="C93" s="850"/>
      <c r="D93" s="850"/>
      <c r="E93" s="850"/>
      <c r="F93" s="850"/>
      <c r="G93" s="850"/>
      <c r="H93" s="850"/>
      <c r="I93" s="850"/>
      <c r="J93" s="850"/>
      <c r="K93" s="850"/>
      <c r="L93" s="850"/>
    </row>
    <row r="94" spans="3:12" s="165" customFormat="1">
      <c r="C94" s="850"/>
      <c r="D94" s="850"/>
      <c r="E94" s="850"/>
      <c r="F94" s="850"/>
      <c r="G94" s="850"/>
      <c r="H94" s="850"/>
      <c r="I94" s="850"/>
      <c r="J94" s="850"/>
      <c r="K94" s="850"/>
      <c r="L94" s="850"/>
    </row>
    <row r="95" spans="3:12" s="165" customFormat="1">
      <c r="C95" s="850"/>
      <c r="D95" s="850"/>
      <c r="E95" s="850"/>
      <c r="F95" s="850"/>
      <c r="G95" s="850"/>
      <c r="H95" s="850"/>
      <c r="I95" s="850"/>
      <c r="J95" s="850"/>
      <c r="K95" s="850"/>
      <c r="L95" s="850"/>
    </row>
    <row r="96" spans="3:12" s="165" customFormat="1">
      <c r="C96" s="850"/>
      <c r="D96" s="850"/>
      <c r="E96" s="850"/>
      <c r="F96" s="850"/>
      <c r="G96" s="850"/>
      <c r="H96" s="850"/>
      <c r="I96" s="850"/>
      <c r="J96" s="850"/>
      <c r="K96" s="850"/>
      <c r="L96" s="850"/>
    </row>
    <row r="97" spans="3:12" s="165" customFormat="1">
      <c r="C97" s="850"/>
      <c r="D97" s="850"/>
      <c r="E97" s="850"/>
      <c r="F97" s="850"/>
      <c r="G97" s="850"/>
      <c r="H97" s="850"/>
      <c r="I97" s="850"/>
      <c r="J97" s="850"/>
      <c r="K97" s="850"/>
      <c r="L97" s="850"/>
    </row>
    <row r="98" spans="3:12" s="165" customFormat="1">
      <c r="C98" s="850"/>
      <c r="D98" s="850"/>
      <c r="E98" s="850"/>
      <c r="F98" s="850"/>
      <c r="G98" s="850"/>
      <c r="H98" s="850"/>
      <c r="I98" s="850"/>
      <c r="J98" s="850"/>
      <c r="K98" s="850"/>
      <c r="L98" s="850"/>
    </row>
    <row r="99" spans="3:12" s="165" customFormat="1">
      <c r="C99" s="850"/>
      <c r="D99" s="850"/>
      <c r="E99" s="850"/>
      <c r="F99" s="850"/>
      <c r="G99" s="850"/>
      <c r="H99" s="850"/>
      <c r="I99" s="850"/>
      <c r="J99" s="850"/>
      <c r="K99" s="850"/>
      <c r="L99" s="850"/>
    </row>
    <row r="100" spans="3:12" s="165" customFormat="1">
      <c r="C100" s="850"/>
      <c r="D100" s="850"/>
      <c r="E100" s="850"/>
      <c r="F100" s="850"/>
      <c r="G100" s="850"/>
      <c r="H100" s="850"/>
      <c r="I100" s="850"/>
      <c r="J100" s="850"/>
      <c r="K100" s="850"/>
      <c r="L100" s="850"/>
    </row>
    <row r="101" spans="3:12" s="165" customFormat="1">
      <c r="C101" s="850"/>
      <c r="D101" s="850"/>
      <c r="E101" s="850"/>
      <c r="F101" s="850"/>
      <c r="G101" s="850"/>
      <c r="H101" s="850"/>
      <c r="I101" s="850"/>
      <c r="J101" s="850"/>
      <c r="K101" s="850"/>
      <c r="L101" s="850"/>
    </row>
    <row r="102" spans="3:12" s="165" customFormat="1">
      <c r="C102" s="850"/>
      <c r="D102" s="850"/>
      <c r="E102" s="850"/>
      <c r="F102" s="850"/>
      <c r="G102" s="850"/>
      <c r="H102" s="850"/>
      <c r="I102" s="850"/>
      <c r="J102" s="850"/>
      <c r="K102" s="850"/>
      <c r="L102" s="850"/>
    </row>
    <row r="103" spans="3:12" s="165" customFormat="1">
      <c r="C103" s="850"/>
      <c r="D103" s="850"/>
      <c r="E103" s="850"/>
      <c r="F103" s="850"/>
      <c r="G103" s="850"/>
      <c r="H103" s="850"/>
      <c r="I103" s="850"/>
      <c r="J103" s="850"/>
      <c r="K103" s="850"/>
      <c r="L103" s="850"/>
    </row>
    <row r="104" spans="3:12" s="165" customFormat="1">
      <c r="C104" s="850"/>
      <c r="D104" s="850"/>
      <c r="E104" s="850"/>
      <c r="F104" s="850"/>
      <c r="G104" s="850"/>
      <c r="H104" s="850"/>
      <c r="I104" s="850"/>
      <c r="J104" s="850"/>
      <c r="K104" s="850"/>
      <c r="L104" s="850"/>
    </row>
    <row r="105" spans="3:12" s="165" customFormat="1">
      <c r="C105" s="850"/>
      <c r="D105" s="850"/>
      <c r="E105" s="850"/>
      <c r="F105" s="850"/>
      <c r="G105" s="850"/>
      <c r="H105" s="850"/>
      <c r="I105" s="850"/>
      <c r="J105" s="850"/>
      <c r="K105" s="850"/>
      <c r="L105" s="850"/>
    </row>
    <row r="106" spans="3:12" s="165" customFormat="1">
      <c r="C106" s="850"/>
      <c r="D106" s="850"/>
      <c r="E106" s="850"/>
      <c r="F106" s="850"/>
      <c r="G106" s="850"/>
      <c r="H106" s="850"/>
      <c r="I106" s="850"/>
      <c r="J106" s="850"/>
      <c r="K106" s="850"/>
      <c r="L106" s="850"/>
    </row>
    <row r="107" spans="3:12" s="165" customFormat="1">
      <c r="C107" s="850"/>
      <c r="D107" s="850"/>
      <c r="E107" s="850"/>
      <c r="F107" s="850"/>
      <c r="G107" s="850"/>
      <c r="H107" s="850"/>
      <c r="I107" s="850"/>
      <c r="J107" s="850"/>
      <c r="K107" s="850"/>
      <c r="L107" s="850"/>
    </row>
    <row r="108" spans="3:12" s="165" customFormat="1">
      <c r="C108" s="850"/>
      <c r="D108" s="850"/>
      <c r="E108" s="850"/>
      <c r="F108" s="850"/>
      <c r="G108" s="850"/>
      <c r="H108" s="850"/>
      <c r="I108" s="850"/>
      <c r="J108" s="850"/>
      <c r="K108" s="850"/>
      <c r="L108" s="850"/>
    </row>
    <row r="109" spans="3:12" s="165" customFormat="1">
      <c r="C109" s="850"/>
      <c r="D109" s="850"/>
      <c r="E109" s="850"/>
      <c r="F109" s="850"/>
      <c r="G109" s="850"/>
      <c r="H109" s="850"/>
      <c r="I109" s="850"/>
      <c r="J109" s="850"/>
      <c r="K109" s="850"/>
      <c r="L109" s="850"/>
    </row>
    <row r="110" spans="3:12" s="165" customFormat="1">
      <c r="C110" s="850"/>
      <c r="D110" s="850"/>
      <c r="E110" s="850"/>
      <c r="F110" s="850"/>
      <c r="G110" s="850"/>
      <c r="H110" s="850"/>
      <c r="I110" s="850"/>
      <c r="J110" s="850"/>
      <c r="K110" s="850"/>
      <c r="L110" s="850"/>
    </row>
    <row r="111" spans="3:12" s="165" customFormat="1">
      <c r="C111" s="850"/>
      <c r="D111" s="850"/>
      <c r="E111" s="850"/>
      <c r="F111" s="850"/>
      <c r="G111" s="850"/>
      <c r="H111" s="850"/>
      <c r="I111" s="850"/>
      <c r="J111" s="850"/>
      <c r="K111" s="850"/>
      <c r="L111" s="850"/>
    </row>
    <row r="112" spans="3:12" s="165" customFormat="1">
      <c r="C112" s="850"/>
      <c r="D112" s="850"/>
      <c r="E112" s="850"/>
      <c r="F112" s="850"/>
      <c r="G112" s="850"/>
      <c r="H112" s="850"/>
      <c r="I112" s="850"/>
      <c r="J112" s="850"/>
      <c r="K112" s="850"/>
      <c r="L112" s="850"/>
    </row>
    <row r="113" spans="3:12" s="165" customFormat="1">
      <c r="C113" s="850"/>
      <c r="D113" s="850"/>
      <c r="E113" s="850"/>
      <c r="F113" s="850"/>
      <c r="G113" s="850"/>
      <c r="H113" s="850"/>
      <c r="I113" s="850"/>
      <c r="J113" s="850"/>
      <c r="K113" s="850"/>
      <c r="L113" s="850"/>
    </row>
    <row r="114" spans="3:12" s="165" customFormat="1">
      <c r="C114" s="850"/>
      <c r="D114" s="850"/>
      <c r="E114" s="850"/>
      <c r="F114" s="850"/>
      <c r="G114" s="850"/>
      <c r="H114" s="850"/>
      <c r="I114" s="850"/>
      <c r="J114" s="850"/>
      <c r="K114" s="850"/>
      <c r="L114" s="850"/>
    </row>
    <row r="115" spans="3:12" s="165" customFormat="1">
      <c r="C115" s="850"/>
      <c r="D115" s="850"/>
      <c r="E115" s="850"/>
      <c r="F115" s="850"/>
      <c r="G115" s="850"/>
      <c r="H115" s="850"/>
      <c r="I115" s="850"/>
      <c r="J115" s="850"/>
      <c r="K115" s="850"/>
      <c r="L115" s="850"/>
    </row>
    <row r="116" spans="3:12" s="165" customFormat="1">
      <c r="C116" s="850"/>
      <c r="D116" s="850"/>
      <c r="E116" s="850"/>
      <c r="F116" s="850"/>
      <c r="G116" s="850"/>
      <c r="H116" s="850"/>
      <c r="I116" s="850"/>
      <c r="J116" s="850"/>
      <c r="K116" s="850"/>
      <c r="L116" s="850"/>
    </row>
    <row r="117" spans="3:12" s="165" customFormat="1">
      <c r="C117" s="850"/>
      <c r="D117" s="850"/>
      <c r="E117" s="850"/>
      <c r="F117" s="850"/>
      <c r="G117" s="850"/>
      <c r="H117" s="850"/>
      <c r="I117" s="850"/>
      <c r="J117" s="850"/>
      <c r="K117" s="850"/>
      <c r="L117" s="850"/>
    </row>
    <row r="118" spans="3:12" s="165" customFormat="1">
      <c r="C118" s="850"/>
      <c r="D118" s="850"/>
      <c r="E118" s="850"/>
      <c r="F118" s="850"/>
      <c r="G118" s="850"/>
      <c r="H118" s="850"/>
      <c r="I118" s="850"/>
      <c r="J118" s="850"/>
      <c r="K118" s="850"/>
      <c r="L118" s="850"/>
    </row>
    <row r="119" spans="3:12" s="165" customFormat="1">
      <c r="C119" s="850"/>
      <c r="D119" s="850"/>
      <c r="E119" s="850"/>
      <c r="F119" s="850"/>
      <c r="G119" s="850"/>
      <c r="H119" s="850"/>
      <c r="I119" s="850"/>
      <c r="J119" s="850"/>
      <c r="K119" s="850"/>
      <c r="L119" s="850"/>
    </row>
    <row r="120" spans="3:12" s="165" customFormat="1">
      <c r="C120" s="850"/>
      <c r="D120" s="850"/>
      <c r="E120" s="850"/>
      <c r="F120" s="850"/>
      <c r="G120" s="850"/>
      <c r="H120" s="850"/>
      <c r="I120" s="850"/>
      <c r="J120" s="850"/>
      <c r="K120" s="850"/>
      <c r="L120" s="850"/>
    </row>
    <row r="121" spans="3:12" s="165" customFormat="1">
      <c r="C121" s="850"/>
      <c r="D121" s="850"/>
      <c r="E121" s="850"/>
      <c r="F121" s="850"/>
      <c r="G121" s="850"/>
      <c r="H121" s="850"/>
      <c r="I121" s="850"/>
      <c r="J121" s="850"/>
      <c r="K121" s="850"/>
      <c r="L121" s="850"/>
    </row>
    <row r="122" spans="3:12" s="165" customFormat="1">
      <c r="C122" s="850"/>
      <c r="D122" s="850"/>
      <c r="E122" s="850"/>
      <c r="F122" s="850"/>
      <c r="G122" s="850"/>
      <c r="H122" s="850"/>
      <c r="I122" s="850"/>
      <c r="J122" s="850"/>
      <c r="K122" s="850"/>
      <c r="L122" s="850"/>
    </row>
    <row r="123" spans="3:12" s="165" customFormat="1">
      <c r="C123" s="850"/>
      <c r="D123" s="850"/>
      <c r="E123" s="850"/>
      <c r="F123" s="850"/>
      <c r="G123" s="850"/>
      <c r="H123" s="850"/>
      <c r="I123" s="850"/>
      <c r="J123" s="850"/>
      <c r="K123" s="850"/>
      <c r="L123" s="850"/>
    </row>
    <row r="124" spans="3:12" s="165" customFormat="1">
      <c r="C124" s="850"/>
      <c r="D124" s="850"/>
      <c r="E124" s="850"/>
      <c r="F124" s="850"/>
      <c r="G124" s="850"/>
      <c r="H124" s="850"/>
      <c r="I124" s="850"/>
      <c r="J124" s="850"/>
      <c r="K124" s="850"/>
      <c r="L124" s="850"/>
    </row>
    <row r="125" spans="3:12" s="165" customFormat="1">
      <c r="C125" s="850"/>
      <c r="D125" s="850"/>
      <c r="E125" s="850"/>
      <c r="F125" s="850"/>
      <c r="G125" s="850"/>
      <c r="H125" s="850"/>
      <c r="I125" s="850"/>
      <c r="J125" s="850"/>
      <c r="K125" s="850"/>
      <c r="L125" s="850"/>
    </row>
    <row r="126" spans="3:12" s="165" customFormat="1">
      <c r="C126" s="850"/>
      <c r="D126" s="850"/>
      <c r="E126" s="850"/>
      <c r="F126" s="850"/>
      <c r="G126" s="850"/>
      <c r="H126" s="850"/>
      <c r="I126" s="850"/>
      <c r="J126" s="850"/>
      <c r="K126" s="850"/>
      <c r="L126" s="850"/>
    </row>
    <row r="127" spans="3:12" s="165" customFormat="1">
      <c r="C127" s="850"/>
      <c r="D127" s="850"/>
      <c r="E127" s="850"/>
      <c r="F127" s="850"/>
      <c r="G127" s="850"/>
      <c r="H127" s="850"/>
      <c r="I127" s="850"/>
      <c r="J127" s="850"/>
      <c r="K127" s="850"/>
      <c r="L127" s="850"/>
    </row>
    <row r="128" spans="3:12" s="165" customFormat="1">
      <c r="C128" s="850"/>
      <c r="D128" s="850"/>
      <c r="E128" s="850"/>
      <c r="F128" s="850"/>
      <c r="G128" s="850"/>
      <c r="H128" s="850"/>
      <c r="I128" s="850"/>
      <c r="J128" s="850"/>
      <c r="K128" s="850"/>
      <c r="L128" s="850"/>
    </row>
    <row r="129" spans="3:12" s="165" customFormat="1">
      <c r="C129" s="850"/>
      <c r="D129" s="850"/>
      <c r="E129" s="850"/>
      <c r="F129" s="850"/>
      <c r="G129" s="850"/>
      <c r="H129" s="850"/>
      <c r="I129" s="850"/>
      <c r="J129" s="850"/>
      <c r="K129" s="850"/>
      <c r="L129" s="850"/>
    </row>
    <row r="130" spans="3:12" s="165" customFormat="1">
      <c r="C130" s="850"/>
      <c r="D130" s="850"/>
      <c r="E130" s="850"/>
      <c r="F130" s="850"/>
      <c r="G130" s="850"/>
      <c r="H130" s="850"/>
      <c r="I130" s="850"/>
      <c r="J130" s="850"/>
      <c r="K130" s="850"/>
      <c r="L130" s="850"/>
    </row>
    <row r="131" spans="3:12" s="165" customFormat="1">
      <c r="C131" s="850"/>
      <c r="D131" s="850"/>
      <c r="E131" s="850"/>
      <c r="F131" s="850"/>
      <c r="G131" s="850"/>
      <c r="H131" s="850"/>
      <c r="I131" s="850"/>
      <c r="J131" s="850"/>
      <c r="K131" s="850"/>
      <c r="L131" s="850"/>
    </row>
    <row r="132" spans="3:12" s="165" customFormat="1">
      <c r="C132" s="850"/>
      <c r="D132" s="850"/>
      <c r="E132" s="850"/>
      <c r="F132" s="850"/>
      <c r="G132" s="850"/>
      <c r="H132" s="850"/>
      <c r="I132" s="850"/>
      <c r="J132" s="850"/>
      <c r="K132" s="850"/>
      <c r="L132" s="850"/>
    </row>
    <row r="133" spans="3:12" s="165" customFormat="1">
      <c r="C133" s="850"/>
      <c r="D133" s="850"/>
      <c r="E133" s="850"/>
      <c r="F133" s="850"/>
      <c r="G133" s="850"/>
      <c r="H133" s="850"/>
      <c r="I133" s="850"/>
      <c r="J133" s="850"/>
      <c r="K133" s="850"/>
      <c r="L133" s="850"/>
    </row>
    <row r="134" spans="3:12" s="165" customFormat="1">
      <c r="C134" s="850"/>
      <c r="D134" s="850"/>
      <c r="E134" s="850"/>
      <c r="F134" s="850"/>
      <c r="G134" s="850"/>
      <c r="H134" s="850"/>
      <c r="I134" s="850"/>
      <c r="J134" s="850"/>
      <c r="K134" s="850"/>
      <c r="L134" s="850"/>
    </row>
    <row r="135" spans="3:12" s="165" customFormat="1">
      <c r="C135" s="850"/>
      <c r="D135" s="850"/>
      <c r="E135" s="850"/>
      <c r="F135" s="850"/>
      <c r="G135" s="850"/>
      <c r="H135" s="850"/>
      <c r="I135" s="850"/>
      <c r="J135" s="850"/>
      <c r="K135" s="850"/>
      <c r="L135" s="850"/>
    </row>
    <row r="136" spans="3:12" s="165" customFormat="1">
      <c r="C136" s="850"/>
      <c r="D136" s="850"/>
      <c r="E136" s="850"/>
      <c r="F136" s="850"/>
      <c r="G136" s="850"/>
      <c r="H136" s="850"/>
      <c r="I136" s="850"/>
      <c r="J136" s="850"/>
      <c r="K136" s="850"/>
      <c r="L136" s="850"/>
    </row>
    <row r="137" spans="3:12" s="165" customFormat="1">
      <c r="C137" s="850"/>
      <c r="D137" s="850"/>
      <c r="E137" s="850"/>
      <c r="F137" s="850"/>
      <c r="G137" s="850"/>
      <c r="H137" s="850"/>
      <c r="I137" s="850"/>
      <c r="J137" s="850"/>
      <c r="K137" s="850"/>
      <c r="L137" s="850"/>
    </row>
    <row r="138" spans="3:12" s="165" customFormat="1">
      <c r="C138" s="850"/>
      <c r="D138" s="850"/>
      <c r="E138" s="850"/>
      <c r="F138" s="850"/>
      <c r="G138" s="850"/>
      <c r="H138" s="850"/>
      <c r="I138" s="850"/>
      <c r="J138" s="850"/>
      <c r="K138" s="850"/>
      <c r="L138" s="850"/>
    </row>
    <row r="139" spans="3:12" s="165" customFormat="1">
      <c r="C139" s="850"/>
      <c r="D139" s="850"/>
      <c r="E139" s="850"/>
      <c r="F139" s="850"/>
      <c r="G139" s="850"/>
      <c r="H139" s="850"/>
      <c r="I139" s="850"/>
      <c r="J139" s="850"/>
      <c r="K139" s="850"/>
      <c r="L139" s="850"/>
    </row>
    <row r="140" spans="3:12" s="165" customFormat="1">
      <c r="C140" s="850"/>
      <c r="D140" s="850"/>
      <c r="E140" s="850"/>
      <c r="F140" s="850"/>
      <c r="G140" s="850"/>
      <c r="H140" s="850"/>
      <c r="I140" s="850"/>
      <c r="J140" s="850"/>
      <c r="K140" s="850"/>
      <c r="L140" s="850"/>
    </row>
    <row r="141" spans="3:12" s="165" customFormat="1">
      <c r="C141" s="850"/>
      <c r="D141" s="850"/>
      <c r="E141" s="850"/>
      <c r="F141" s="850"/>
      <c r="G141" s="850"/>
      <c r="H141" s="850"/>
      <c r="I141" s="850"/>
      <c r="J141" s="850"/>
      <c r="K141" s="850"/>
      <c r="L141" s="850"/>
    </row>
    <row r="142" spans="3:12" s="165" customFormat="1">
      <c r="C142" s="850"/>
      <c r="D142" s="850"/>
      <c r="E142" s="850"/>
      <c r="F142" s="850"/>
      <c r="G142" s="850"/>
      <c r="H142" s="850"/>
      <c r="I142" s="850"/>
      <c r="J142" s="850"/>
      <c r="K142" s="850"/>
      <c r="L142" s="850"/>
    </row>
    <row r="143" spans="3:12" s="165" customFormat="1">
      <c r="C143" s="850"/>
      <c r="D143" s="850"/>
      <c r="E143" s="850"/>
      <c r="F143" s="850"/>
      <c r="G143" s="850"/>
      <c r="H143" s="850"/>
      <c r="I143" s="850"/>
      <c r="J143" s="850"/>
      <c r="K143" s="850"/>
      <c r="L143" s="850"/>
    </row>
    <row r="144" spans="3:12" s="165" customFormat="1">
      <c r="C144" s="850"/>
      <c r="D144" s="850"/>
      <c r="E144" s="850"/>
      <c r="F144" s="850"/>
      <c r="G144" s="850"/>
      <c r="H144" s="850"/>
      <c r="I144" s="850"/>
      <c r="J144" s="850"/>
      <c r="K144" s="850"/>
      <c r="L144" s="850"/>
    </row>
    <row r="145" spans="3:12" s="165" customFormat="1">
      <c r="C145" s="850"/>
      <c r="D145" s="850"/>
      <c r="E145" s="850"/>
      <c r="F145" s="850"/>
      <c r="G145" s="850"/>
      <c r="H145" s="850"/>
      <c r="I145" s="850"/>
      <c r="J145" s="850"/>
      <c r="K145" s="850"/>
      <c r="L145" s="850"/>
    </row>
    <row r="146" spans="3:12" s="165" customFormat="1">
      <c r="C146" s="850"/>
      <c r="D146" s="850"/>
      <c r="E146" s="850"/>
      <c r="F146" s="850"/>
      <c r="G146" s="850"/>
      <c r="H146" s="850"/>
      <c r="I146" s="850"/>
      <c r="J146" s="850"/>
      <c r="K146" s="850"/>
      <c r="L146" s="850"/>
    </row>
    <row r="147" spans="3:12" s="165" customFormat="1">
      <c r="C147" s="850"/>
      <c r="D147" s="850"/>
      <c r="E147" s="850"/>
      <c r="F147" s="850"/>
      <c r="G147" s="850"/>
      <c r="H147" s="850"/>
      <c r="I147" s="850"/>
      <c r="J147" s="850"/>
      <c r="K147" s="850"/>
      <c r="L147" s="850"/>
    </row>
    <row r="148" spans="3:12" s="165" customFormat="1">
      <c r="C148" s="850"/>
      <c r="D148" s="850"/>
      <c r="E148" s="850"/>
      <c r="F148" s="850"/>
      <c r="G148" s="850"/>
      <c r="H148" s="850"/>
      <c r="I148" s="850"/>
      <c r="J148" s="850"/>
      <c r="K148" s="850"/>
      <c r="L148" s="850"/>
    </row>
    <row r="149" spans="3:12" s="165" customFormat="1">
      <c r="C149" s="850"/>
      <c r="D149" s="850"/>
      <c r="E149" s="850"/>
      <c r="F149" s="850"/>
      <c r="G149" s="850"/>
      <c r="H149" s="850"/>
      <c r="I149" s="850"/>
      <c r="J149" s="850"/>
      <c r="K149" s="850"/>
      <c r="L149" s="850"/>
    </row>
    <row r="150" spans="3:12" s="165" customFormat="1">
      <c r="C150" s="850"/>
      <c r="D150" s="850"/>
      <c r="E150" s="850"/>
      <c r="F150" s="850"/>
      <c r="G150" s="850"/>
      <c r="H150" s="850"/>
      <c r="I150" s="850"/>
      <c r="J150" s="850"/>
      <c r="K150" s="850"/>
      <c r="L150" s="850"/>
    </row>
    <row r="151" spans="3:12" s="165" customFormat="1">
      <c r="C151" s="850"/>
      <c r="D151" s="850"/>
      <c r="E151" s="850"/>
      <c r="F151" s="850"/>
      <c r="G151" s="850"/>
      <c r="H151" s="850"/>
      <c r="I151" s="850"/>
      <c r="J151" s="850"/>
      <c r="K151" s="850"/>
      <c r="L151" s="850"/>
    </row>
    <row r="152" spans="3:12" s="165" customFormat="1">
      <c r="C152" s="850"/>
      <c r="D152" s="850"/>
      <c r="E152" s="850"/>
      <c r="F152" s="850"/>
      <c r="G152" s="850"/>
      <c r="H152" s="850"/>
      <c r="I152" s="850"/>
      <c r="J152" s="850"/>
      <c r="K152" s="850"/>
      <c r="L152" s="850"/>
    </row>
    <row r="153" spans="3:12" s="165" customFormat="1">
      <c r="C153" s="850"/>
      <c r="D153" s="850"/>
      <c r="E153" s="850"/>
      <c r="F153" s="850"/>
      <c r="G153" s="850"/>
      <c r="H153" s="850"/>
      <c r="I153" s="850"/>
      <c r="J153" s="850"/>
      <c r="K153" s="850"/>
      <c r="L153" s="850"/>
    </row>
    <row r="154" spans="3:12" s="165" customFormat="1">
      <c r="C154" s="850"/>
      <c r="D154" s="850"/>
      <c r="E154" s="850"/>
      <c r="F154" s="850"/>
      <c r="G154" s="850"/>
      <c r="H154" s="850"/>
      <c r="I154" s="850"/>
      <c r="J154" s="850"/>
      <c r="K154" s="850"/>
      <c r="L154" s="850"/>
    </row>
    <row r="155" spans="3:12" s="165" customFormat="1">
      <c r="C155" s="850"/>
      <c r="D155" s="850"/>
      <c r="E155" s="850"/>
      <c r="F155" s="850"/>
      <c r="G155" s="850"/>
      <c r="H155" s="850"/>
      <c r="I155" s="850"/>
      <c r="J155" s="850"/>
      <c r="K155" s="850"/>
      <c r="L155" s="850"/>
    </row>
    <row r="156" spans="3:12" s="165" customFormat="1">
      <c r="C156" s="850"/>
      <c r="D156" s="850"/>
      <c r="E156" s="850"/>
      <c r="F156" s="850"/>
      <c r="G156" s="850"/>
      <c r="H156" s="850"/>
      <c r="I156" s="850"/>
      <c r="J156" s="850"/>
      <c r="K156" s="850"/>
      <c r="L156" s="850"/>
    </row>
    <row r="157" spans="3:12" s="165" customFormat="1">
      <c r="C157" s="850"/>
      <c r="D157" s="850"/>
      <c r="E157" s="850"/>
      <c r="F157" s="850"/>
      <c r="G157" s="850"/>
      <c r="H157" s="850"/>
      <c r="I157" s="850"/>
      <c r="J157" s="850"/>
      <c r="K157" s="850"/>
      <c r="L157" s="850"/>
    </row>
    <row r="158" spans="3:12" s="165" customFormat="1">
      <c r="C158" s="850"/>
      <c r="D158" s="850"/>
      <c r="E158" s="850"/>
      <c r="F158" s="850"/>
      <c r="G158" s="850"/>
      <c r="H158" s="850"/>
      <c r="I158" s="850"/>
      <c r="J158" s="850"/>
      <c r="K158" s="850"/>
      <c r="L158" s="850"/>
    </row>
    <row r="159" spans="3:12" s="165" customFormat="1">
      <c r="C159" s="850"/>
      <c r="D159" s="850"/>
      <c r="E159" s="850"/>
      <c r="F159" s="850"/>
      <c r="G159" s="850"/>
      <c r="H159" s="850"/>
      <c r="I159" s="850"/>
      <c r="J159" s="850"/>
      <c r="K159" s="850"/>
      <c r="L159" s="850"/>
    </row>
    <row r="160" spans="3:12" s="165" customFormat="1">
      <c r="C160" s="850"/>
      <c r="D160" s="850"/>
      <c r="E160" s="850"/>
      <c r="F160" s="850"/>
      <c r="G160" s="850"/>
      <c r="H160" s="850"/>
      <c r="I160" s="850"/>
      <c r="J160" s="850"/>
      <c r="K160" s="850"/>
      <c r="L160" s="850"/>
    </row>
    <row r="161" spans="3:12" s="165" customFormat="1">
      <c r="C161" s="850"/>
      <c r="D161" s="850"/>
      <c r="E161" s="850"/>
      <c r="F161" s="850"/>
      <c r="G161" s="850"/>
      <c r="H161" s="850"/>
      <c r="I161" s="850"/>
      <c r="J161" s="850"/>
      <c r="K161" s="850"/>
      <c r="L161" s="850"/>
    </row>
    <row r="162" spans="3:12" s="165" customFormat="1">
      <c r="C162" s="850"/>
      <c r="D162" s="850"/>
      <c r="E162" s="850"/>
      <c r="F162" s="850"/>
      <c r="G162" s="850"/>
      <c r="H162" s="850"/>
      <c r="I162" s="850"/>
      <c r="J162" s="850"/>
      <c r="K162" s="850"/>
      <c r="L162" s="850"/>
    </row>
    <row r="163" spans="3:12" s="165" customFormat="1">
      <c r="C163" s="850"/>
      <c r="D163" s="850"/>
      <c r="E163" s="850"/>
      <c r="F163" s="850"/>
      <c r="G163" s="850"/>
      <c r="H163" s="850"/>
      <c r="I163" s="850"/>
      <c r="J163" s="850"/>
      <c r="K163" s="850"/>
      <c r="L163" s="850"/>
    </row>
    <row r="164" spans="3:12" s="165" customFormat="1">
      <c r="C164" s="850"/>
      <c r="D164" s="850"/>
      <c r="E164" s="850"/>
      <c r="F164" s="850"/>
      <c r="G164" s="850"/>
      <c r="H164" s="850"/>
      <c r="I164" s="850"/>
      <c r="J164" s="850"/>
      <c r="K164" s="850"/>
      <c r="L164" s="850"/>
    </row>
    <row r="165" spans="3:12" s="165" customFormat="1">
      <c r="C165" s="850"/>
      <c r="D165" s="850"/>
      <c r="E165" s="850"/>
      <c r="F165" s="850"/>
      <c r="G165" s="850"/>
      <c r="H165" s="850"/>
      <c r="I165" s="850"/>
      <c r="J165" s="850"/>
      <c r="K165" s="850"/>
      <c r="L165" s="850"/>
    </row>
    <row r="166" spans="3:12" s="165" customFormat="1">
      <c r="C166" s="850"/>
      <c r="D166" s="850"/>
      <c r="E166" s="850"/>
      <c r="F166" s="850"/>
      <c r="G166" s="850"/>
      <c r="H166" s="850"/>
      <c r="I166" s="850"/>
      <c r="J166" s="850"/>
      <c r="K166" s="850"/>
      <c r="L166" s="850"/>
    </row>
    <row r="167" spans="3:12" s="165" customFormat="1">
      <c r="C167" s="850"/>
      <c r="D167" s="850"/>
      <c r="E167" s="850"/>
      <c r="F167" s="850"/>
      <c r="G167" s="850"/>
      <c r="H167" s="850"/>
      <c r="I167" s="850"/>
      <c r="J167" s="850"/>
      <c r="K167" s="850"/>
      <c r="L167" s="850"/>
    </row>
    <row r="168" spans="3:12" s="165" customFormat="1">
      <c r="C168" s="850"/>
      <c r="D168" s="850"/>
      <c r="E168" s="850"/>
      <c r="F168" s="850"/>
      <c r="G168" s="850"/>
      <c r="H168" s="850"/>
      <c r="I168" s="850"/>
      <c r="J168" s="850"/>
      <c r="K168" s="850"/>
      <c r="L168" s="850"/>
    </row>
    <row r="169" spans="3:12" s="165" customFormat="1">
      <c r="C169" s="850"/>
      <c r="D169" s="850"/>
      <c r="E169" s="850"/>
      <c r="F169" s="850"/>
      <c r="G169" s="850"/>
      <c r="H169" s="850"/>
      <c r="I169" s="850"/>
      <c r="J169" s="850"/>
      <c r="K169" s="850"/>
      <c r="L169" s="850"/>
    </row>
    <row r="170" spans="3:12" s="165" customFormat="1">
      <c r="C170" s="850"/>
      <c r="D170" s="850"/>
      <c r="E170" s="850"/>
      <c r="F170" s="850"/>
      <c r="G170" s="850"/>
      <c r="H170" s="850"/>
      <c r="I170" s="850"/>
      <c r="J170" s="850"/>
      <c r="K170" s="850"/>
      <c r="L170" s="850"/>
    </row>
    <row r="171" spans="3:12" s="165" customFormat="1">
      <c r="C171" s="850"/>
      <c r="D171" s="850"/>
      <c r="E171" s="850"/>
      <c r="F171" s="850"/>
      <c r="G171" s="850"/>
      <c r="H171" s="850"/>
      <c r="I171" s="850"/>
      <c r="J171" s="850"/>
      <c r="K171" s="850"/>
      <c r="L171" s="850"/>
    </row>
    <row r="172" spans="3:12" s="165" customFormat="1">
      <c r="C172" s="850"/>
      <c r="D172" s="850"/>
      <c r="E172" s="850"/>
      <c r="F172" s="850"/>
      <c r="G172" s="850"/>
      <c r="H172" s="850"/>
      <c r="I172" s="850"/>
      <c r="J172" s="850"/>
      <c r="K172" s="850"/>
      <c r="L172" s="850"/>
    </row>
    <row r="173" spans="3:12" s="165" customFormat="1">
      <c r="C173" s="850"/>
      <c r="D173" s="850"/>
      <c r="E173" s="850"/>
      <c r="F173" s="850"/>
      <c r="G173" s="850"/>
      <c r="H173" s="850"/>
      <c r="I173" s="850"/>
      <c r="J173" s="850"/>
      <c r="K173" s="850"/>
      <c r="L173" s="850"/>
    </row>
    <row r="174" spans="3:12" s="165" customFormat="1">
      <c r="C174" s="850"/>
      <c r="D174" s="850"/>
      <c r="E174" s="850"/>
      <c r="F174" s="850"/>
      <c r="G174" s="850"/>
      <c r="H174" s="850"/>
      <c r="I174" s="850"/>
      <c r="J174" s="850"/>
      <c r="K174" s="850"/>
      <c r="L174" s="850"/>
    </row>
    <row r="175" spans="3:12" s="165" customFormat="1">
      <c r="C175" s="850"/>
      <c r="D175" s="850"/>
      <c r="E175" s="850"/>
      <c r="F175" s="850"/>
      <c r="G175" s="850"/>
      <c r="H175" s="850"/>
      <c r="I175" s="850"/>
      <c r="J175" s="850"/>
      <c r="K175" s="850"/>
      <c r="L175" s="850"/>
    </row>
    <row r="176" spans="3:12" s="165" customFormat="1">
      <c r="C176" s="850"/>
      <c r="D176" s="850"/>
      <c r="E176" s="850"/>
      <c r="F176" s="850"/>
      <c r="G176" s="850"/>
      <c r="H176" s="850"/>
      <c r="I176" s="850"/>
      <c r="J176" s="850"/>
      <c r="K176" s="850"/>
      <c r="L176" s="850"/>
    </row>
    <row r="177" spans="3:12" s="165" customFormat="1">
      <c r="C177" s="850"/>
      <c r="D177" s="850"/>
      <c r="E177" s="850"/>
      <c r="F177" s="850"/>
      <c r="G177" s="850"/>
      <c r="H177" s="850"/>
      <c r="I177" s="850"/>
      <c r="J177" s="850"/>
      <c r="K177" s="850"/>
      <c r="L177" s="850"/>
    </row>
    <row r="178" spans="3:12" s="165" customFormat="1">
      <c r="C178" s="850"/>
      <c r="D178" s="850"/>
      <c r="E178" s="850"/>
      <c r="F178" s="850"/>
      <c r="G178" s="850"/>
      <c r="H178" s="850"/>
      <c r="I178" s="850"/>
      <c r="J178" s="850"/>
      <c r="K178" s="850"/>
      <c r="L178" s="850"/>
    </row>
    <row r="179" spans="3:12" s="165" customFormat="1">
      <c r="C179" s="850"/>
      <c r="D179" s="850"/>
      <c r="E179" s="850"/>
      <c r="F179" s="850"/>
      <c r="G179" s="850"/>
      <c r="H179" s="850"/>
      <c r="I179" s="850"/>
      <c r="J179" s="850"/>
      <c r="K179" s="850"/>
      <c r="L179" s="850"/>
    </row>
    <row r="180" spans="3:12" s="165" customFormat="1">
      <c r="C180" s="850"/>
      <c r="D180" s="850"/>
      <c r="E180" s="850"/>
      <c r="F180" s="850"/>
      <c r="G180" s="850"/>
      <c r="H180" s="850"/>
      <c r="I180" s="850"/>
      <c r="J180" s="850"/>
      <c r="K180" s="850"/>
      <c r="L180" s="850"/>
    </row>
    <row r="181" spans="3:12" s="165" customFormat="1">
      <c r="C181" s="850"/>
      <c r="D181" s="850"/>
      <c r="E181" s="850"/>
      <c r="F181" s="850"/>
      <c r="G181" s="850"/>
      <c r="H181" s="850"/>
      <c r="I181" s="850"/>
      <c r="J181" s="850"/>
      <c r="K181" s="850"/>
      <c r="L181" s="850"/>
    </row>
    <row r="182" spans="3:12" s="165" customFormat="1">
      <c r="C182" s="850"/>
      <c r="D182" s="850"/>
      <c r="E182" s="850"/>
      <c r="F182" s="850"/>
      <c r="G182" s="850"/>
      <c r="H182" s="850"/>
      <c r="I182" s="850"/>
      <c r="J182" s="850"/>
      <c r="K182" s="850"/>
      <c r="L182" s="850"/>
    </row>
    <row r="183" spans="3:12" s="165" customFormat="1">
      <c r="C183" s="850"/>
      <c r="D183" s="850"/>
      <c r="E183" s="850"/>
      <c r="F183" s="850"/>
      <c r="G183" s="850"/>
      <c r="H183" s="850"/>
      <c r="I183" s="850"/>
      <c r="J183" s="850"/>
      <c r="K183" s="850"/>
      <c r="L183" s="850"/>
    </row>
    <row r="184" spans="3:12" s="165" customFormat="1">
      <c r="C184" s="850"/>
      <c r="D184" s="850"/>
      <c r="E184" s="850"/>
      <c r="F184" s="850"/>
      <c r="G184" s="850"/>
      <c r="H184" s="850"/>
      <c r="I184" s="850"/>
      <c r="J184" s="850"/>
      <c r="K184" s="850"/>
      <c r="L184" s="850"/>
    </row>
    <row r="185" spans="3:12" s="165" customFormat="1">
      <c r="C185" s="850"/>
      <c r="D185" s="850"/>
      <c r="E185" s="850"/>
      <c r="F185" s="850"/>
      <c r="G185" s="850"/>
      <c r="H185" s="850"/>
      <c r="I185" s="850"/>
      <c r="J185" s="850"/>
      <c r="K185" s="850"/>
      <c r="L185" s="850"/>
    </row>
    <row r="186" spans="3:12" s="165" customFormat="1">
      <c r="C186" s="850"/>
      <c r="D186" s="850"/>
      <c r="E186" s="850"/>
      <c r="F186" s="850"/>
      <c r="G186" s="850"/>
      <c r="H186" s="850"/>
      <c r="I186" s="850"/>
      <c r="J186" s="850"/>
      <c r="K186" s="850"/>
      <c r="L186" s="850"/>
    </row>
    <row r="187" spans="3:12" s="165" customFormat="1">
      <c r="C187" s="850"/>
      <c r="D187" s="850"/>
      <c r="E187" s="850"/>
      <c r="F187" s="850"/>
      <c r="G187" s="850"/>
      <c r="H187" s="850"/>
      <c r="I187" s="850"/>
      <c r="J187" s="850"/>
      <c r="K187" s="850"/>
      <c r="L187" s="850"/>
    </row>
    <row r="188" spans="3:12" s="165" customFormat="1">
      <c r="C188" s="850"/>
      <c r="D188" s="850"/>
      <c r="E188" s="850"/>
      <c r="F188" s="850"/>
      <c r="G188" s="850"/>
      <c r="H188" s="850"/>
      <c r="I188" s="850"/>
      <c r="J188" s="850"/>
      <c r="K188" s="850"/>
      <c r="L188" s="850"/>
    </row>
    <row r="189" spans="3:12" s="165" customFormat="1">
      <c r="C189" s="850"/>
      <c r="D189" s="850"/>
      <c r="E189" s="850"/>
      <c r="F189" s="850"/>
      <c r="G189" s="850"/>
      <c r="H189" s="850"/>
      <c r="I189" s="850"/>
      <c r="J189" s="850"/>
      <c r="K189" s="850"/>
      <c r="L189" s="850"/>
    </row>
    <row r="190" spans="3:12" s="165" customFormat="1">
      <c r="C190" s="850"/>
      <c r="D190" s="850"/>
      <c r="E190" s="850"/>
      <c r="F190" s="850"/>
      <c r="G190" s="850"/>
      <c r="H190" s="850"/>
      <c r="I190" s="850"/>
      <c r="J190" s="850"/>
      <c r="K190" s="850"/>
      <c r="L190" s="850"/>
    </row>
    <row r="191" spans="3:12" s="165" customFormat="1">
      <c r="C191" s="850"/>
      <c r="D191" s="850"/>
      <c r="E191" s="850"/>
      <c r="F191" s="850"/>
      <c r="G191" s="850"/>
      <c r="H191" s="850"/>
      <c r="I191" s="850"/>
      <c r="J191" s="850"/>
      <c r="K191" s="850"/>
      <c r="L191" s="850"/>
    </row>
    <row r="192" spans="3:12" s="165" customFormat="1">
      <c r="C192" s="850"/>
      <c r="D192" s="850"/>
      <c r="E192" s="850"/>
      <c r="F192" s="850"/>
      <c r="G192" s="850"/>
      <c r="H192" s="850"/>
      <c r="I192" s="850"/>
      <c r="J192" s="850"/>
      <c r="K192" s="850"/>
      <c r="L192" s="850"/>
    </row>
    <row r="193" spans="3:12" s="165" customFormat="1">
      <c r="C193" s="850"/>
      <c r="D193" s="850"/>
      <c r="E193" s="850"/>
      <c r="F193" s="850"/>
      <c r="G193" s="850"/>
      <c r="H193" s="850"/>
      <c r="I193" s="850"/>
      <c r="J193" s="850"/>
      <c r="K193" s="850"/>
      <c r="L193" s="850"/>
    </row>
    <row r="194" spans="3:12" s="165" customFormat="1">
      <c r="C194" s="850"/>
      <c r="D194" s="850"/>
      <c r="E194" s="850"/>
      <c r="F194" s="850"/>
      <c r="G194" s="850"/>
      <c r="H194" s="850"/>
      <c r="I194" s="850"/>
      <c r="J194" s="850"/>
      <c r="K194" s="850"/>
      <c r="L194" s="850"/>
    </row>
    <row r="195" spans="3:12" s="165" customFormat="1">
      <c r="C195" s="865"/>
      <c r="D195" s="865"/>
      <c r="E195" s="865"/>
      <c r="F195" s="865"/>
      <c r="G195" s="865"/>
      <c r="H195" s="865"/>
      <c r="I195" s="865"/>
      <c r="J195" s="865"/>
      <c r="K195" s="865"/>
      <c r="L195" s="865"/>
    </row>
    <row r="196" spans="3:12" s="165" customFormat="1">
      <c r="C196" s="865"/>
      <c r="D196" s="865"/>
      <c r="E196" s="865"/>
      <c r="F196" s="865"/>
      <c r="G196" s="865"/>
      <c r="H196" s="865"/>
      <c r="I196" s="865"/>
      <c r="J196" s="865"/>
      <c r="K196" s="865"/>
      <c r="L196" s="865"/>
    </row>
    <row r="197" spans="3:12" s="165" customFormat="1">
      <c r="C197" s="865"/>
      <c r="D197" s="865"/>
      <c r="E197" s="865"/>
      <c r="F197" s="865"/>
      <c r="G197" s="865"/>
      <c r="H197" s="865"/>
      <c r="I197" s="865"/>
      <c r="J197" s="865"/>
      <c r="K197" s="865"/>
      <c r="L197" s="865"/>
    </row>
    <row r="198" spans="3:12" s="165" customFormat="1">
      <c r="C198" s="865"/>
      <c r="D198" s="865"/>
      <c r="E198" s="865"/>
      <c r="F198" s="865"/>
      <c r="G198" s="865"/>
      <c r="H198" s="865"/>
      <c r="I198" s="865"/>
      <c r="J198" s="865"/>
      <c r="K198" s="865"/>
      <c r="L198" s="865"/>
    </row>
    <row r="199" spans="3:12" s="165" customFormat="1">
      <c r="C199" s="865"/>
      <c r="D199" s="865"/>
      <c r="E199" s="865"/>
      <c r="F199" s="865"/>
      <c r="G199" s="865"/>
      <c r="H199" s="865"/>
      <c r="I199" s="865"/>
      <c r="J199" s="865"/>
      <c r="K199" s="865"/>
      <c r="L199" s="865"/>
    </row>
    <row r="200" spans="3:12" s="165" customFormat="1">
      <c r="C200" s="865"/>
      <c r="D200" s="865"/>
      <c r="E200" s="865"/>
      <c r="F200" s="865"/>
      <c r="G200" s="865"/>
      <c r="H200" s="865"/>
      <c r="I200" s="865"/>
      <c r="J200" s="865"/>
      <c r="K200" s="865"/>
      <c r="L200" s="865"/>
    </row>
    <row r="201" spans="3:12" s="165" customFormat="1">
      <c r="C201" s="865"/>
      <c r="D201" s="865"/>
      <c r="E201" s="865"/>
      <c r="F201" s="865"/>
      <c r="G201" s="865"/>
      <c r="H201" s="865"/>
      <c r="I201" s="865"/>
      <c r="J201" s="865"/>
      <c r="K201" s="865"/>
      <c r="L201" s="865"/>
    </row>
    <row r="202" spans="3:12" s="165" customFormat="1">
      <c r="C202" s="865"/>
      <c r="D202" s="865"/>
      <c r="E202" s="865"/>
      <c r="F202" s="865"/>
      <c r="G202" s="865"/>
      <c r="H202" s="865"/>
      <c r="I202" s="865"/>
      <c r="J202" s="865"/>
      <c r="K202" s="865"/>
      <c r="L202" s="865"/>
    </row>
    <row r="203" spans="3:12" s="165" customFormat="1">
      <c r="C203" s="865"/>
      <c r="D203" s="865"/>
      <c r="E203" s="865"/>
      <c r="F203" s="865"/>
      <c r="G203" s="865"/>
      <c r="H203" s="865"/>
      <c r="I203" s="865"/>
      <c r="J203" s="865"/>
      <c r="K203" s="865"/>
      <c r="L203" s="865"/>
    </row>
    <row r="204" spans="3:12" s="165" customFormat="1">
      <c r="C204" s="865"/>
      <c r="D204" s="865"/>
      <c r="E204" s="865"/>
      <c r="F204" s="865"/>
      <c r="G204" s="865"/>
      <c r="H204" s="865"/>
      <c r="I204" s="865"/>
      <c r="J204" s="865"/>
      <c r="K204" s="865"/>
      <c r="L204" s="865"/>
    </row>
    <row r="205" spans="3:12" s="165" customFormat="1">
      <c r="C205" s="865"/>
      <c r="D205" s="865"/>
      <c r="E205" s="865"/>
      <c r="F205" s="865"/>
      <c r="G205" s="865"/>
      <c r="H205" s="865"/>
      <c r="I205" s="865"/>
      <c r="J205" s="865"/>
      <c r="K205" s="865"/>
      <c r="L205" s="865"/>
    </row>
    <row r="206" spans="3:12" s="165" customFormat="1">
      <c r="C206" s="865"/>
      <c r="D206" s="865"/>
      <c r="E206" s="865"/>
      <c r="F206" s="865"/>
      <c r="G206" s="865"/>
      <c r="H206" s="865"/>
      <c r="I206" s="865"/>
      <c r="J206" s="865"/>
      <c r="K206" s="865"/>
      <c r="L206" s="865"/>
    </row>
    <row r="207" spans="3:12" s="165" customFormat="1">
      <c r="C207" s="865"/>
      <c r="D207" s="865"/>
      <c r="E207" s="865"/>
      <c r="F207" s="865"/>
      <c r="G207" s="865"/>
      <c r="H207" s="865"/>
      <c r="I207" s="865"/>
      <c r="J207" s="865"/>
      <c r="K207" s="865"/>
      <c r="L207" s="865"/>
    </row>
    <row r="208" spans="3:12" s="165" customFormat="1">
      <c r="C208" s="865"/>
      <c r="D208" s="865"/>
      <c r="E208" s="865"/>
      <c r="F208" s="865"/>
      <c r="G208" s="865"/>
      <c r="H208" s="865"/>
      <c r="I208" s="865"/>
      <c r="J208" s="865"/>
      <c r="K208" s="865"/>
      <c r="L208" s="865"/>
    </row>
    <row r="209" spans="3:12" s="165" customFormat="1">
      <c r="C209" s="865"/>
      <c r="D209" s="865"/>
      <c r="E209" s="865"/>
      <c r="F209" s="865"/>
      <c r="G209" s="865"/>
      <c r="H209" s="865"/>
      <c r="I209" s="865"/>
      <c r="J209" s="865"/>
      <c r="K209" s="865"/>
      <c r="L209" s="865"/>
    </row>
    <row r="210" spans="3:12" s="165" customFormat="1">
      <c r="C210" s="865"/>
      <c r="D210" s="865"/>
      <c r="E210" s="865"/>
      <c r="F210" s="865"/>
      <c r="G210" s="865"/>
      <c r="H210" s="865"/>
      <c r="I210" s="865"/>
      <c r="J210" s="865"/>
      <c r="K210" s="865"/>
      <c r="L210" s="865"/>
    </row>
    <row r="211" spans="3:12" s="165" customFormat="1">
      <c r="C211" s="865"/>
      <c r="D211" s="865"/>
      <c r="E211" s="865"/>
      <c r="F211" s="865"/>
      <c r="G211" s="865"/>
      <c r="H211" s="865"/>
      <c r="I211" s="865"/>
      <c r="J211" s="865"/>
      <c r="K211" s="865"/>
      <c r="L211" s="865"/>
    </row>
    <row r="212" spans="3:12" s="165" customFormat="1">
      <c r="C212" s="865"/>
      <c r="D212" s="865"/>
      <c r="E212" s="865"/>
      <c r="F212" s="865"/>
      <c r="G212" s="865"/>
      <c r="H212" s="865"/>
      <c r="I212" s="865"/>
      <c r="J212" s="865"/>
      <c r="K212" s="865"/>
      <c r="L212" s="865"/>
    </row>
    <row r="213" spans="3:12" s="165" customFormat="1">
      <c r="C213" s="865"/>
      <c r="D213" s="865"/>
      <c r="E213" s="865"/>
      <c r="F213" s="865"/>
      <c r="G213" s="865"/>
      <c r="H213" s="865"/>
      <c r="I213" s="865"/>
      <c r="J213" s="865"/>
      <c r="K213" s="865"/>
      <c r="L213" s="865"/>
    </row>
    <row r="214" spans="3:12" s="165" customFormat="1">
      <c r="C214" s="865"/>
      <c r="D214" s="865"/>
      <c r="E214" s="865"/>
      <c r="F214" s="865"/>
      <c r="G214" s="865"/>
      <c r="H214" s="865"/>
      <c r="I214" s="865"/>
      <c r="J214" s="865"/>
      <c r="K214" s="865"/>
      <c r="L214" s="865"/>
    </row>
    <row r="215" spans="3:12" s="165" customFormat="1">
      <c r="C215" s="865"/>
      <c r="D215" s="865"/>
      <c r="E215" s="865"/>
      <c r="F215" s="865"/>
      <c r="G215" s="865"/>
      <c r="H215" s="865"/>
      <c r="I215" s="865"/>
      <c r="J215" s="865"/>
      <c r="K215" s="865"/>
      <c r="L215" s="865"/>
    </row>
    <row r="216" spans="3:12" s="165" customFormat="1">
      <c r="C216" s="865"/>
      <c r="D216" s="865"/>
      <c r="E216" s="865"/>
      <c r="F216" s="865"/>
      <c r="G216" s="865"/>
      <c r="H216" s="865"/>
      <c r="I216" s="865"/>
      <c r="J216" s="865"/>
      <c r="K216" s="865"/>
      <c r="L216" s="865"/>
    </row>
    <row r="217" spans="3:12" s="165" customFormat="1">
      <c r="C217" s="865"/>
      <c r="D217" s="865"/>
      <c r="E217" s="865"/>
      <c r="F217" s="865"/>
      <c r="G217" s="865"/>
      <c r="H217" s="865"/>
      <c r="I217" s="865"/>
      <c r="J217" s="865"/>
      <c r="K217" s="865"/>
      <c r="L217" s="865"/>
    </row>
    <row r="218" spans="3:12" s="165" customFormat="1">
      <c r="C218" s="865"/>
      <c r="D218" s="865"/>
      <c r="E218" s="865"/>
      <c r="F218" s="865"/>
      <c r="G218" s="865"/>
      <c r="H218" s="865"/>
      <c r="I218" s="865"/>
      <c r="J218" s="865"/>
      <c r="K218" s="865"/>
      <c r="L218" s="865"/>
    </row>
    <row r="219" spans="3:12" s="165" customFormat="1">
      <c r="C219" s="865"/>
      <c r="D219" s="865"/>
      <c r="E219" s="865"/>
      <c r="F219" s="865"/>
      <c r="G219" s="865"/>
      <c r="H219" s="865"/>
      <c r="I219" s="865"/>
      <c r="J219" s="865"/>
      <c r="K219" s="865"/>
      <c r="L219" s="865"/>
    </row>
    <row r="220" spans="3:12" s="165" customFormat="1">
      <c r="C220" s="865"/>
      <c r="D220" s="865"/>
      <c r="E220" s="865"/>
      <c r="F220" s="865"/>
      <c r="G220" s="865"/>
      <c r="H220" s="865"/>
      <c r="I220" s="865"/>
      <c r="J220" s="865"/>
      <c r="K220" s="865"/>
      <c r="L220" s="865"/>
    </row>
    <row r="221" spans="3:12" s="165" customFormat="1">
      <c r="C221" s="865"/>
      <c r="D221" s="865"/>
      <c r="E221" s="865"/>
      <c r="F221" s="865"/>
      <c r="G221" s="865"/>
      <c r="H221" s="865"/>
      <c r="I221" s="865"/>
      <c r="J221" s="865"/>
      <c r="K221" s="865"/>
      <c r="L221" s="865"/>
    </row>
    <row r="222" spans="3:12" s="165" customFormat="1">
      <c r="C222" s="865"/>
      <c r="D222" s="865"/>
      <c r="E222" s="865"/>
      <c r="F222" s="865"/>
      <c r="G222" s="865"/>
      <c r="H222" s="865"/>
      <c r="I222" s="865"/>
      <c r="J222" s="865"/>
      <c r="K222" s="865"/>
      <c r="L222" s="865"/>
    </row>
    <row r="223" spans="3:12" s="165" customFormat="1">
      <c r="C223" s="865"/>
      <c r="D223" s="865"/>
      <c r="E223" s="865"/>
      <c r="F223" s="865"/>
      <c r="G223" s="865"/>
      <c r="H223" s="865"/>
      <c r="I223" s="865"/>
      <c r="J223" s="865"/>
      <c r="K223" s="865"/>
      <c r="L223" s="865"/>
    </row>
    <row r="224" spans="3:12" s="165" customFormat="1">
      <c r="C224" s="865"/>
      <c r="D224" s="865"/>
      <c r="E224" s="865"/>
      <c r="F224" s="865"/>
      <c r="G224" s="865"/>
      <c r="H224" s="865"/>
      <c r="I224" s="865"/>
      <c r="J224" s="865"/>
      <c r="K224" s="865"/>
      <c r="L224" s="865"/>
    </row>
    <row r="225" spans="3:12" s="165" customFormat="1">
      <c r="C225" s="865"/>
      <c r="D225" s="865"/>
      <c r="E225" s="865"/>
      <c r="F225" s="865"/>
      <c r="G225" s="865"/>
      <c r="H225" s="865"/>
      <c r="I225" s="865"/>
      <c r="J225" s="865"/>
      <c r="K225" s="865"/>
      <c r="L225" s="865"/>
    </row>
    <row r="226" spans="3:12" s="165" customFormat="1">
      <c r="C226" s="865"/>
      <c r="D226" s="865"/>
      <c r="E226" s="865"/>
      <c r="F226" s="865"/>
      <c r="G226" s="865"/>
      <c r="H226" s="865"/>
      <c r="I226" s="865"/>
      <c r="J226" s="865"/>
      <c r="K226" s="865"/>
      <c r="L226" s="865"/>
    </row>
    <row r="227" spans="3:12" s="165" customFormat="1">
      <c r="C227" s="865"/>
      <c r="D227" s="865"/>
      <c r="E227" s="865"/>
      <c r="F227" s="865"/>
      <c r="G227" s="865"/>
      <c r="H227" s="865"/>
      <c r="I227" s="865"/>
      <c r="J227" s="865"/>
      <c r="K227" s="865"/>
      <c r="L227" s="865"/>
    </row>
    <row r="228" spans="3:12" s="165" customFormat="1"/>
    <row r="229" spans="3:12" s="165" customFormat="1"/>
    <row r="230" spans="3:12" s="165" customFormat="1"/>
    <row r="231" spans="3:12" s="165" customFormat="1"/>
    <row r="232" spans="3:12" s="165" customFormat="1"/>
    <row r="233" spans="3:12" s="165" customFormat="1"/>
    <row r="234" spans="3:12" s="165" customFormat="1"/>
    <row r="235" spans="3:12" s="165" customFormat="1"/>
    <row r="236" spans="3:12" s="165" customFormat="1"/>
    <row r="237" spans="3:12" s="165" customFormat="1"/>
    <row r="238" spans="3:12" s="165" customFormat="1"/>
    <row r="239" spans="3:12" s="165" customFormat="1"/>
    <row r="240" spans="3:12" s="165" customFormat="1"/>
    <row r="241" s="165" customFormat="1"/>
    <row r="242" s="165" customFormat="1"/>
    <row r="243" s="165" customFormat="1"/>
    <row r="244" s="165" customFormat="1"/>
    <row r="245" s="165" customFormat="1"/>
    <row r="246" s="165" customFormat="1"/>
    <row r="247" s="165" customFormat="1"/>
    <row r="248" s="165" customFormat="1"/>
    <row r="249" s="165" customFormat="1"/>
    <row r="250" s="165" customFormat="1"/>
    <row r="251" s="165" customFormat="1"/>
    <row r="252" s="165" customFormat="1"/>
    <row r="253" s="165" customFormat="1"/>
    <row r="254" s="165" customFormat="1"/>
    <row r="255" s="165" customFormat="1"/>
    <row r="256" s="165" customFormat="1"/>
    <row r="257" s="165" customFormat="1"/>
    <row r="258" s="165" customFormat="1"/>
    <row r="259" s="165" customFormat="1"/>
    <row r="260" s="165" customFormat="1"/>
    <row r="261" s="165" customFormat="1"/>
    <row r="262" s="165" customFormat="1"/>
    <row r="263" s="165" customFormat="1"/>
    <row r="264" s="165" customFormat="1"/>
    <row r="265" s="165" customFormat="1"/>
    <row r="266" s="165" customFormat="1"/>
    <row r="267" s="165" customFormat="1"/>
    <row r="268" s="165" customFormat="1"/>
    <row r="269" s="165" customFormat="1"/>
    <row r="270" s="165" customFormat="1"/>
    <row r="271" s="165" customFormat="1"/>
    <row r="272" s="165" customFormat="1"/>
    <row r="273" s="165" customFormat="1"/>
    <row r="274" s="165" customFormat="1"/>
    <row r="275" s="165" customFormat="1"/>
    <row r="276" s="165" customFormat="1"/>
    <row r="277" s="165" customFormat="1"/>
    <row r="278" s="165" customFormat="1"/>
    <row r="279" s="165" customFormat="1"/>
    <row r="280" s="165" customFormat="1"/>
    <row r="281" s="165" customFormat="1"/>
    <row r="282" s="165" customFormat="1"/>
    <row r="283" s="165" customFormat="1"/>
    <row r="284" s="165" customFormat="1"/>
    <row r="285" s="165" customFormat="1"/>
    <row r="286" s="165" customFormat="1"/>
    <row r="287" s="165" customFormat="1"/>
    <row r="288" s="165" customFormat="1"/>
    <row r="289" s="165" customFormat="1"/>
    <row r="290" s="165" customFormat="1"/>
    <row r="291" s="165" customFormat="1"/>
    <row r="292" s="165" customFormat="1"/>
    <row r="293" s="165" customFormat="1"/>
    <row r="294" s="165" customFormat="1"/>
    <row r="295" s="165" customFormat="1"/>
    <row r="296" s="165" customFormat="1"/>
    <row r="297" s="165" customFormat="1"/>
    <row r="298" s="165" customFormat="1"/>
    <row r="299" s="165" customFormat="1"/>
    <row r="300" s="165" customFormat="1"/>
    <row r="301" s="165" customFormat="1"/>
    <row r="302" s="165" customFormat="1"/>
    <row r="303" s="165" customFormat="1"/>
    <row r="304" s="165" customFormat="1"/>
    <row r="305" s="165" customFormat="1"/>
    <row r="306" s="165" customFormat="1"/>
    <row r="307" s="165" customFormat="1"/>
    <row r="308" s="165" customFormat="1"/>
    <row r="309" s="165" customFormat="1"/>
    <row r="310" s="165" customFormat="1"/>
    <row r="311" s="165" customFormat="1"/>
    <row r="312" s="165" customFormat="1"/>
    <row r="313" s="165" customFormat="1"/>
    <row r="314" s="165" customFormat="1"/>
    <row r="315" s="165" customFormat="1"/>
    <row r="316" s="165" customFormat="1"/>
    <row r="317" s="165" customFormat="1"/>
    <row r="318" s="165" customFormat="1"/>
    <row r="319" s="165" customFormat="1"/>
    <row r="320" s="165" customFormat="1"/>
    <row r="321" s="165" customFormat="1"/>
    <row r="322" s="165" customFormat="1"/>
    <row r="323" s="165" customFormat="1"/>
    <row r="324" s="165" customFormat="1"/>
    <row r="325" s="165" customFormat="1"/>
    <row r="326" s="165" customFormat="1"/>
    <row r="327" s="165" customFormat="1"/>
    <row r="328" s="165" customFormat="1"/>
    <row r="329" s="165" customFormat="1"/>
    <row r="330" s="165" customFormat="1"/>
    <row r="331" s="165" customFormat="1"/>
    <row r="332" s="165" customFormat="1"/>
    <row r="333" s="165" customFormat="1"/>
    <row r="334" s="165" customFormat="1"/>
    <row r="335" s="165" customFormat="1"/>
    <row r="336" s="165" customFormat="1"/>
    <row r="337" s="165" customFormat="1"/>
    <row r="338" s="165" customFormat="1"/>
    <row r="339" s="165" customFormat="1"/>
    <row r="340" s="165" customFormat="1"/>
    <row r="341" s="165" customFormat="1"/>
    <row r="342" s="165" customFormat="1"/>
    <row r="343" s="165" customFormat="1"/>
    <row r="344" s="165" customFormat="1"/>
    <row r="345" s="165" customFormat="1"/>
    <row r="346" s="165" customFormat="1"/>
    <row r="347" s="165" customFormat="1"/>
    <row r="348" s="165" customFormat="1"/>
    <row r="349" s="165" customFormat="1"/>
    <row r="350" s="165" customFormat="1"/>
    <row r="351" s="165" customFormat="1"/>
    <row r="352" s="165" customFormat="1"/>
    <row r="353" s="165" customFormat="1"/>
    <row r="354" s="165" customFormat="1"/>
    <row r="355" s="165" customFormat="1"/>
    <row r="356" s="165" customFormat="1"/>
    <row r="357" s="165" customFormat="1"/>
    <row r="358" s="165" customFormat="1"/>
    <row r="359" s="165" customFormat="1"/>
    <row r="360" s="165" customFormat="1"/>
    <row r="361" s="165" customFormat="1"/>
    <row r="362" s="165" customFormat="1"/>
    <row r="363" s="165" customFormat="1"/>
    <row r="364" s="165" customFormat="1"/>
    <row r="365" s="165" customFormat="1"/>
    <row r="366" s="165" customFormat="1"/>
    <row r="367" s="165" customFormat="1"/>
    <row r="368" s="165" customFormat="1"/>
    <row r="369" s="165" customFormat="1"/>
    <row r="370" s="165" customFormat="1"/>
    <row r="371" s="165" customFormat="1"/>
    <row r="372" s="165" customFormat="1"/>
    <row r="373" s="165" customFormat="1"/>
    <row r="374" s="165" customFormat="1"/>
    <row r="375" s="165" customFormat="1"/>
    <row r="376" s="165" customFormat="1"/>
    <row r="377" s="165" customFormat="1"/>
    <row r="378" s="165" customFormat="1"/>
    <row r="379" s="165" customFormat="1"/>
    <row r="380" s="165" customFormat="1"/>
    <row r="381" s="165" customFormat="1"/>
    <row r="382" s="165" customFormat="1"/>
    <row r="383" s="165" customFormat="1"/>
    <row r="384" s="165" customFormat="1"/>
    <row r="385" s="165" customFormat="1"/>
    <row r="386" s="165" customFormat="1"/>
    <row r="387" s="165" customFormat="1"/>
    <row r="388" s="165" customFormat="1"/>
    <row r="389" s="165" customFormat="1"/>
    <row r="390" s="165" customFormat="1"/>
    <row r="391" s="165" customFormat="1"/>
    <row r="392" s="165" customFormat="1"/>
    <row r="393" s="165" customFormat="1"/>
    <row r="394" s="165" customFormat="1"/>
    <row r="395" s="165" customFormat="1"/>
    <row r="396" s="165" customFormat="1"/>
    <row r="397" s="165" customFormat="1"/>
    <row r="398" s="165" customFormat="1"/>
    <row r="399" s="165" customFormat="1"/>
    <row r="400" s="165" customFormat="1"/>
    <row r="401" s="165" customFormat="1"/>
    <row r="402" s="165" customFormat="1"/>
    <row r="403" s="165" customFormat="1"/>
    <row r="404" s="165" customFormat="1"/>
    <row r="405" s="165" customFormat="1"/>
    <row r="406" s="165" customFormat="1"/>
    <row r="407" s="165" customFormat="1"/>
    <row r="408" s="165" customFormat="1"/>
    <row r="409" s="165" customFormat="1"/>
    <row r="410" s="165" customFormat="1"/>
    <row r="411" s="165" customFormat="1"/>
    <row r="412" s="165" customFormat="1"/>
    <row r="413" s="165" customFormat="1"/>
    <row r="414" s="165" customFormat="1"/>
    <row r="415" s="165" customFormat="1"/>
    <row r="416" s="165" customFormat="1"/>
    <row r="417" s="165" customFormat="1"/>
    <row r="418" s="165" customFormat="1"/>
    <row r="419" s="165" customFormat="1"/>
    <row r="420" s="165" customFormat="1"/>
    <row r="421" s="165" customFormat="1"/>
    <row r="422" s="165" customFormat="1"/>
    <row r="423" s="165" customFormat="1"/>
    <row r="424" s="165" customFormat="1"/>
    <row r="425" s="165" customFormat="1"/>
    <row r="426" s="165" customFormat="1"/>
    <row r="427" s="165" customFormat="1"/>
    <row r="428" s="165" customFormat="1"/>
    <row r="429" s="165" customFormat="1"/>
    <row r="430" s="165" customFormat="1"/>
    <row r="431" s="165" customFormat="1"/>
    <row r="432" s="165" customFormat="1"/>
    <row r="433" s="165" customFormat="1"/>
    <row r="434" s="165" customFormat="1"/>
    <row r="435" s="165" customFormat="1"/>
    <row r="436" s="165" customFormat="1"/>
    <row r="437" s="165" customFormat="1"/>
    <row r="438" s="165" customFormat="1"/>
    <row r="439" s="165" customFormat="1"/>
    <row r="440" s="165" customFormat="1"/>
    <row r="441" s="165" customFormat="1"/>
    <row r="442" s="165" customFormat="1"/>
    <row r="443" s="165" customFormat="1"/>
    <row r="444" s="165" customFormat="1"/>
    <row r="445" s="165" customFormat="1"/>
    <row r="446" s="165" customFormat="1"/>
    <row r="447" s="165" customFormat="1"/>
    <row r="448" s="165" customFormat="1"/>
    <row r="449" s="165" customFormat="1"/>
    <row r="450" s="165" customFormat="1"/>
    <row r="451" s="165" customFormat="1"/>
    <row r="452" s="165" customFormat="1"/>
    <row r="453" s="165" customFormat="1"/>
    <row r="454" s="165" customFormat="1"/>
    <row r="455" s="165" customFormat="1"/>
    <row r="456" s="165" customFormat="1"/>
    <row r="457" s="165" customFormat="1"/>
    <row r="458" s="165" customFormat="1"/>
    <row r="459" s="165" customFormat="1"/>
    <row r="460" s="165" customFormat="1"/>
    <row r="461" s="165" customFormat="1"/>
    <row r="462" s="165" customFormat="1"/>
    <row r="463" s="165" customFormat="1"/>
    <row r="464" s="165" customFormat="1"/>
    <row r="465" s="165" customFormat="1"/>
    <row r="466" s="165" customFormat="1"/>
    <row r="467" s="165" customFormat="1"/>
    <row r="468" s="165" customFormat="1"/>
    <row r="469" s="165" customFormat="1"/>
    <row r="470" s="165" customFormat="1"/>
    <row r="471" s="165" customFormat="1"/>
    <row r="472" s="165" customFormat="1"/>
    <row r="473" s="165" customFormat="1"/>
    <row r="474" s="165" customFormat="1"/>
    <row r="475" s="165" customFormat="1"/>
    <row r="476" s="165" customFormat="1"/>
    <row r="477" s="165" customFormat="1"/>
    <row r="478" s="165" customFormat="1"/>
    <row r="479" s="165" customFormat="1"/>
    <row r="480" s="165" customFormat="1"/>
    <row r="481" s="165" customFormat="1"/>
    <row r="482" s="165" customFormat="1"/>
    <row r="483" s="165" customFormat="1"/>
    <row r="484" s="165" customFormat="1"/>
    <row r="485" s="165" customFormat="1"/>
    <row r="486" s="165" customFormat="1"/>
    <row r="487" s="165" customFormat="1"/>
    <row r="488" s="165" customFormat="1"/>
    <row r="489" s="165" customFormat="1"/>
    <row r="490" s="165" customFormat="1"/>
    <row r="491" s="165" customFormat="1"/>
    <row r="492" s="165" customFormat="1"/>
    <row r="493" s="165" customFormat="1"/>
    <row r="494" s="165" customFormat="1"/>
    <row r="495" s="165" customFormat="1"/>
    <row r="496" s="165" customFormat="1"/>
    <row r="497" s="165" customFormat="1"/>
    <row r="498" s="165" customFormat="1"/>
    <row r="499" s="165" customFormat="1"/>
    <row r="500" s="165" customFormat="1"/>
    <row r="501" s="165" customFormat="1"/>
    <row r="502" s="165" customFormat="1"/>
    <row r="503" s="165" customFormat="1"/>
    <row r="504" s="165" customFormat="1"/>
    <row r="505" s="165" customFormat="1"/>
    <row r="506" s="165" customFormat="1"/>
    <row r="507" s="165" customFormat="1"/>
    <row r="508" s="165" customFormat="1"/>
    <row r="509" s="165" customFormat="1"/>
    <row r="510" s="165" customFormat="1"/>
    <row r="511" s="165" customFormat="1"/>
    <row r="512" s="165" customFormat="1"/>
    <row r="513" s="165" customFormat="1"/>
    <row r="514" s="165" customFormat="1"/>
    <row r="515" s="165" customFormat="1"/>
    <row r="516" s="165" customFormat="1"/>
    <row r="517" s="165" customFormat="1"/>
    <row r="518" s="165" customFormat="1"/>
    <row r="519" s="165" customFormat="1"/>
    <row r="520" s="165" customFormat="1"/>
    <row r="521" s="165" customFormat="1"/>
    <row r="522" s="165" customFormat="1"/>
    <row r="523" s="165" customFormat="1"/>
    <row r="524" s="165" customFormat="1"/>
    <row r="525" s="165" customFormat="1"/>
    <row r="526" s="165" customFormat="1"/>
    <row r="527" s="165" customFormat="1"/>
    <row r="528" s="165" customFormat="1"/>
    <row r="529" s="165" customFormat="1"/>
    <row r="530" s="165" customFormat="1"/>
    <row r="531" s="165" customFormat="1"/>
    <row r="532" s="165" customFormat="1"/>
    <row r="533" s="165" customFormat="1"/>
    <row r="534" s="165" customFormat="1"/>
    <row r="535" s="165" customFormat="1"/>
    <row r="536" s="165" customFormat="1"/>
    <row r="537" s="165" customFormat="1"/>
    <row r="538" s="165" customFormat="1"/>
    <row r="539" s="165" customFormat="1"/>
    <row r="540" s="165" customFormat="1"/>
    <row r="541" s="165" customFormat="1"/>
    <row r="542" s="165" customFormat="1"/>
    <row r="543" s="165" customFormat="1"/>
    <row r="544" s="165" customFormat="1"/>
    <row r="545" s="165" customFormat="1"/>
    <row r="546" s="165" customFormat="1"/>
    <row r="547" s="165" customFormat="1"/>
    <row r="548" s="165" customFormat="1"/>
    <row r="549" s="165" customFormat="1"/>
    <row r="550" s="165" customFormat="1"/>
    <row r="551" s="165" customFormat="1"/>
    <row r="552" s="165" customFormat="1"/>
    <row r="553" s="165" customFormat="1"/>
    <row r="554" s="165" customFormat="1"/>
    <row r="555" s="165" customFormat="1"/>
    <row r="556" s="165" customFormat="1"/>
    <row r="557" s="165" customFormat="1"/>
    <row r="558" s="165" customFormat="1"/>
    <row r="559" s="165" customFormat="1"/>
    <row r="560" s="165" customFormat="1"/>
    <row r="561" s="165" customFormat="1"/>
    <row r="562" s="165" customFormat="1"/>
    <row r="563" s="165" customFormat="1"/>
    <row r="564" s="165" customFormat="1"/>
    <row r="565" s="165" customFormat="1"/>
    <row r="566" s="165" customFormat="1"/>
    <row r="567" s="165" customFormat="1"/>
    <row r="568" s="165" customFormat="1"/>
    <row r="569" s="165" customFormat="1"/>
    <row r="570" s="165" customFormat="1"/>
    <row r="571" s="165" customFormat="1"/>
    <row r="572" s="165" customFormat="1"/>
    <row r="573" s="165" customFormat="1"/>
    <row r="574" s="165" customFormat="1"/>
    <row r="575" s="165" customFormat="1"/>
    <row r="576" s="165" customFormat="1"/>
    <row r="577" s="165" customFormat="1"/>
    <row r="578" s="165" customFormat="1"/>
    <row r="579" s="165" customFormat="1"/>
    <row r="580" s="165" customFormat="1"/>
    <row r="581" s="165" customFormat="1"/>
    <row r="582" s="165" customFormat="1"/>
    <row r="583" s="165" customFormat="1"/>
    <row r="584" s="165" customFormat="1"/>
    <row r="585" s="165" customFormat="1"/>
    <row r="586" s="165" customFormat="1"/>
    <row r="587" s="165" customFormat="1"/>
    <row r="588" s="165" customFormat="1"/>
    <row r="589" s="165" customFormat="1"/>
    <row r="590" s="165" customFormat="1"/>
    <row r="591" s="165" customFormat="1"/>
    <row r="592" s="165" customFormat="1"/>
    <row r="593" s="165" customFormat="1"/>
    <row r="594" s="165" customFormat="1"/>
    <row r="595" s="165" customFormat="1"/>
    <row r="596" s="165" customFormat="1"/>
    <row r="597" s="165" customFormat="1"/>
    <row r="598" s="165" customFormat="1"/>
    <row r="599" s="165" customFormat="1"/>
    <row r="600" s="165" customFormat="1"/>
    <row r="601" s="165" customFormat="1"/>
    <row r="602" s="165" customFormat="1"/>
    <row r="603" s="165" customFormat="1"/>
    <row r="604" s="165" customFormat="1"/>
    <row r="605" s="165" customFormat="1"/>
    <row r="606" s="165" customFormat="1"/>
    <row r="607" s="165" customFormat="1"/>
    <row r="608" s="165" customFormat="1"/>
    <row r="609" s="165" customFormat="1"/>
    <row r="610" s="165" customFormat="1"/>
    <row r="611" s="165" customFormat="1"/>
    <row r="612" s="165" customFormat="1"/>
    <row r="613" s="165" customFormat="1"/>
    <row r="614" s="165" customFormat="1"/>
    <row r="615" s="165" customFormat="1"/>
    <row r="616" s="165" customFormat="1"/>
    <row r="617" s="165" customFormat="1"/>
    <row r="618" s="165" customFormat="1"/>
    <row r="619" s="165" customFormat="1"/>
    <row r="620" s="165" customFormat="1"/>
    <row r="621" s="165" customFormat="1"/>
    <row r="622" s="165" customFormat="1"/>
    <row r="623" s="165" customFormat="1"/>
    <row r="624" s="165" customFormat="1"/>
    <row r="625" s="165" customFormat="1"/>
    <row r="626" s="165" customFormat="1"/>
    <row r="627" s="165" customFormat="1"/>
    <row r="628" s="165" customFormat="1"/>
    <row r="629" s="165" customFormat="1"/>
    <row r="630" s="165" customFormat="1"/>
    <row r="631" s="165" customFormat="1"/>
    <row r="632" s="165" customFormat="1"/>
    <row r="633" s="165" customFormat="1"/>
    <row r="634" s="165" customFormat="1"/>
    <row r="635" s="165" customFormat="1"/>
    <row r="636" s="165" customFormat="1"/>
    <row r="637" s="165" customFormat="1"/>
    <row r="638" s="165" customFormat="1"/>
    <row r="639" s="165" customFormat="1"/>
    <row r="640" s="165" customFormat="1"/>
    <row r="641" s="165" customFormat="1"/>
    <row r="642" s="165" customFormat="1"/>
    <row r="643" s="165" customFormat="1"/>
    <row r="644" s="165" customFormat="1"/>
    <row r="645" s="165" customFormat="1"/>
    <row r="646" s="165" customFormat="1"/>
    <row r="647" s="165" customFormat="1"/>
    <row r="648" s="165" customFormat="1"/>
    <row r="649" s="165" customFormat="1"/>
    <row r="650" s="165" customFormat="1"/>
    <row r="651" s="165" customFormat="1"/>
    <row r="652" s="165" customFormat="1"/>
    <row r="653" s="165" customFormat="1"/>
    <row r="654" s="165" customFormat="1"/>
    <row r="655" s="165" customFormat="1"/>
    <row r="656" s="165" customFormat="1"/>
    <row r="657" s="165" customFormat="1"/>
    <row r="658" s="165" customFormat="1"/>
    <row r="659" s="165" customFormat="1"/>
    <row r="660" s="165" customFormat="1"/>
    <row r="661" s="165" customFormat="1"/>
    <row r="662" s="165" customFormat="1"/>
    <row r="663" s="165" customFormat="1"/>
    <row r="664" s="165" customFormat="1"/>
    <row r="665" s="165" customFormat="1"/>
    <row r="666" s="165" customFormat="1"/>
    <row r="667" s="165" customFormat="1"/>
    <row r="668" s="165" customFormat="1"/>
    <row r="669" s="165" customFormat="1"/>
    <row r="670" s="165" customFormat="1"/>
    <row r="671" s="165" customFormat="1"/>
    <row r="672" s="165" customFormat="1"/>
    <row r="673" s="165" customFormat="1"/>
    <row r="674" s="165" customFormat="1"/>
    <row r="675" s="165" customFormat="1"/>
    <row r="676" s="165" customFormat="1"/>
    <row r="677" s="165" customFormat="1"/>
    <row r="678" s="165" customFormat="1"/>
    <row r="679" s="165" customFormat="1"/>
    <row r="680" s="165" customFormat="1"/>
    <row r="681" s="165" customFormat="1"/>
    <row r="682" s="165" customFormat="1"/>
    <row r="683" s="165" customFormat="1"/>
    <row r="684" s="165" customFormat="1"/>
    <row r="685" s="165" customFormat="1"/>
    <row r="686" s="165" customFormat="1"/>
    <row r="687" s="165" customFormat="1"/>
    <row r="688" s="165" customFormat="1"/>
    <row r="689" s="165" customFormat="1"/>
    <row r="690" s="165" customFormat="1"/>
    <row r="691" s="165" customFormat="1"/>
    <row r="692" s="165" customFormat="1"/>
    <row r="693" s="165" customFormat="1"/>
    <row r="694" s="165" customFormat="1"/>
    <row r="695" s="165" customFormat="1"/>
    <row r="696" s="165" customFormat="1"/>
    <row r="697" s="165" customFormat="1"/>
    <row r="698" s="165" customFormat="1"/>
    <row r="699" s="165" customFormat="1"/>
    <row r="700" s="165" customFormat="1"/>
    <row r="701" s="165" customFormat="1"/>
    <row r="702" s="165" customFormat="1"/>
    <row r="703" s="165" customFormat="1"/>
    <row r="704" s="165" customFormat="1"/>
    <row r="705" s="165" customFormat="1"/>
    <row r="706" s="165" customFormat="1"/>
    <row r="707" s="165" customFormat="1"/>
    <row r="708" s="165" customFormat="1"/>
    <row r="709" s="165" customFormat="1"/>
    <row r="710" s="165" customFormat="1"/>
    <row r="711" s="165" customFormat="1"/>
    <row r="712" s="165" customFormat="1"/>
    <row r="713" s="165" customFormat="1"/>
    <row r="714" s="165" customFormat="1"/>
    <row r="715" s="165" customFormat="1"/>
    <row r="716" s="165" customFormat="1"/>
    <row r="717" s="165" customFormat="1"/>
    <row r="718" s="165" customFormat="1"/>
  </sheetData>
  <mergeCells count="2">
    <mergeCell ref="H2:L2"/>
    <mergeCell ref="C2:G2"/>
  </mergeCells>
  <pageMargins left="0.7" right="0.7" top="0.75" bottom="0.75" header="0.3" footer="0.3"/>
  <pageSetup paperSize="9" scale="46" orientation="portrait"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17" ma:contentTypeDescription="Utwórz nowy dokument." ma:contentTypeScope="" ma:versionID="4b53a1c1e4f02b0418de0625007236d0">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00806db53447c3b03e7b740663571cf1"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c99c7060-1db6-4dae-a216-9b75e8c1a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e6fdfcdd-7f6a-4252-8590-964496c61453}" ma:internalName="TaxCatchAll" ma:showField="CatchAllData" ma:web="380674f5-ae6e-4398-ae1a-e3b039baab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4ef9d45-7c5b-433e-98b2-0b7979b96efb">
      <Terms xmlns="http://schemas.microsoft.com/office/infopath/2007/PartnerControls"/>
    </lcf76f155ced4ddcb4097134ff3c332f>
    <TaxCatchAll xmlns="380674f5-ae6e-4398-ae1a-e3b039baab99" xsi:nil="true"/>
    <SharedWithUsers xmlns="380674f5-ae6e-4398-ae1a-e3b039baab99">
      <UserInfo>
        <DisplayName>Alicja Dereń</DisplayName>
        <AccountId>79</AccountId>
        <AccountType/>
      </UserInfo>
    </SharedWithUsers>
    <MediaLengthInSeconds xmlns="44ef9d45-7c5b-433e-98b2-0b7979b96ef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8C2B98-E165-4FF6-962D-4DE6C7835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f9d45-7c5b-433e-98b2-0b7979b96efb"/>
    <ds:schemaRef ds:uri="380674f5-ae6e-4398-ae1a-e3b039ba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40E72-627B-49BD-8136-CEF9ECB5C2F6}">
  <ds:schemaRefs>
    <ds:schemaRef ds:uri="44ef9d45-7c5b-433e-98b2-0b7979b96e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0674f5-ae6e-4398-ae1a-e3b039baab99"/>
    <ds:schemaRef ds:uri="http://www.w3.org/XML/1998/namespace"/>
    <ds:schemaRef ds:uri="http://purl.org/dc/dcmitype/"/>
  </ds:schemaRefs>
</ds:datastoreItem>
</file>

<file path=customXml/itemProps3.xml><?xml version="1.0" encoding="utf-8"?>
<ds:datastoreItem xmlns:ds="http://schemas.openxmlformats.org/officeDocument/2006/customXml" ds:itemID="{3A09C639-6E81-4C42-9637-EF50EBF181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6</vt:i4>
      </vt:variant>
    </vt:vector>
  </HeadingPairs>
  <TitlesOfParts>
    <vt:vector size="16" baseType="lpstr">
      <vt:lpstr>P&amp;L</vt:lpstr>
      <vt:lpstr>Balance sheet</vt:lpstr>
      <vt:lpstr>Cash Flow</vt:lpstr>
      <vt:lpstr>Segments</vt:lpstr>
      <vt:lpstr>Ratios</vt:lpstr>
      <vt:lpstr>new KPI_segment B2C&amp;B2B</vt:lpstr>
      <vt:lpstr>KPI TV &amp; online</vt:lpstr>
      <vt:lpstr>KPI_segment Green Energy</vt:lpstr>
      <vt:lpstr>STARE KPI--&gt;</vt:lpstr>
      <vt:lpstr>KPI_segment B2C&amp;B2B</vt:lpstr>
      <vt:lpstr>'Balance sheet'!Obszar_wydruku</vt:lpstr>
      <vt:lpstr>'Cash Flow'!Obszar_wydruku</vt:lpstr>
      <vt:lpstr>'KPI_segment B2C&amp;B2B'!Obszar_wydruku</vt:lpstr>
      <vt:lpstr>'new KPI_segment B2C&amp;B2B'!Obszar_wydruku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Elżbieta Gieniusz</cp:lastModifiedBy>
  <cp:revision/>
  <dcterms:created xsi:type="dcterms:W3CDTF">2008-08-25T12:12:22Z</dcterms:created>
  <dcterms:modified xsi:type="dcterms:W3CDTF">2024-04-10T13:05:55Z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0x0101000C94D8E5B085244EA1243650C0689C53</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y fmtid="{D5CDD505-2E9C-101B-9397-08002B2CF9AE}" pid="12" name="MediaServiceImageTags">
    <vt:lpwstr/>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xd_Signature">
    <vt:bool>false</vt:bool>
  </property>
</Properties>
</file>